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2.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harts/chart28.xml" ContentType="application/vnd.openxmlformats-officedocument.drawingml.chart+xml"/>
  <Override PartName="/xl/charts/chart29.xml" ContentType="application/vnd.openxmlformats-officedocument.drawingml.chart+xml"/>
  <Override PartName="/xl/theme/themeOverride4.xml" ContentType="application/vnd.openxmlformats-officedocument.themeOverride+xml"/>
  <Override PartName="/xl/charts/chart30.xml" ContentType="application/vnd.openxmlformats-officedocument.drawingml.chart+xml"/>
  <Override PartName="/xl/theme/themeOverride5.xml" ContentType="application/vnd.openxmlformats-officedocument.themeOverride+xml"/>
  <Override PartName="/xl/charts/chart31.xml" ContentType="application/vnd.openxmlformats-officedocument.drawingml.chart+xml"/>
  <Override PartName="/xl/theme/themeOverride6.xml" ContentType="application/vnd.openxmlformats-officedocument.themeOverride+xml"/>
  <Override PartName="/xl/charts/chart32.xml" ContentType="application/vnd.openxmlformats-officedocument.drawingml.chart+xml"/>
  <Override PartName="/xl/theme/themeOverride7.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6.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charts/chart36.xml" ContentType="application/vnd.openxmlformats-officedocument.drawingml.chart+xml"/>
  <Override PartName="/xl/theme/themeOverride8.xml" ContentType="application/vnd.openxmlformats-officedocument.themeOverride+xml"/>
  <Override PartName="/xl/charts/chart37.xml" ContentType="application/vnd.openxmlformats-officedocument.drawingml.chart+xml"/>
  <Override PartName="/xl/theme/themeOverride9.xml" ContentType="application/vnd.openxmlformats-officedocument.themeOverride+xml"/>
  <Override PartName="/xl/charts/chart38.xml" ContentType="application/vnd.openxmlformats-officedocument.drawingml.chart+xml"/>
  <Override PartName="/xl/theme/themeOverride10.xml" ContentType="application/vnd.openxmlformats-officedocument.themeOverride+xml"/>
  <Override PartName="/xl/charts/chart39.xml" ContentType="application/vnd.openxmlformats-officedocument.drawingml.chart+xml"/>
  <Override PartName="/xl/theme/themeOverride11.xml" ContentType="application/vnd.openxmlformats-officedocument.themeOverride+xml"/>
  <Override PartName="/xl/charts/chart40.xml" ContentType="application/vnd.openxmlformats-officedocument.drawingml.chart+xml"/>
  <Override PartName="/xl/theme/themeOverride12.xml" ContentType="application/vnd.openxmlformats-officedocument.themeOverrid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charts/chart44.xml" ContentType="application/vnd.openxmlformats-officedocument.drawingml.chart+xml"/>
  <Override PartName="/xl/theme/themeOverride13.xml" ContentType="application/vnd.openxmlformats-officedocument.themeOverride+xml"/>
  <Override PartName="/xl/charts/chart45.xml" ContentType="application/vnd.openxmlformats-officedocument.drawingml.chart+xml"/>
  <Override PartName="/xl/theme/themeOverride14.xml" ContentType="application/vnd.openxmlformats-officedocument.themeOverride+xml"/>
  <Override PartName="/xl/charts/chart46.xml" ContentType="application/vnd.openxmlformats-officedocument.drawingml.chart+xml"/>
  <Override PartName="/xl/theme/themeOverride15.xml" ContentType="application/vnd.openxmlformats-officedocument.themeOverride+xml"/>
  <Override PartName="/xl/charts/chart47.xml" ContentType="application/vnd.openxmlformats-officedocument.drawingml.chart+xml"/>
  <Override PartName="/xl/theme/themeOverride16.xml" ContentType="application/vnd.openxmlformats-officedocument.themeOverride+xml"/>
  <Override PartName="/xl/charts/chart48.xml" ContentType="application/vnd.openxmlformats-officedocument.drawingml.chart+xml"/>
  <Override PartName="/xl/theme/themeOverride17.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8.xml" ContentType="application/vnd.openxmlformats-officedocument.drawing+xml"/>
  <Override PartName="/xl/tables/table5.xml" ContentType="application/vnd.openxmlformats-officedocument.spreadsheetml.table+xml"/>
  <Override PartName="/xl/comments4.xml" ContentType="application/vnd.openxmlformats-officedocument.spreadsheetml.comments+xml"/>
  <Override PartName="/xl/charts/chart52.xml" ContentType="application/vnd.openxmlformats-officedocument.drawingml.chart+xml"/>
  <Override PartName="/xl/theme/themeOverride18.xml" ContentType="application/vnd.openxmlformats-officedocument.themeOverride+xml"/>
  <Override PartName="/xl/charts/chart53.xml" ContentType="application/vnd.openxmlformats-officedocument.drawingml.chart+xml"/>
  <Override PartName="/xl/theme/themeOverride19.xml" ContentType="application/vnd.openxmlformats-officedocument.themeOverride+xml"/>
  <Override PartName="/xl/charts/chart54.xml" ContentType="application/vnd.openxmlformats-officedocument.drawingml.chart+xml"/>
  <Override PartName="/xl/theme/themeOverride20.xml" ContentType="application/vnd.openxmlformats-officedocument.themeOverride+xml"/>
  <Override PartName="/xl/charts/chart55.xml" ContentType="application/vnd.openxmlformats-officedocument.drawingml.chart+xml"/>
  <Override PartName="/xl/theme/themeOverride21.xml" ContentType="application/vnd.openxmlformats-officedocument.themeOverride+xml"/>
  <Override PartName="/xl/charts/chart56.xml" ContentType="application/vnd.openxmlformats-officedocument.drawingml.chart+xml"/>
  <Override PartName="/xl/theme/themeOverride22.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9.xml" ContentType="application/vnd.openxmlformats-officedocument.drawing+xml"/>
  <Override PartName="/xl/tables/table6.xml" ContentType="application/vnd.openxmlformats-officedocument.spreadsheetml.table+xml"/>
  <Override PartName="/xl/comments5.xml" ContentType="application/vnd.openxmlformats-officedocument.spreadsheetml.comments+xml"/>
  <Override PartName="/xl/charts/chart60.xml" ContentType="application/vnd.openxmlformats-officedocument.drawingml.chart+xml"/>
  <Override PartName="/xl/theme/themeOverride23.xml" ContentType="application/vnd.openxmlformats-officedocument.themeOverride+xml"/>
  <Override PartName="/xl/charts/chart61.xml" ContentType="application/vnd.openxmlformats-officedocument.drawingml.chart+xml"/>
  <Override PartName="/xl/charts/chart62.xml" ContentType="application/vnd.openxmlformats-officedocument.drawingml.chart+xml"/>
  <Override PartName="/xl/theme/themeOverride24.xml" ContentType="application/vnd.openxmlformats-officedocument.themeOverride+xml"/>
  <Override PartName="/xl/charts/chart63.xml" ContentType="application/vnd.openxmlformats-officedocument.drawingml.chart+xml"/>
  <Override PartName="/xl/theme/themeOverride25.xml" ContentType="application/vnd.openxmlformats-officedocument.themeOverride+xml"/>
  <Override PartName="/xl/charts/chart64.xml" ContentType="application/vnd.openxmlformats-officedocument.drawingml.chart+xml"/>
  <Override PartName="/xl/theme/themeOverride26.xml" ContentType="application/vnd.openxmlformats-officedocument.themeOverride+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10.xml" ContentType="application/vnd.openxmlformats-officedocument.drawing+xml"/>
  <Override PartName="/xl/tables/table7.xml" ContentType="application/vnd.openxmlformats-officedocument.spreadsheetml.table+xml"/>
  <Override PartName="/xl/comments6.xml" ContentType="application/vnd.openxmlformats-officedocument.spreadsheetml.comments+xml"/>
  <Override PartName="/xl/charts/chart68.xml" ContentType="application/vnd.openxmlformats-officedocument.drawingml.chart+xml"/>
  <Override PartName="/xl/theme/themeOverride27.xml" ContentType="application/vnd.openxmlformats-officedocument.themeOverride+xml"/>
  <Override PartName="/xl/charts/chart69.xml" ContentType="application/vnd.openxmlformats-officedocument.drawingml.chart+xml"/>
  <Override PartName="/xl/theme/themeOverride28.xml" ContentType="application/vnd.openxmlformats-officedocument.themeOverride+xml"/>
  <Override PartName="/xl/charts/chart70.xml" ContentType="application/vnd.openxmlformats-officedocument.drawingml.chart+xml"/>
  <Override PartName="/xl/theme/themeOverride29.xml" ContentType="application/vnd.openxmlformats-officedocument.themeOverride+xml"/>
  <Override PartName="/xl/charts/chart71.xml" ContentType="application/vnd.openxmlformats-officedocument.drawingml.chart+xml"/>
  <Override PartName="/xl/theme/themeOverride30.xml" ContentType="application/vnd.openxmlformats-officedocument.themeOverride+xml"/>
  <Override PartName="/xl/charts/chart72.xml" ContentType="application/vnd.openxmlformats-officedocument.drawingml.chart+xml"/>
  <Override PartName="/xl/theme/themeOverride31.xml" ContentType="application/vnd.openxmlformats-officedocument.themeOverride+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11.xml" ContentType="application/vnd.openxmlformats-officedocument.drawing+xml"/>
  <Override PartName="/xl/tables/table8.xml" ContentType="application/vnd.openxmlformats-officedocument.spreadsheetml.table+xml"/>
  <Override PartName="/xl/charts/chart76.xml" ContentType="application/vnd.openxmlformats-officedocument.drawingml.chart+xml"/>
  <Override PartName="/xl/theme/themeOverride32.xml" ContentType="application/vnd.openxmlformats-officedocument.themeOverride+xml"/>
  <Override PartName="/xl/charts/chart77.xml" ContentType="application/vnd.openxmlformats-officedocument.drawingml.chart+xml"/>
  <Override PartName="/xl/theme/themeOverride33.xml" ContentType="application/vnd.openxmlformats-officedocument.themeOverride+xml"/>
  <Override PartName="/xl/charts/chart78.xml" ContentType="application/vnd.openxmlformats-officedocument.drawingml.chart+xml"/>
  <Override PartName="/xl/theme/themeOverride34.xml" ContentType="application/vnd.openxmlformats-officedocument.themeOverride+xml"/>
  <Override PartName="/xl/drawings/drawing12.xml" ContentType="application/vnd.openxmlformats-officedocument.drawing+xml"/>
  <Override PartName="/xl/tables/table9.xml" ContentType="application/vnd.openxmlformats-officedocument.spreadsheetml.table+xml"/>
  <Override PartName="/xl/charts/chart79.xml" ContentType="application/vnd.openxmlformats-officedocument.drawingml.chart+xml"/>
  <Override PartName="/xl/theme/themeOverride35.xml" ContentType="application/vnd.openxmlformats-officedocument.themeOverride+xml"/>
  <Override PartName="/xl/charts/chart80.xml" ContentType="application/vnd.openxmlformats-officedocument.drawingml.chart+xml"/>
  <Override PartName="/xl/theme/themeOverride36.xml" ContentType="application/vnd.openxmlformats-officedocument.themeOverride+xml"/>
  <Override PartName="/xl/charts/chart81.xml" ContentType="application/vnd.openxmlformats-officedocument.drawingml.chart+xml"/>
  <Override PartName="/xl/theme/themeOverride37.xml" ContentType="application/vnd.openxmlformats-officedocument.themeOverride+xml"/>
  <Override PartName="/xl/charts/chart82.xml" ContentType="application/vnd.openxmlformats-officedocument.drawingml.chart+xml"/>
  <Override PartName="/xl/theme/themeOverride38.xml" ContentType="application/vnd.openxmlformats-officedocument.themeOverride+xml"/>
  <Override PartName="/xl/charts/chart83.xml" ContentType="application/vnd.openxmlformats-officedocument.drawingml.chart+xml"/>
  <Override PartName="/xl/theme/themeOverride39.xml" ContentType="application/vnd.openxmlformats-officedocument.themeOverride+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3.xml" ContentType="application/vnd.openxmlformats-officedocument.drawing+xml"/>
  <Override PartName="/xl/tables/table10.xml" ContentType="application/vnd.openxmlformats-officedocument.spreadsheetml.table+xml"/>
  <Override PartName="/xl/charts/chart87.xml" ContentType="application/vnd.openxmlformats-officedocument.drawingml.chart+xml"/>
  <Override PartName="/xl/theme/themeOverride40.xml" ContentType="application/vnd.openxmlformats-officedocument.themeOverride+xml"/>
  <Override PartName="/xl/charts/chart88.xml" ContentType="application/vnd.openxmlformats-officedocument.drawingml.chart+xml"/>
  <Override PartName="/xl/theme/themeOverride41.xml" ContentType="application/vnd.openxmlformats-officedocument.themeOverride+xml"/>
  <Override PartName="/xl/charts/chart89.xml" ContentType="application/vnd.openxmlformats-officedocument.drawingml.chart+xml"/>
  <Override PartName="/xl/theme/themeOverride42.xml" ContentType="application/vnd.openxmlformats-officedocument.themeOverride+xml"/>
  <Override PartName="/xl/charts/chart90.xml" ContentType="application/vnd.openxmlformats-officedocument.drawingml.chart+xml"/>
  <Override PartName="/xl/theme/themeOverride43.xml" ContentType="application/vnd.openxmlformats-officedocument.themeOverride+xml"/>
  <Override PartName="/xl/charts/chart91.xml" ContentType="application/vnd.openxmlformats-officedocument.drawingml.chart+xml"/>
  <Override PartName="/xl/theme/themeOverride44.xml" ContentType="application/vnd.openxmlformats-officedocument.themeOverride+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4.xml" ContentType="application/vnd.openxmlformats-officedocument.drawing+xml"/>
  <Override PartName="/xl/tables/table11.xml" ContentType="application/vnd.openxmlformats-officedocument.spreadsheetml.table+xml"/>
  <Override PartName="/xl/charts/chart95.xml" ContentType="application/vnd.openxmlformats-officedocument.drawingml.chart+xml"/>
  <Override PartName="/xl/theme/themeOverride45.xml" ContentType="application/vnd.openxmlformats-officedocument.themeOverride+xml"/>
  <Override PartName="/xl/charts/chart96.xml" ContentType="application/vnd.openxmlformats-officedocument.drawingml.chart+xml"/>
  <Override PartName="/xl/theme/themeOverride46.xml" ContentType="application/vnd.openxmlformats-officedocument.themeOverride+xml"/>
  <Override PartName="/xl/charts/chart97.xml" ContentType="application/vnd.openxmlformats-officedocument.drawingml.chart+xml"/>
  <Override PartName="/xl/theme/themeOverride47.xml" ContentType="application/vnd.openxmlformats-officedocument.themeOverride+xml"/>
  <Override PartName="/xl/drawings/drawing15.xml" ContentType="application/vnd.openxmlformats-officedocument.drawing+xml"/>
  <Override PartName="/xl/tables/table12.xml" ContentType="application/vnd.openxmlformats-officedocument.spreadsheetml.table+xml"/>
  <Override PartName="/xl/charts/chart98.xml" ContentType="application/vnd.openxmlformats-officedocument.drawingml.chart+xml"/>
  <Override PartName="/xl/theme/themeOverride48.xml" ContentType="application/vnd.openxmlformats-officedocument.themeOverride+xml"/>
  <Override PartName="/xl/charts/chart99.xml" ContentType="application/vnd.openxmlformats-officedocument.drawingml.chart+xml"/>
  <Override PartName="/xl/theme/themeOverride49.xml" ContentType="application/vnd.openxmlformats-officedocument.themeOverride+xml"/>
  <Override PartName="/xl/charts/chart100.xml" ContentType="application/vnd.openxmlformats-officedocument.drawingml.chart+xml"/>
  <Override PartName="/xl/theme/themeOverride50.xml" ContentType="application/vnd.openxmlformats-officedocument.themeOverride+xml"/>
  <Override PartName="/xl/charts/chart101.xml" ContentType="application/vnd.openxmlformats-officedocument.drawingml.chart+xml"/>
  <Override PartName="/xl/theme/themeOverride51.xml" ContentType="application/vnd.openxmlformats-officedocument.themeOverride+xml"/>
  <Override PartName="/xl/charts/chart102.xml" ContentType="application/vnd.openxmlformats-officedocument.drawingml.chart+xml"/>
  <Override PartName="/xl/theme/themeOverride52.xml" ContentType="application/vnd.openxmlformats-officedocument.themeOverride+xml"/>
  <Override PartName="/xl/drawings/drawing16.xml" ContentType="application/vnd.openxmlformats-officedocument.drawing+xml"/>
  <Override PartName="/xl/tables/table13.xml" ContentType="application/vnd.openxmlformats-officedocument.spreadsheetml.table+xml"/>
  <Override PartName="/xl/comments7.xml" ContentType="application/vnd.openxmlformats-officedocument.spreadsheetml.comments+xml"/>
  <Override PartName="/xl/charts/chart103.xml" ContentType="application/vnd.openxmlformats-officedocument.drawingml.chart+xml"/>
  <Override PartName="/xl/theme/themeOverride53.xml" ContentType="application/vnd.openxmlformats-officedocument.themeOverride+xml"/>
  <Override PartName="/xl/drawings/drawing17.xml" ContentType="application/vnd.openxmlformats-officedocument.drawing+xml"/>
  <Override PartName="/xl/tables/table14.xml" ContentType="application/vnd.openxmlformats-officedocument.spreadsheetml.table+xml"/>
  <Override PartName="/xl/comments8.xml" ContentType="application/vnd.openxmlformats-officedocument.spreadsheetml.comments+xml"/>
  <Override PartName="/xl/charts/chart104.xml" ContentType="application/vnd.openxmlformats-officedocument.drawingml.chart+xml"/>
  <Override PartName="/xl/theme/themeOverride54.xml" ContentType="application/vnd.openxmlformats-officedocument.themeOverride+xml"/>
  <Override PartName="/xl/drawings/drawing18.xml" ContentType="application/vnd.openxmlformats-officedocument.drawing+xml"/>
  <Override PartName="/xl/tables/table15.xml" ContentType="application/vnd.openxmlformats-officedocument.spreadsheetml.table+xml"/>
  <Override PartName="/xl/comments9.xml" ContentType="application/vnd.openxmlformats-officedocument.spreadsheetml.comments+xml"/>
  <Override PartName="/xl/charts/chart105.xml" ContentType="application/vnd.openxmlformats-officedocument.drawingml.chart+xml"/>
  <Override PartName="/xl/theme/themeOverride55.xml" ContentType="application/vnd.openxmlformats-officedocument.themeOverride+xml"/>
  <Override PartName="/xl/drawings/drawing19.xml" ContentType="application/vnd.openxmlformats-officedocument.drawing+xml"/>
  <Override PartName="/xl/tables/table16.xml" ContentType="application/vnd.openxmlformats-officedocument.spreadsheetml.table+xml"/>
  <Override PartName="/xl/drawings/drawing20.xml" ContentType="application/vnd.openxmlformats-officedocument.drawing+xml"/>
  <Override PartName="/xl/tables/table17.xml" ContentType="application/vnd.openxmlformats-officedocument.spreadsheetml.table+xml"/>
  <Override PartName="/xl/comments10.xml" ContentType="application/vnd.openxmlformats-officedocument.spreadsheetml.comments+xml"/>
  <Override PartName="/xl/threadedComments/threadedComment1.xml" ContentType="application/vnd.ms-excel.threadedcomments+xml"/>
  <Override PartName="/xl/charts/chart106.xml" ContentType="application/vnd.openxmlformats-officedocument.drawingml.chart+xml"/>
  <Override PartName="/xl/theme/themeOverride56.xml" ContentType="application/vnd.openxmlformats-officedocument.themeOverride+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21.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mc:AlternateContent xmlns:mc="http://schemas.openxmlformats.org/markup-compatibility/2006">
    <mc:Choice Requires="x15">
      <x15ac:absPath xmlns:x15ac="http://schemas.microsoft.com/office/spreadsheetml/2010/11/ac" url="C:\Users\Stelyana Baleva\Documents\Publishing\"/>
    </mc:Choice>
  </mc:AlternateContent>
  <xr:revisionPtr revIDLastSave="0" documentId="13_ncr:1_{8624EC68-06CF-4CDD-939A-5DE23B25CDCF}" xr6:coauthVersionLast="47" xr6:coauthVersionMax="47" xr10:uidLastSave="{00000000-0000-0000-0000-000000000000}"/>
  <bookViews>
    <workbookView xWindow="-98" yWindow="-98" windowWidth="19396" windowHeight="11475" tabRatio="737" xr2:uid="{00000000-000D-0000-FFFF-FFFF00000000}"/>
  </bookViews>
  <sheets>
    <sheet name="Introduction" sheetId="72" r:id="rId1"/>
    <sheet name="Methodology" sheetId="73" r:id="rId2"/>
    <sheet name="Products" sheetId="27" r:id="rId3"/>
    <sheet name="Figures in the Report" sheetId="28" r:id="rId4"/>
    <sheet name="Google" sheetId="40" r:id="rId5"/>
    <sheet name="Meta" sheetId="42" r:id="rId6"/>
    <sheet name="Amazon" sheetId="43" r:id="rId7"/>
    <sheet name="Microsoft" sheetId="44" r:id="rId8"/>
    <sheet name="Apple" sheetId="45" r:id="rId9"/>
    <sheet name="Alibaba" sheetId="46" r:id="rId10"/>
    <sheet name="Huawei" sheetId="47" r:id="rId11"/>
    <sheet name="Tencent" sheetId="48" r:id="rId12"/>
    <sheet name="Baidu" sheetId="49" r:id="rId13"/>
    <sheet name="ByteDance" sheetId="50" r:id="rId14"/>
    <sheet name="CloudAllOther" sheetId="52" r:id="rId15"/>
    <sheet name="CloudTotal" sheetId="59" r:id="rId16"/>
    <sheet name="Telecom" sheetId="53" r:id="rId17"/>
    <sheet name="Enterprise" sheetId="54" r:id="rId18"/>
    <sheet name="Prices" sheetId="62" r:id="rId19"/>
    <sheet name="TotalMarket" sheetId="57" r:id="rId20"/>
    <sheet name="CostperGbps" sheetId="75" r:id="rId21"/>
  </sheets>
  <externalReferences>
    <externalReference r:id="rId22"/>
    <externalReference r:id="rId23"/>
  </externalReferences>
  <definedNames>
    <definedName name="_Fill" hidden="1">'[1]Sum-Oak'!#REF!</definedName>
    <definedName name="_Key1" hidden="1">[2]Bankruptcies!#REF!</definedName>
    <definedName name="_Key2" hidden="1">#REF!</definedName>
    <definedName name="_Order1" hidden="1">0</definedName>
    <definedName name="_Order2" hidden="1">0</definedName>
    <definedName name="_Sor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"D:\Bonuses\commission Forecast\FY99 Commission Forecast Q4YTD Belgium.mdb"</definedName>
    <definedName name="AI_splits">TotalMarket!$B$171:$W$195</definedName>
    <definedName name="anscount" hidden="1">2</definedName>
    <definedName name="AS2DocOpenMode" hidden="1">"AS2DocumentEdit"</definedName>
    <definedName name="Current_cell">!A1</definedName>
    <definedName name="HTML_CodePage" hidden="1">1252</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Count" hidden="1">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Z_SCORE" hidden="1">"c1339"</definedName>
    <definedName name="Z_2DE5EA60_7A3A_11D2_AE76_0080C7A84E90_.wvu.Cols" hidden="1">#REF!</definedName>
    <definedName name="Z_2DE5EA60_7A3A_11D2_AE76_0080C7A84E90_.wvu.PrintArea" hidden="1">#REF!</definedName>
    <definedName name="Z_2DE5EA60_7A3A_11D2_AE76_0080C7A84E90_.wvu.Rows"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4" i="46" l="1"/>
  <c r="A115" i="46"/>
  <c r="A116" i="46"/>
  <c r="M8" i="40"/>
  <c r="Z8" i="43"/>
  <c r="A101" i="42"/>
  <c r="A102" i="42"/>
  <c r="A103" i="42"/>
  <c r="R250" i="28" l="1"/>
  <c r="O248" i="28"/>
  <c r="P248" i="28"/>
  <c r="Q248" i="28"/>
  <c r="R248" i="28"/>
  <c r="S248" i="28"/>
  <c r="T248" i="28"/>
  <c r="N248" i="28"/>
  <c r="A116" i="49" l="1"/>
  <c r="A115" i="49"/>
  <c r="A116" i="48"/>
  <c r="A115" i="48"/>
  <c r="A97" i="45"/>
  <c r="A96" i="45"/>
  <c r="A95" i="44"/>
  <c r="A94" i="44"/>
  <c r="A109" i="43"/>
  <c r="A108" i="43"/>
  <c r="A108" i="40"/>
  <c r="A107" i="40"/>
  <c r="S250" i="28" l="1"/>
  <c r="B3" i="28" l="1"/>
  <c r="B3" i="75" s="1"/>
  <c r="B2" i="75"/>
  <c r="R8" i="57"/>
  <c r="K8" i="57"/>
  <c r="E8" i="57"/>
  <c r="A8" i="57"/>
  <c r="B3" i="73"/>
  <c r="B2" i="73"/>
  <c r="R112" i="49" l="1"/>
  <c r="S112" i="49" s="1"/>
  <c r="T112" i="49" s="1"/>
  <c r="U112" i="49" s="1"/>
  <c r="V112" i="49" s="1"/>
  <c r="W112" i="49" s="1"/>
  <c r="R112" i="48"/>
  <c r="S112" i="48" s="1"/>
  <c r="T112" i="48" s="1"/>
  <c r="U112" i="48" s="1"/>
  <c r="V112" i="48" s="1"/>
  <c r="W112" i="48" s="1"/>
  <c r="R112" i="46"/>
  <c r="S112" i="46" s="1"/>
  <c r="T112" i="46" s="1"/>
  <c r="R93" i="45"/>
  <c r="S93" i="45" s="1"/>
  <c r="T93" i="45" s="1"/>
  <c r="U93" i="45" s="1"/>
  <c r="V93" i="45" s="1"/>
  <c r="W93" i="45" s="1"/>
  <c r="R91" i="44"/>
  <c r="S91" i="44" s="1"/>
  <c r="T91" i="44" s="1"/>
  <c r="U91" i="44" s="1"/>
  <c r="V91" i="44" s="1"/>
  <c r="W91" i="44" s="1"/>
  <c r="R105" i="43"/>
  <c r="S105" i="43" s="1"/>
  <c r="T105" i="43" s="1"/>
  <c r="U105" i="43" s="1"/>
  <c r="V105" i="43" s="1"/>
  <c r="W105" i="43" s="1"/>
  <c r="R104" i="40"/>
  <c r="R99" i="42"/>
  <c r="S99" i="42" s="1"/>
  <c r="T99" i="42" s="1"/>
  <c r="U99" i="42" s="1"/>
  <c r="V99" i="42" s="1"/>
  <c r="W99" i="42" s="1"/>
  <c r="Q113" i="49"/>
  <c r="P113" i="49"/>
  <c r="O113" i="49"/>
  <c r="N113" i="49"/>
  <c r="Q113" i="48"/>
  <c r="P113" i="48"/>
  <c r="O113" i="48"/>
  <c r="N113" i="48"/>
  <c r="Q113" i="46"/>
  <c r="P113" i="46"/>
  <c r="O113" i="46"/>
  <c r="N113" i="46"/>
  <c r="Q94" i="45"/>
  <c r="P94" i="45"/>
  <c r="O94" i="45"/>
  <c r="N94" i="45"/>
  <c r="Q92" i="44"/>
  <c r="P92" i="44"/>
  <c r="O92" i="44"/>
  <c r="N92" i="44"/>
  <c r="Q106" i="43"/>
  <c r="P106" i="43"/>
  <c r="O106" i="43"/>
  <c r="N106" i="43"/>
  <c r="Q100" i="42"/>
  <c r="P100" i="42"/>
  <c r="O100" i="42"/>
  <c r="N100" i="42"/>
  <c r="X46" i="44"/>
  <c r="X47" i="44"/>
  <c r="X48" i="44"/>
  <c r="O105" i="40"/>
  <c r="P105" i="40"/>
  <c r="Q105" i="40"/>
  <c r="N105" i="40"/>
  <c r="U112" i="46" l="1"/>
  <c r="S104" i="40"/>
  <c r="V112" i="46" l="1"/>
  <c r="T104" i="40"/>
  <c r="A114" i="49"/>
  <c r="A114" i="48"/>
  <c r="W112" i="46" l="1"/>
  <c r="U104" i="40"/>
  <c r="A95" i="45"/>
  <c r="A93" i="44"/>
  <c r="A107" i="43"/>
  <c r="A106" i="40"/>
  <c r="V104" i="40" l="1"/>
  <c r="A194" i="57"/>
  <c r="A173" i="57"/>
  <c r="A174" i="57"/>
  <c r="A175" i="57"/>
  <c r="A176" i="57"/>
  <c r="A177" i="57"/>
  <c r="A178" i="57"/>
  <c r="A179" i="57"/>
  <c r="A180" i="57"/>
  <c r="A181" i="57"/>
  <c r="A182" i="57"/>
  <c r="A183" i="57"/>
  <c r="A184" i="57"/>
  <c r="A185" i="57"/>
  <c r="A186" i="57"/>
  <c r="A187" i="57"/>
  <c r="A188" i="57"/>
  <c r="A189" i="57"/>
  <c r="A190" i="57"/>
  <c r="A191" i="57"/>
  <c r="A192" i="57"/>
  <c r="A193" i="57"/>
  <c r="A172" i="57"/>
  <c r="W104" i="40" l="1"/>
  <c r="V8" i="52"/>
  <c r="O8" i="52"/>
  <c r="H8" i="52"/>
  <c r="B8" i="52"/>
  <c r="J8" i="50"/>
  <c r="B8" i="50"/>
  <c r="AA8" i="49"/>
  <c r="S8" i="49"/>
  <c r="K8" i="49"/>
  <c r="B8" i="49"/>
  <c r="AA8" i="48"/>
  <c r="S8" i="48"/>
  <c r="J8" i="48"/>
  <c r="B8" i="48"/>
  <c r="L8" i="47"/>
  <c r="B8" i="47"/>
  <c r="AA8" i="46"/>
  <c r="S8" i="46"/>
  <c r="J8" i="46"/>
  <c r="B8" i="46"/>
  <c r="Y8" i="45"/>
  <c r="R8" i="45"/>
  <c r="J8" i="45"/>
  <c r="B8" i="45"/>
  <c r="Z8" i="44"/>
  <c r="R8" i="44"/>
  <c r="J8" i="44"/>
  <c r="B8" i="44"/>
  <c r="R8" i="43"/>
  <c r="J8" i="43"/>
  <c r="B8" i="43"/>
  <c r="X8" i="42"/>
  <c r="P8" i="42"/>
  <c r="H8" i="42"/>
  <c r="B8" i="42"/>
  <c r="R8" i="40"/>
  <c r="I8" i="40"/>
  <c r="B8" i="40"/>
  <c r="AI93" i="57" l="1"/>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26" i="57"/>
  <c r="X58" i="48" l="1"/>
  <c r="A4" i="57" l="1"/>
  <c r="M110" i="62" l="1"/>
  <c r="M109" i="62"/>
  <c r="M108" i="62"/>
  <c r="M107" i="62"/>
  <c r="M106" i="62"/>
  <c r="M105" i="62"/>
  <c r="M104" i="62"/>
  <c r="M103" i="62"/>
  <c r="M102" i="62"/>
  <c r="M101" i="62"/>
  <c r="M100" i="62"/>
  <c r="M99" i="62"/>
  <c r="M98" i="62"/>
  <c r="M97" i="62"/>
  <c r="M96" i="62"/>
  <c r="M95" i="62"/>
  <c r="M94" i="62"/>
  <c r="M93" i="62"/>
  <c r="M92" i="62"/>
  <c r="M91" i="62"/>
  <c r="M90" i="62"/>
  <c r="M89" i="62"/>
  <c r="M88" i="62"/>
  <c r="M87" i="62"/>
  <c r="M86" i="62"/>
  <c r="M85" i="62"/>
  <c r="M84" i="62"/>
  <c r="M83" i="62"/>
  <c r="M82" i="62"/>
  <c r="M81" i="62"/>
  <c r="M80" i="62"/>
  <c r="N48" i="44" a="1"/>
  <c r="N48" i="44" s="1"/>
  <c r="M48" i="44" a="1"/>
  <c r="M48" i="44" s="1"/>
  <c r="M79" i="62"/>
  <c r="M78" i="62"/>
  <c r="M77" i="62"/>
  <c r="M76" i="62"/>
  <c r="M75" i="62"/>
  <c r="M74" i="62"/>
  <c r="P50" i="42" a="1"/>
  <c r="P50" i="42" s="1"/>
  <c r="O50" i="42" a="1"/>
  <c r="O50" i="42" s="1"/>
  <c r="N50" i="42" a="1"/>
  <c r="N50" i="42" s="1"/>
  <c r="M50" i="42" a="1"/>
  <c r="M50" i="42" s="1"/>
  <c r="M73" i="62"/>
  <c r="M72" i="62"/>
  <c r="M71" i="62"/>
  <c r="M70" i="62"/>
  <c r="M69" i="62"/>
  <c r="M68" i="62"/>
  <c r="Q46" i="44" a="1"/>
  <c r="Q46" i="44" s="1"/>
  <c r="P46" i="44" a="1"/>
  <c r="P46" i="44" s="1"/>
  <c r="O46" i="44" a="1"/>
  <c r="O46" i="44" s="1"/>
  <c r="N46" i="44" a="1"/>
  <c r="N46" i="44" s="1"/>
  <c r="M46" i="44" a="1"/>
  <c r="M46" i="44" s="1"/>
  <c r="M67" i="62"/>
  <c r="M66" i="62"/>
  <c r="M65" i="62"/>
  <c r="M64" i="62"/>
  <c r="M63" i="62"/>
  <c r="M62" i="62"/>
  <c r="M61" i="62"/>
  <c r="M60" i="62"/>
  <c r="M59" i="62"/>
  <c r="M58" i="62"/>
  <c r="M57" i="62"/>
  <c r="M56" i="62"/>
  <c r="M55" i="62"/>
  <c r="M54" i="62"/>
  <c r="M53" i="62"/>
  <c r="M52" i="62"/>
  <c r="M51" i="62"/>
  <c r="M50" i="62"/>
  <c r="M49" i="62"/>
  <c r="M48" i="62"/>
  <c r="M47" i="62"/>
  <c r="M46" i="62"/>
  <c r="M45" i="62"/>
  <c r="M44" i="62"/>
  <c r="M43" i="62"/>
  <c r="M42" i="62"/>
  <c r="M41" i="62"/>
  <c r="M40" i="62"/>
  <c r="M39" i="62"/>
  <c r="M38" i="62"/>
  <c r="M37" i="62"/>
  <c r="M36" i="62"/>
  <c r="M35" i="62"/>
  <c r="M34" i="62"/>
  <c r="M33" i="62"/>
  <c r="M32" i="62"/>
  <c r="M31" i="62"/>
  <c r="M30" i="62"/>
  <c r="M29" i="62"/>
  <c r="A4" i="62"/>
  <c r="A3" i="62"/>
  <c r="A2" i="62"/>
  <c r="O48" i="44" l="1" a="1"/>
  <c r="O48" i="44" s="1"/>
  <c r="P48" i="44" a="1"/>
  <c r="P48" i="44" s="1"/>
  <c r="Q48" i="44" a="1"/>
  <c r="Q48" i="44" s="1"/>
  <c r="R50" i="42" a="1"/>
  <c r="R50" i="42" s="1"/>
  <c r="Q50" i="42" a="1"/>
  <c r="Q50" i="42" s="1"/>
  <c r="Q50" i="57" a="1"/>
  <c r="Q50" i="57" s="1"/>
  <c r="Q29" i="57" a="1"/>
  <c r="Q29" i="57" s="1"/>
  <c r="Q37" i="57" a="1"/>
  <c r="Q37" i="57" s="1"/>
  <c r="Q54" i="57" a="1"/>
  <c r="Q54" i="57" s="1"/>
  <c r="Q62" i="57" a="1"/>
  <c r="Q62" i="57" s="1"/>
  <c r="Q66" i="57" a="1"/>
  <c r="Q66" i="57" s="1"/>
  <c r="Q72" i="57" a="1"/>
  <c r="Q72" i="57" s="1"/>
  <c r="O73" i="57" a="1"/>
  <c r="O73" i="57" s="1"/>
  <c r="M65" i="52" a="1"/>
  <c r="M65" i="52" s="1"/>
  <c r="R46" i="44" a="1"/>
  <c r="R46" i="44" s="1"/>
  <c r="Q65" i="52" a="1"/>
  <c r="Q65" i="52" s="1"/>
  <c r="O106" i="57" a="1"/>
  <c r="O106" i="57" s="1"/>
  <c r="Q107" i="57" a="1"/>
  <c r="Q107" i="57" s="1"/>
  <c r="O108" i="57" a="1"/>
  <c r="O108" i="57" s="1"/>
  <c r="O110" i="57" a="1"/>
  <c r="O110" i="57" s="1"/>
  <c r="Q111" i="57" a="1"/>
  <c r="Q111" i="57" s="1"/>
  <c r="Q113" i="57" a="1"/>
  <c r="Q113" i="57" s="1"/>
  <c r="Q115" i="57" a="1"/>
  <c r="Q115" i="57" s="1"/>
  <c r="Q117" i="57" a="1"/>
  <c r="Q117" i="57" s="1"/>
  <c r="Q91" i="52" a="1"/>
  <c r="Q91" i="52" s="1"/>
  <c r="Q70" i="42" a="1"/>
  <c r="Q70" i="42" s="1"/>
  <c r="Q77" i="40" a="1"/>
  <c r="Q77" i="40" s="1"/>
  <c r="Q76" i="43" a="1"/>
  <c r="Q76" i="43" s="1"/>
  <c r="Q83" i="48" a="1"/>
  <c r="Q83" i="48" s="1"/>
  <c r="Q121" i="57" a="1"/>
  <c r="Q121" i="57" s="1"/>
  <c r="Q125" i="57" a="1"/>
  <c r="Q125" i="57" s="1"/>
  <c r="Q34" i="57" a="1"/>
  <c r="Q34" i="57" s="1"/>
  <c r="Q38" i="57" a="1"/>
  <c r="Q38" i="57" s="1"/>
  <c r="Q76" i="57" a="1"/>
  <c r="Q76" i="57" s="1"/>
  <c r="N65" i="52" a="1"/>
  <c r="N65" i="52" s="1"/>
  <c r="N101" i="57" a="1"/>
  <c r="N101" i="57" s="1"/>
  <c r="N109" i="57" a="1"/>
  <c r="N109" i="57" s="1"/>
  <c r="P90" i="52" a="1"/>
  <c r="P90" i="52" s="1"/>
  <c r="Q61" i="57" a="1"/>
  <c r="Q61" i="57" s="1"/>
  <c r="Q65" i="57" a="1"/>
  <c r="Q65" i="57" s="1"/>
  <c r="Q69" i="57" a="1"/>
  <c r="Q69" i="57" s="1"/>
  <c r="Q73" i="57" a="1"/>
  <c r="Q73" i="57" s="1"/>
  <c r="O65" i="52" a="1"/>
  <c r="O65" i="52" s="1"/>
  <c r="Q90" i="57" a="1"/>
  <c r="Q90" i="57" s="1"/>
  <c r="Q91" i="57" a="1"/>
  <c r="Q91" i="57" s="1"/>
  <c r="M100" i="57" a="1"/>
  <c r="M100" i="57" s="1"/>
  <c r="Q106" i="57" a="1"/>
  <c r="Q106" i="57" s="1"/>
  <c r="Q108" i="57" a="1"/>
  <c r="Q108" i="57" s="1"/>
  <c r="Q90" i="52" a="1"/>
  <c r="Q90" i="52" s="1"/>
  <c r="Q62" i="44" a="1"/>
  <c r="Q62" i="44" s="1"/>
  <c r="Q76" i="40" a="1"/>
  <c r="Q76" i="40" s="1"/>
  <c r="Q124" i="57" a="1"/>
  <c r="Q124" i="57" s="1"/>
  <c r="P65" i="52" a="1"/>
  <c r="P65" i="52" s="1"/>
  <c r="P107" i="57" a="1"/>
  <c r="P107" i="57" s="1"/>
  <c r="P91" i="52" a="1"/>
  <c r="P91" i="52" s="1"/>
  <c r="P121" i="57" a="1"/>
  <c r="P121" i="57" s="1"/>
  <c r="Q28" i="57" a="1"/>
  <c r="Q28" i="57" s="1"/>
  <c r="O65" i="57" a="1"/>
  <c r="O65" i="57" s="1"/>
  <c r="N69" i="57" a="1"/>
  <c r="N69" i="57" s="1"/>
  <c r="M73" i="57" a="1"/>
  <c r="M73" i="57" s="1"/>
  <c r="O80" i="57" a="1"/>
  <c r="O80" i="57" s="1"/>
  <c r="P109" i="57" a="1"/>
  <c r="P109" i="57" s="1"/>
  <c r="M26" i="57" a="1"/>
  <c r="M26" i="57" s="1"/>
  <c r="P30" i="57" a="1"/>
  <c r="P30" i="57" s="1"/>
  <c r="M37" i="57" a="1"/>
  <c r="M37" i="57" s="1"/>
  <c r="M40" i="57" a="1"/>
  <c r="M40" i="57" s="1"/>
  <c r="N47" i="57" a="1"/>
  <c r="N47" i="57" s="1"/>
  <c r="O56" i="57" a="1"/>
  <c r="O56" i="57" s="1"/>
  <c r="P61" i="57" a="1"/>
  <c r="P61" i="57" s="1"/>
  <c r="N64" i="57" a="1"/>
  <c r="N64" i="57" s="1"/>
  <c r="N73" i="57" a="1"/>
  <c r="N73" i="57" s="1"/>
  <c r="O74" i="57" a="1"/>
  <c r="O74" i="57" s="1"/>
  <c r="P75" i="57" a="1"/>
  <c r="P75" i="57" s="1"/>
  <c r="M78" i="57" a="1"/>
  <c r="M78" i="57" s="1"/>
  <c r="P84" i="57" a="1"/>
  <c r="P84" i="57" s="1"/>
  <c r="Q89" i="57" a="1"/>
  <c r="Q89" i="57" s="1"/>
  <c r="M91" i="57" a="1"/>
  <c r="M91" i="57" s="1"/>
  <c r="O92" i="57" a="1"/>
  <c r="O92" i="57" s="1"/>
  <c r="Q93" i="57" a="1"/>
  <c r="Q93" i="57" s="1"/>
  <c r="N96" i="57" a="1"/>
  <c r="N96" i="57" s="1"/>
  <c r="N100" i="57" a="1"/>
  <c r="N100" i="57" s="1"/>
  <c r="O101" i="57" a="1"/>
  <c r="O101" i="57" s="1"/>
  <c r="P102" i="57" a="1"/>
  <c r="P102" i="57" s="1"/>
  <c r="N105" i="57" a="1"/>
  <c r="N105" i="57" s="1"/>
  <c r="P106" i="57" a="1"/>
  <c r="P106" i="57" s="1"/>
  <c r="Q109" i="57" a="1"/>
  <c r="Q109" i="57" s="1"/>
  <c r="M112" i="57" a="1"/>
  <c r="M112" i="57" s="1"/>
  <c r="O113" i="57" a="1"/>
  <c r="O113" i="57" s="1"/>
  <c r="Q114" i="57" a="1"/>
  <c r="Q114" i="57" s="1"/>
  <c r="M117" i="57" a="1"/>
  <c r="M117" i="57" s="1"/>
  <c r="O118" i="57" a="1"/>
  <c r="O118" i="57" s="1"/>
  <c r="P119" i="57" a="1"/>
  <c r="P119" i="57" s="1"/>
  <c r="M122" i="57" a="1"/>
  <c r="M122" i="57" s="1"/>
  <c r="O123" i="57" a="1"/>
  <c r="O123" i="57" s="1"/>
  <c r="P33" i="57" a="1"/>
  <c r="P33" i="57" s="1"/>
  <c r="O38" i="57" a="1"/>
  <c r="O38" i="57" s="1"/>
  <c r="O41" i="57" a="1"/>
  <c r="O41" i="57" s="1"/>
  <c r="M47" i="57" a="1"/>
  <c r="M47" i="57" s="1"/>
  <c r="P57" i="57" a="1"/>
  <c r="P57" i="57" s="1"/>
  <c r="N79" i="57" a="1"/>
  <c r="N79" i="57" s="1"/>
  <c r="Q103" i="57" a="1"/>
  <c r="Q103" i="57" s="1"/>
  <c r="M105" i="57" a="1"/>
  <c r="M105" i="57" s="1"/>
  <c r="O27" i="57" a="1"/>
  <c r="O27" i="57" s="1"/>
  <c r="Q33" i="57" a="1"/>
  <c r="Q33" i="57" s="1"/>
  <c r="O35" i="57" a="1"/>
  <c r="O35" i="57" s="1"/>
  <c r="P38" i="57" a="1"/>
  <c r="P38" i="57" s="1"/>
  <c r="P41" i="57" a="1"/>
  <c r="P41" i="57" s="1"/>
  <c r="N43" i="57" a="1"/>
  <c r="N43" i="57" s="1"/>
  <c r="M68" i="57" a="1"/>
  <c r="M68" i="57" s="1"/>
  <c r="N87" i="57" a="1"/>
  <c r="N87" i="57" s="1"/>
  <c r="O88" i="57" a="1"/>
  <c r="O88" i="57" s="1"/>
  <c r="P97" i="57" a="1"/>
  <c r="P97" i="57" s="1"/>
  <c r="N26" i="57" a="1"/>
  <c r="N26" i="57" s="1"/>
  <c r="O32" i="57" a="1"/>
  <c r="O32" i="57" s="1"/>
  <c r="M34" i="57" a="1"/>
  <c r="M34" i="57" s="1"/>
  <c r="P35" i="57" a="1"/>
  <c r="P35" i="57" s="1"/>
  <c r="N37" i="57" a="1"/>
  <c r="N37" i="57" s="1"/>
  <c r="N40" i="57" a="1"/>
  <c r="N40" i="57" s="1"/>
  <c r="Q41" i="57" a="1"/>
  <c r="Q41" i="57" s="1"/>
  <c r="O43" i="57" a="1"/>
  <c r="O43" i="57" s="1"/>
  <c r="M46" i="57" a="1"/>
  <c r="M46" i="57" s="1"/>
  <c r="O47" i="57" a="1"/>
  <c r="O47" i="57" s="1"/>
  <c r="Q48" i="57" a="1"/>
  <c r="Q48" i="57" s="1"/>
  <c r="M50" i="57" a="1"/>
  <c r="M50" i="57" s="1"/>
  <c r="O51" i="57" a="1"/>
  <c r="O51" i="57" s="1"/>
  <c r="Q52" i="57" a="1"/>
  <c r="Q52" i="57" s="1"/>
  <c r="N55" i="57" a="1"/>
  <c r="N55" i="57" s="1"/>
  <c r="P56" i="57" a="1"/>
  <c r="P56" i="57" s="1"/>
  <c r="N59" i="57" a="1"/>
  <c r="N59" i="57" s="1"/>
  <c r="O60" i="57" a="1"/>
  <c r="O60" i="57" s="1"/>
  <c r="M63" i="57" a="1"/>
  <c r="M63" i="57" s="1"/>
  <c r="O64" i="57" a="1"/>
  <c r="O64" i="57" s="1"/>
  <c r="N68" i="57" a="1"/>
  <c r="N68" i="57" s="1"/>
  <c r="P69" i="57" a="1"/>
  <c r="P69" i="57" s="1"/>
  <c r="Q70" i="57" a="1"/>
  <c r="Q70" i="57" s="1"/>
  <c r="M72" i="57" a="1"/>
  <c r="M72" i="57" s="1"/>
  <c r="P74" i="57" a="1"/>
  <c r="P74" i="57" s="1"/>
  <c r="Q75" i="57" a="1"/>
  <c r="Q75" i="57" s="1"/>
  <c r="N78" i="57" a="1"/>
  <c r="N78" i="57" s="1"/>
  <c r="P79" i="57" a="1"/>
  <c r="P79" i="57" s="1"/>
  <c r="Q80" i="57" a="1"/>
  <c r="Q80" i="57" s="1"/>
  <c r="M82" i="57" a="1"/>
  <c r="M82" i="57" s="1"/>
  <c r="O83" i="57" a="1"/>
  <c r="O83" i="57" s="1"/>
  <c r="Q84" i="57" a="1"/>
  <c r="Q84" i="57" s="1"/>
  <c r="M86" i="57" a="1"/>
  <c r="M86" i="57" s="1"/>
  <c r="O87" i="57" a="1"/>
  <c r="O87" i="57" s="1"/>
  <c r="P88" i="57" a="1"/>
  <c r="P88" i="57" s="1"/>
  <c r="N91" i="57" a="1"/>
  <c r="N91" i="57" s="1"/>
  <c r="P92" i="57" a="1"/>
  <c r="P92" i="57" s="1"/>
  <c r="M95" i="57" a="1"/>
  <c r="M95" i="57" s="1"/>
  <c r="O96" i="57" a="1"/>
  <c r="O96" i="57" s="1"/>
  <c r="Q97" i="57" a="1"/>
  <c r="Q97" i="57" s="1"/>
  <c r="M99" i="57" a="1"/>
  <c r="M99" i="57" s="1"/>
  <c r="O100" i="57" a="1"/>
  <c r="O100" i="57" s="1"/>
  <c r="P101" i="57" a="1"/>
  <c r="P101" i="57" s="1"/>
  <c r="Q102" i="57" a="1"/>
  <c r="Q102" i="57" s="1"/>
  <c r="M104" i="57" a="1"/>
  <c r="M104" i="57" s="1"/>
  <c r="O105" i="57" a="1"/>
  <c r="O105" i="57" s="1"/>
  <c r="N112" i="57" a="1"/>
  <c r="N112" i="57" s="1"/>
  <c r="P113" i="57" a="1"/>
  <c r="P113" i="57" s="1"/>
  <c r="M116" i="57" a="1"/>
  <c r="M116" i="57" s="1"/>
  <c r="N117" i="57" a="1"/>
  <c r="N117" i="57" s="1"/>
  <c r="P118" i="57" a="1"/>
  <c r="P118" i="57" s="1"/>
  <c r="Q119" i="57" a="1"/>
  <c r="Q119" i="57" s="1"/>
  <c r="M121" i="57" a="1"/>
  <c r="M121" i="57" s="1"/>
  <c r="N122" i="57" a="1"/>
  <c r="N122" i="57" s="1"/>
  <c r="P123" i="57" a="1"/>
  <c r="P123" i="57" s="1"/>
  <c r="P44" i="57" a="1"/>
  <c r="P44" i="57" s="1"/>
  <c r="O48" i="57" a="1"/>
  <c r="O48" i="57" s="1"/>
  <c r="Q53" i="57" a="1"/>
  <c r="Q53" i="57" s="1"/>
  <c r="N92" i="57" a="1"/>
  <c r="N92" i="57" s="1"/>
  <c r="O102" i="57" a="1"/>
  <c r="O102" i="57" s="1"/>
  <c r="Q44" i="57" a="1"/>
  <c r="Q44" i="57" s="1"/>
  <c r="P48" i="57" a="1"/>
  <c r="P48" i="57" s="1"/>
  <c r="N60" i="57" a="1"/>
  <c r="N60" i="57" s="1"/>
  <c r="O79" i="57" a="1"/>
  <c r="O79" i="57" s="1"/>
  <c r="P80" i="57" a="1"/>
  <c r="P80" i="57" s="1"/>
  <c r="N83" i="57" a="1"/>
  <c r="N83" i="57" s="1"/>
  <c r="P27" i="57" a="1"/>
  <c r="P27" i="57" s="1"/>
  <c r="Q30" i="57" a="1"/>
  <c r="Q30" i="57" s="1"/>
  <c r="O26" i="57" a="1"/>
  <c r="O26" i="57" s="1"/>
  <c r="Q27" i="57" a="1"/>
  <c r="Q27" i="57" s="1"/>
  <c r="O29" i="57" a="1"/>
  <c r="O29" i="57" s="1"/>
  <c r="M31" i="57" a="1"/>
  <c r="M31" i="57" s="1"/>
  <c r="P32" i="57" a="1"/>
  <c r="P32" i="57" s="1"/>
  <c r="N34" i="57" a="1"/>
  <c r="N34" i="57" s="1"/>
  <c r="Q35" i="57" a="1"/>
  <c r="Q35" i="57" s="1"/>
  <c r="O37" i="57" a="1"/>
  <c r="O37" i="57" s="1"/>
  <c r="O40" i="57" a="1"/>
  <c r="O40" i="57" s="1"/>
  <c r="M42" i="57" a="1"/>
  <c r="M42" i="57" s="1"/>
  <c r="P43" i="57" a="1"/>
  <c r="P43" i="57" s="1"/>
  <c r="N46" i="57" a="1"/>
  <c r="N46" i="57" s="1"/>
  <c r="P47" i="57" a="1"/>
  <c r="P47" i="57" s="1"/>
  <c r="N50" i="57" a="1"/>
  <c r="N50" i="57" s="1"/>
  <c r="P51" i="57" a="1"/>
  <c r="P51" i="57" s="1"/>
  <c r="M54" i="57" a="1"/>
  <c r="M54" i="57" s="1"/>
  <c r="O55" i="57" a="1"/>
  <c r="O55" i="57" s="1"/>
  <c r="Q56" i="57" a="1"/>
  <c r="Q56" i="57" s="1"/>
  <c r="M58" i="57" a="1"/>
  <c r="M58" i="57" s="1"/>
  <c r="O59" i="57" a="1"/>
  <c r="O59" i="57" s="1"/>
  <c r="P60" i="57" a="1"/>
  <c r="P60" i="57" s="1"/>
  <c r="N63" i="57" a="1"/>
  <c r="N63" i="57" s="1"/>
  <c r="P64" i="57" a="1"/>
  <c r="P64" i="57" s="1"/>
  <c r="R67" i="57" a="1"/>
  <c r="R67" i="57" s="1"/>
  <c r="M67" i="57" a="1"/>
  <c r="M67" i="57" s="1"/>
  <c r="O68" i="57" a="1"/>
  <c r="O68" i="57" s="1"/>
  <c r="N72" i="57" a="1"/>
  <c r="N72" i="57" s="1"/>
  <c r="P73" i="57" a="1"/>
  <c r="P73" i="57" s="1"/>
  <c r="Q74" i="57" a="1"/>
  <c r="Q74" i="57" s="1"/>
  <c r="M77" i="57" a="1"/>
  <c r="M77" i="57" s="1"/>
  <c r="O78" i="57" a="1"/>
  <c r="O78" i="57" s="1"/>
  <c r="Q79" i="57" a="1"/>
  <c r="Q79" i="57" s="1"/>
  <c r="N82" i="57" a="1"/>
  <c r="N82" i="57" s="1"/>
  <c r="P83" i="57" a="1"/>
  <c r="P83" i="57" s="1"/>
  <c r="N86" i="57" a="1"/>
  <c r="N86" i="57" s="1"/>
  <c r="P87" i="57" a="1"/>
  <c r="P87" i="57" s="1"/>
  <c r="Q88" i="57" a="1"/>
  <c r="Q88" i="57" s="1"/>
  <c r="M90" i="57" a="1"/>
  <c r="M90" i="57" s="1"/>
  <c r="O91" i="57" a="1"/>
  <c r="O91" i="57" s="1"/>
  <c r="Q92" i="57" a="1"/>
  <c r="Q92" i="57" s="1"/>
  <c r="N95" i="57" a="1"/>
  <c r="N95" i="57" s="1"/>
  <c r="P96" i="57" a="1"/>
  <c r="P96" i="57" s="1"/>
  <c r="N99" i="57" a="1"/>
  <c r="N99" i="57" s="1"/>
  <c r="P100" i="57" a="1"/>
  <c r="P100" i="57" s="1"/>
  <c r="Q101" i="57" a="1"/>
  <c r="Q101" i="57" s="1"/>
  <c r="N104" i="57" a="1"/>
  <c r="N104" i="57" s="1"/>
  <c r="P105" i="57" a="1"/>
  <c r="P105" i="57" s="1"/>
  <c r="M111" i="57" a="1"/>
  <c r="M111" i="57" s="1"/>
  <c r="O112" i="57" a="1"/>
  <c r="O112" i="57" s="1"/>
  <c r="M115" i="57" a="1"/>
  <c r="M115" i="57" s="1"/>
  <c r="N116" i="57" a="1"/>
  <c r="N116" i="57" s="1"/>
  <c r="O117" i="57" a="1"/>
  <c r="O117" i="57" s="1"/>
  <c r="Q118" i="57" a="1"/>
  <c r="Q118" i="57" s="1"/>
  <c r="N121" i="57" a="1"/>
  <c r="N121" i="57" s="1"/>
  <c r="O122" i="57" a="1"/>
  <c r="O122" i="57" s="1"/>
  <c r="Q123" i="57" a="1"/>
  <c r="Q123" i="57" s="1"/>
  <c r="M125" i="57" a="1"/>
  <c r="M125" i="57" s="1"/>
  <c r="Q49" i="57" a="1"/>
  <c r="Q49" i="57" s="1"/>
  <c r="M60" i="57" a="1"/>
  <c r="M60" i="57" s="1"/>
  <c r="P66" i="57" a="1"/>
  <c r="P66" i="57" s="1"/>
  <c r="O70" i="57" a="1"/>
  <c r="O70" i="57" s="1"/>
  <c r="Q81" i="57" a="1"/>
  <c r="Q81" i="57" s="1"/>
  <c r="N88" i="57" a="1"/>
  <c r="N88" i="57" s="1"/>
  <c r="M29" i="57" a="1"/>
  <c r="M29" i="57" s="1"/>
  <c r="N32" i="57" a="1"/>
  <c r="N32" i="57" s="1"/>
  <c r="Q57" i="57" a="1"/>
  <c r="Q57" i="57" s="1"/>
  <c r="P65" i="57" a="1"/>
  <c r="P65" i="57" s="1"/>
  <c r="P70" i="57" a="1"/>
  <c r="P70" i="57" s="1"/>
  <c r="N29" i="57" a="1"/>
  <c r="N29" i="57" s="1"/>
  <c r="P26" i="57" a="1"/>
  <c r="P26" i="57" s="1"/>
  <c r="M28" i="57" a="1"/>
  <c r="M28" i="57" s="1"/>
  <c r="P29" i="57" a="1"/>
  <c r="P29" i="57" s="1"/>
  <c r="N31" i="57" a="1"/>
  <c r="N31" i="57" s="1"/>
  <c r="Q32" i="57" a="1"/>
  <c r="Q32" i="57" s="1"/>
  <c r="O34" i="57" a="1"/>
  <c r="O34" i="57" s="1"/>
  <c r="M36" i="57" a="1"/>
  <c r="M36" i="57" s="1"/>
  <c r="P37" i="57" a="1"/>
  <c r="P37" i="57" s="1"/>
  <c r="M39" i="57" a="1"/>
  <c r="M39" i="57" s="1"/>
  <c r="P40" i="57" a="1"/>
  <c r="P40" i="57" s="1"/>
  <c r="N42" i="57" a="1"/>
  <c r="N42" i="57" s="1"/>
  <c r="Q43" i="57" a="1"/>
  <c r="Q43" i="57" s="1"/>
  <c r="M45" i="57" a="1"/>
  <c r="M45" i="57" s="1"/>
  <c r="O46" i="57" a="1"/>
  <c r="O46" i="57" s="1"/>
  <c r="Q47" i="57" a="1"/>
  <c r="Q47" i="57" s="1"/>
  <c r="M49" i="57" a="1"/>
  <c r="M49" i="57" s="1"/>
  <c r="O50" i="57" a="1"/>
  <c r="O50" i="57" s="1"/>
  <c r="Q51" i="57" a="1"/>
  <c r="Q51" i="57" s="1"/>
  <c r="M53" i="57" a="1"/>
  <c r="M53" i="57" s="1"/>
  <c r="N54" i="57" a="1"/>
  <c r="N54" i="57" s="1"/>
  <c r="P55" i="57" a="1"/>
  <c r="P55" i="57" s="1"/>
  <c r="N58" i="57" a="1"/>
  <c r="N58" i="57" s="1"/>
  <c r="P59" i="57" a="1"/>
  <c r="P59" i="57" s="1"/>
  <c r="Q60" i="57" a="1"/>
  <c r="Q60" i="57" s="1"/>
  <c r="M62" i="57" a="1"/>
  <c r="M62" i="57" s="1"/>
  <c r="O63" i="57" a="1"/>
  <c r="O63" i="57" s="1"/>
  <c r="Q64" i="57" a="1"/>
  <c r="Q64" i="57" s="1"/>
  <c r="N67" i="57" a="1"/>
  <c r="N67" i="57" s="1"/>
  <c r="P68" i="57" a="1"/>
  <c r="P68" i="57" s="1"/>
  <c r="M71" i="57" a="1"/>
  <c r="M71" i="57" s="1"/>
  <c r="O72" i="57" a="1"/>
  <c r="O72" i="57" s="1"/>
  <c r="N77" i="57" a="1"/>
  <c r="N77" i="57" s="1"/>
  <c r="P78" i="57" a="1"/>
  <c r="P78" i="57" s="1"/>
  <c r="M81" i="57" a="1"/>
  <c r="M81" i="57" s="1"/>
  <c r="O82" i="57" a="1"/>
  <c r="O82" i="57" s="1"/>
  <c r="Q83" i="57" a="1"/>
  <c r="Q83" i="57" s="1"/>
  <c r="M85" i="57" a="1"/>
  <c r="M85" i="57" s="1"/>
  <c r="O86" i="57" a="1"/>
  <c r="O86" i="57" s="1"/>
  <c r="Q87" i="57" a="1"/>
  <c r="Q87" i="57" s="1"/>
  <c r="N90" i="57" a="1"/>
  <c r="N90" i="57" s="1"/>
  <c r="P91" i="57" a="1"/>
  <c r="P91" i="57" s="1"/>
  <c r="M94" i="57" a="1"/>
  <c r="M94" i="57" s="1"/>
  <c r="O95" i="57" a="1"/>
  <c r="O95" i="57" s="1"/>
  <c r="Q96" i="57" a="1"/>
  <c r="Q96" i="57" s="1"/>
  <c r="M98" i="57" a="1"/>
  <c r="M98" i="57" s="1"/>
  <c r="O99" i="57" a="1"/>
  <c r="O99" i="57" s="1"/>
  <c r="Q100" i="57" a="1"/>
  <c r="Q100" i="57" s="1"/>
  <c r="M103" i="57" a="1"/>
  <c r="M103" i="57" s="1"/>
  <c r="O104" i="57" a="1"/>
  <c r="O104" i="57" s="1"/>
  <c r="Q105" i="57" a="1"/>
  <c r="Q105" i="57" s="1"/>
  <c r="M108" i="57" a="1"/>
  <c r="M108" i="57" s="1"/>
  <c r="M110" i="57" a="1"/>
  <c r="M110" i="57" s="1"/>
  <c r="N111" i="57" a="1"/>
  <c r="N111" i="57" s="1"/>
  <c r="P112" i="57" a="1"/>
  <c r="P112" i="57" s="1"/>
  <c r="N115" i="57" a="1"/>
  <c r="N115" i="57" s="1"/>
  <c r="O116" i="57" a="1"/>
  <c r="O116" i="57" s="1"/>
  <c r="P117" i="57" a="1"/>
  <c r="P117" i="57" s="1"/>
  <c r="M120" i="57" a="1"/>
  <c r="M120" i="57" s="1"/>
  <c r="O121" i="57" a="1"/>
  <c r="O121" i="57" s="1"/>
  <c r="P122" i="57" a="1"/>
  <c r="P122" i="57" s="1"/>
  <c r="N125" i="57" a="1"/>
  <c r="N125" i="57" s="1"/>
  <c r="Q36" i="57" a="1"/>
  <c r="Q36" i="57" s="1"/>
  <c r="Q39" i="57" a="1"/>
  <c r="Q39" i="57" s="1"/>
  <c r="M43" i="57" a="1"/>
  <c r="M43" i="57" s="1"/>
  <c r="Q45" i="57" a="1"/>
  <c r="Q45" i="57" s="1"/>
  <c r="M51" i="57" a="1"/>
  <c r="M51" i="57" s="1"/>
  <c r="M64" i="57" a="1"/>
  <c r="M64" i="57" s="1"/>
  <c r="O75" i="57" a="1"/>
  <c r="O75" i="57" s="1"/>
  <c r="Q110" i="57" a="1"/>
  <c r="Q110" i="57" s="1"/>
  <c r="N51" i="57" a="1"/>
  <c r="N51" i="57" s="1"/>
  <c r="P52" i="57" a="1"/>
  <c r="P52" i="57" s="1"/>
  <c r="M55" i="57" a="1"/>
  <c r="M55" i="57" s="1"/>
  <c r="M59" i="57" a="1"/>
  <c r="M59" i="57" s="1"/>
  <c r="O69" i="57" a="1"/>
  <c r="O69" i="57" s="1"/>
  <c r="Q26" i="57" a="1"/>
  <c r="Q26" i="57" s="1"/>
  <c r="N28" i="57" a="1"/>
  <c r="N28" i="57" s="1"/>
  <c r="O31" i="57" a="1"/>
  <c r="O31" i="57" s="1"/>
  <c r="M33" i="57" a="1"/>
  <c r="M33" i="57" s="1"/>
  <c r="P34" i="57" a="1"/>
  <c r="P34" i="57" s="1"/>
  <c r="N36" i="57" a="1"/>
  <c r="N36" i="57" s="1"/>
  <c r="N39" i="57" a="1"/>
  <c r="N39" i="57" s="1"/>
  <c r="Q40" i="57" a="1"/>
  <c r="Q40" i="57" s="1"/>
  <c r="O42" i="57" a="1"/>
  <c r="O42" i="57" s="1"/>
  <c r="M44" i="57" a="1"/>
  <c r="M44" i="57" s="1"/>
  <c r="N45" i="57" a="1"/>
  <c r="N45" i="57" s="1"/>
  <c r="P46" i="57" a="1"/>
  <c r="P46" i="57" s="1"/>
  <c r="N49" i="57" a="1"/>
  <c r="N49" i="57" s="1"/>
  <c r="P50" i="57" a="1"/>
  <c r="P50" i="57" s="1"/>
  <c r="N53" i="57" a="1"/>
  <c r="N53" i="57" s="1"/>
  <c r="O54" i="57" a="1"/>
  <c r="O54" i="57" s="1"/>
  <c r="Q55" i="57" a="1"/>
  <c r="Q55" i="57" s="1"/>
  <c r="M57" i="57" a="1"/>
  <c r="M57" i="57" s="1"/>
  <c r="O58" i="57" a="1"/>
  <c r="O58" i="57" s="1"/>
  <c r="Q59" i="57" a="1"/>
  <c r="Q59" i="57" s="1"/>
  <c r="N62" i="57" a="1"/>
  <c r="N62" i="57" s="1"/>
  <c r="P63" i="57" a="1"/>
  <c r="P63" i="57" s="1"/>
  <c r="M66" i="57" a="1"/>
  <c r="M66" i="57" s="1"/>
  <c r="O67" i="57" a="1"/>
  <c r="O67" i="57" s="1"/>
  <c r="Q68" i="57" a="1"/>
  <c r="Q68" i="57" s="1"/>
  <c r="N71" i="57" a="1"/>
  <c r="N71" i="57" s="1"/>
  <c r="P72" i="57" a="1"/>
  <c r="P72" i="57" s="1"/>
  <c r="M76" i="57" a="1"/>
  <c r="M76" i="57" s="1"/>
  <c r="O77" i="57" a="1"/>
  <c r="O77" i="57" s="1"/>
  <c r="Q78" i="57" a="1"/>
  <c r="Q78" i="57" s="1"/>
  <c r="N81" i="57" a="1"/>
  <c r="N81" i="57" s="1"/>
  <c r="P82" i="57" a="1"/>
  <c r="P82" i="57" s="1"/>
  <c r="N85" i="57" a="1"/>
  <c r="N85" i="57" s="1"/>
  <c r="P86" i="57" a="1"/>
  <c r="P86" i="57" s="1"/>
  <c r="M89" i="57" a="1"/>
  <c r="M89" i="57" s="1"/>
  <c r="O90" i="57" a="1"/>
  <c r="O90" i="57" s="1"/>
  <c r="M93" i="57" a="1"/>
  <c r="M93" i="57" s="1"/>
  <c r="N94" i="57" a="1"/>
  <c r="N94" i="57" s="1"/>
  <c r="P95" i="57" a="1"/>
  <c r="P95" i="57" s="1"/>
  <c r="N98" i="57" a="1"/>
  <c r="N98" i="57" s="1"/>
  <c r="P99" i="57" a="1"/>
  <c r="P99" i="57" s="1"/>
  <c r="N103" i="57" a="1"/>
  <c r="N103" i="57" s="1"/>
  <c r="P104" i="57" a="1"/>
  <c r="P104" i="57" s="1"/>
  <c r="M107" i="57" a="1"/>
  <c r="M107" i="57" s="1"/>
  <c r="N108" i="57" a="1"/>
  <c r="N108" i="57" s="1"/>
  <c r="M109" i="57" a="1"/>
  <c r="M109" i="57" s="1"/>
  <c r="N110" i="57" a="1"/>
  <c r="N110" i="57" s="1"/>
  <c r="O111" i="57" a="1"/>
  <c r="O111" i="57" s="1"/>
  <c r="Q112" i="57" a="1"/>
  <c r="Q112" i="57" s="1"/>
  <c r="M114" i="57" a="1"/>
  <c r="M114" i="57" s="1"/>
  <c r="O115" i="57" a="1"/>
  <c r="O115" i="57" s="1"/>
  <c r="P116" i="57" a="1"/>
  <c r="P116" i="57" s="1"/>
  <c r="N120" i="57" a="1"/>
  <c r="N120" i="57" s="1"/>
  <c r="Q122" i="57" a="1"/>
  <c r="Q122" i="57" s="1"/>
  <c r="M124" i="57" a="1"/>
  <c r="M124" i="57" s="1"/>
  <c r="O125" i="57" a="1"/>
  <c r="O125" i="57" s="1"/>
  <c r="M32" i="57" a="1"/>
  <c r="M32" i="57" s="1"/>
  <c r="O61" i="57" a="1"/>
  <c r="O61" i="57" s="1"/>
  <c r="N74" i="57" a="1"/>
  <c r="N74" i="57" s="1"/>
  <c r="Q94" i="57" a="1"/>
  <c r="Q94" i="57" s="1"/>
  <c r="M52" i="57" a="1"/>
  <c r="M52" i="57" s="1"/>
  <c r="O53" i="57" a="1"/>
  <c r="O53" i="57" s="1"/>
  <c r="P54" i="57" a="1"/>
  <c r="P54" i="57" s="1"/>
  <c r="N57" i="57" a="1"/>
  <c r="N57" i="57" s="1"/>
  <c r="M61" i="57" a="1"/>
  <c r="M61" i="57" s="1"/>
  <c r="O62" i="57" a="1"/>
  <c r="O62" i="57" s="1"/>
  <c r="M75" i="57" a="1"/>
  <c r="M75" i="57" s="1"/>
  <c r="N76" i="57" a="1"/>
  <c r="N76" i="57" s="1"/>
  <c r="P77" i="57" a="1"/>
  <c r="P77" i="57" s="1"/>
  <c r="M80" i="57" a="1"/>
  <c r="M80" i="57" s="1"/>
  <c r="O81" i="57" a="1"/>
  <c r="O81" i="57" s="1"/>
  <c r="Q82" i="57" a="1"/>
  <c r="Q82" i="57" s="1"/>
  <c r="M84" i="57" a="1"/>
  <c r="M84" i="57" s="1"/>
  <c r="O85" i="57" a="1"/>
  <c r="O85" i="57" s="1"/>
  <c r="Q86" i="57" a="1"/>
  <c r="Q86" i="57" s="1"/>
  <c r="N89" i="57" a="1"/>
  <c r="N89" i="57" s="1"/>
  <c r="P90" i="57" a="1"/>
  <c r="P90" i="57" s="1"/>
  <c r="N93" i="57" a="1"/>
  <c r="N93" i="57" s="1"/>
  <c r="O94" i="57" a="1"/>
  <c r="O94" i="57" s="1"/>
  <c r="Q95" i="57" a="1"/>
  <c r="Q95" i="57" s="1"/>
  <c r="M97" i="57" a="1"/>
  <c r="M97" i="57" s="1"/>
  <c r="O98" i="57" a="1"/>
  <c r="O98" i="57" s="1"/>
  <c r="Q99" i="57" a="1"/>
  <c r="Q99" i="57" s="1"/>
  <c r="M102" i="57" a="1"/>
  <c r="M102" i="57" s="1"/>
  <c r="O103" i="57" a="1"/>
  <c r="O103" i="57" s="1"/>
  <c r="Q104" i="57" a="1"/>
  <c r="Q104" i="57" s="1"/>
  <c r="M106" i="57" a="1"/>
  <c r="M106" i="57" s="1"/>
  <c r="N107" i="57" a="1"/>
  <c r="N107" i="57" s="1"/>
  <c r="P111" i="57" a="1"/>
  <c r="P111" i="57" s="1"/>
  <c r="N114" i="57" a="1"/>
  <c r="N114" i="57" s="1"/>
  <c r="P115" i="57" a="1"/>
  <c r="P115" i="57" s="1"/>
  <c r="Q116" i="57" a="1"/>
  <c r="Q116" i="57" s="1"/>
  <c r="M119" i="57" a="1"/>
  <c r="M119" i="57" s="1"/>
  <c r="O120" i="57" a="1"/>
  <c r="O120" i="57" s="1"/>
  <c r="N124" i="57" a="1"/>
  <c r="N124" i="57" s="1"/>
  <c r="P125" i="57" a="1"/>
  <c r="P125" i="57" s="1"/>
  <c r="N27" i="57" a="1"/>
  <c r="N27" i="57" s="1"/>
  <c r="O28" i="57" a="1"/>
  <c r="O28" i="57" s="1"/>
  <c r="M30" i="57" a="1"/>
  <c r="M30" i="57" s="1"/>
  <c r="P31" i="57" a="1"/>
  <c r="P31" i="57" s="1"/>
  <c r="N33" i="57" a="1"/>
  <c r="N33" i="57" s="1"/>
  <c r="O36" i="57" a="1"/>
  <c r="O36" i="57" s="1"/>
  <c r="M38" i="57" a="1"/>
  <c r="M38" i="57" s="1"/>
  <c r="O39" i="57" a="1"/>
  <c r="O39" i="57" s="1"/>
  <c r="M41" i="57" a="1"/>
  <c r="M41" i="57" s="1"/>
  <c r="P42" i="57" a="1"/>
  <c r="P42" i="57" s="1"/>
  <c r="N44" i="57" a="1"/>
  <c r="N44" i="57" s="1"/>
  <c r="O45" i="57" a="1"/>
  <c r="O45" i="57" s="1"/>
  <c r="Q46" i="57" a="1"/>
  <c r="Q46" i="57" s="1"/>
  <c r="M48" i="57" a="1"/>
  <c r="M48" i="57" s="1"/>
  <c r="O49" i="57" a="1"/>
  <c r="O49" i="57" s="1"/>
  <c r="P58" i="57" a="1"/>
  <c r="P58" i="57" s="1"/>
  <c r="Q63" i="57" a="1"/>
  <c r="Q63" i="57" s="1"/>
  <c r="M65" i="57" a="1"/>
  <c r="M65" i="57" s="1"/>
  <c r="N66" i="57" a="1"/>
  <c r="N66" i="57" s="1"/>
  <c r="P67" i="57" a="1"/>
  <c r="P67" i="57" s="1"/>
  <c r="M70" i="57" a="1"/>
  <c r="M70" i="57" s="1"/>
  <c r="O71" i="57" a="1"/>
  <c r="O71" i="57" s="1"/>
  <c r="M27" i="57" a="1"/>
  <c r="M27" i="57" s="1"/>
  <c r="P28" i="57" a="1"/>
  <c r="P28" i="57" s="1"/>
  <c r="N30" i="57" a="1"/>
  <c r="N30" i="57" s="1"/>
  <c r="Q31" i="57" a="1"/>
  <c r="Q31" i="57" s="1"/>
  <c r="O33" i="57" a="1"/>
  <c r="O33" i="57" s="1"/>
  <c r="M35" i="57" a="1"/>
  <c r="M35" i="57" s="1"/>
  <c r="P36" i="57" a="1"/>
  <c r="P36" i="57" s="1"/>
  <c r="N38" i="57" a="1"/>
  <c r="N38" i="57" s="1"/>
  <c r="P39" i="57" a="1"/>
  <c r="P39" i="57" s="1"/>
  <c r="N41" i="57" a="1"/>
  <c r="N41" i="57" s="1"/>
  <c r="Q42" i="57" a="1"/>
  <c r="Q42" i="57" s="1"/>
  <c r="O44" i="57" a="1"/>
  <c r="O44" i="57" s="1"/>
  <c r="P45" i="57" a="1"/>
  <c r="P45" i="57" s="1"/>
  <c r="N48" i="57" a="1"/>
  <c r="N48" i="57" s="1"/>
  <c r="P49" i="57" a="1"/>
  <c r="P49" i="57" s="1"/>
  <c r="N52" i="57" a="1"/>
  <c r="N52" i="57" s="1"/>
  <c r="P53" i="57" a="1"/>
  <c r="P53" i="57" s="1"/>
  <c r="M56" i="57" a="1"/>
  <c r="M56" i="57" s="1"/>
  <c r="O57" i="57" a="1"/>
  <c r="O57" i="57" s="1"/>
  <c r="Q58" i="57" a="1"/>
  <c r="Q58" i="57" s="1"/>
  <c r="N61" i="57" a="1"/>
  <c r="N61" i="57" s="1"/>
  <c r="P62" i="57" a="1"/>
  <c r="P62" i="57" s="1"/>
  <c r="N65" i="57" a="1"/>
  <c r="N65" i="57" s="1"/>
  <c r="O66" i="57" a="1"/>
  <c r="O66" i="57" s="1"/>
  <c r="Q67" i="57" a="1"/>
  <c r="Q67" i="57" s="1"/>
  <c r="M69" i="57" a="1"/>
  <c r="M69" i="57" s="1"/>
  <c r="N70" i="57" a="1"/>
  <c r="N70" i="57" s="1"/>
  <c r="P71" i="57" a="1"/>
  <c r="P71" i="57" s="1"/>
  <c r="M74" i="57" a="1"/>
  <c r="M74" i="57" s="1"/>
  <c r="N75" i="57" a="1"/>
  <c r="N75" i="57" s="1"/>
  <c r="O76" i="57" a="1"/>
  <c r="O76" i="57" s="1"/>
  <c r="Q77" i="57" a="1"/>
  <c r="Q77" i="57" s="1"/>
  <c r="M79" i="57" a="1"/>
  <c r="M79" i="57" s="1"/>
  <c r="N80" i="57" a="1"/>
  <c r="N80" i="57" s="1"/>
  <c r="P81" i="57" a="1"/>
  <c r="P81" i="57" s="1"/>
  <c r="N84" i="57" a="1"/>
  <c r="N84" i="57" s="1"/>
  <c r="P85" i="57" a="1"/>
  <c r="P85" i="57" s="1"/>
  <c r="M88" i="57" a="1"/>
  <c r="M88" i="57" s="1"/>
  <c r="O89" i="57" a="1"/>
  <c r="O89" i="57" s="1"/>
  <c r="M92" i="57" a="1"/>
  <c r="M92" i="57" s="1"/>
  <c r="O93" i="57" a="1"/>
  <c r="O93" i="57" s="1"/>
  <c r="P94" i="57" a="1"/>
  <c r="P94" i="57" s="1"/>
  <c r="N97" i="57" a="1"/>
  <c r="N97" i="57" s="1"/>
  <c r="P98" i="57" a="1"/>
  <c r="P98" i="57" s="1"/>
  <c r="M101" i="57" a="1"/>
  <c r="M101" i="57" s="1"/>
  <c r="N102" i="57" a="1"/>
  <c r="N102" i="57" s="1"/>
  <c r="P103" i="57" a="1"/>
  <c r="P103" i="57" s="1"/>
  <c r="N106" i="57" a="1"/>
  <c r="N106" i="57" s="1"/>
  <c r="O107" i="57" a="1"/>
  <c r="O107" i="57" s="1"/>
  <c r="P108" i="57" a="1"/>
  <c r="P108" i="57" s="1"/>
  <c r="O109" i="57" a="1"/>
  <c r="O109" i="57" s="1"/>
  <c r="P110" i="57" a="1"/>
  <c r="P110" i="57" s="1"/>
  <c r="M113" i="57" a="1"/>
  <c r="M113" i="57" s="1"/>
  <c r="O114" i="57" a="1"/>
  <c r="O114" i="57" s="1"/>
  <c r="M118" i="57" a="1"/>
  <c r="M118" i="57" s="1"/>
  <c r="N119" i="57" a="1"/>
  <c r="N119" i="57" s="1"/>
  <c r="P120" i="57" a="1"/>
  <c r="P120" i="57" s="1"/>
  <c r="M123" i="57" a="1"/>
  <c r="M123" i="57" s="1"/>
  <c r="O124" i="57" a="1"/>
  <c r="O124" i="57" s="1"/>
  <c r="O30" i="57" a="1"/>
  <c r="O30" i="57" s="1"/>
  <c r="N35" i="57" a="1"/>
  <c r="N35" i="57" s="1"/>
  <c r="O52" i="57" a="1"/>
  <c r="O52" i="57" s="1"/>
  <c r="N56" i="57" a="1"/>
  <c r="N56" i="57" s="1"/>
  <c r="Q71" i="57" a="1"/>
  <c r="Q71" i="57" s="1"/>
  <c r="P76" i="57" a="1"/>
  <c r="P76" i="57" s="1"/>
  <c r="M83" i="57" a="1"/>
  <c r="M83" i="57" s="1"/>
  <c r="O84" i="57" a="1"/>
  <c r="O84" i="57" s="1"/>
  <c r="Q85" i="57" a="1"/>
  <c r="Q85" i="57" s="1"/>
  <c r="M87" i="57" a="1"/>
  <c r="M87" i="57" s="1"/>
  <c r="P89" i="57" a="1"/>
  <c r="P89" i="57" s="1"/>
  <c r="P93" i="57" a="1"/>
  <c r="P93" i="57" s="1"/>
  <c r="M96" i="57" a="1"/>
  <c r="M96" i="57" s="1"/>
  <c r="O97" i="57" a="1"/>
  <c r="O97" i="57" s="1"/>
  <c r="Q98" i="57" a="1"/>
  <c r="Q98" i="57" s="1"/>
  <c r="N113" i="57" a="1"/>
  <c r="N113" i="57" s="1"/>
  <c r="P114" i="57" a="1"/>
  <c r="P114" i="57" s="1"/>
  <c r="N118" i="57" a="1"/>
  <c r="N118" i="57" s="1"/>
  <c r="O119" i="57" a="1"/>
  <c r="O119" i="57" s="1"/>
  <c r="Q120" i="57" a="1"/>
  <c r="Q120" i="57" s="1"/>
  <c r="N123" i="57" a="1"/>
  <c r="N123" i="57" s="1"/>
  <c r="P124" i="57" a="1"/>
  <c r="P124" i="57" s="1"/>
  <c r="R48" i="44" a="1"/>
  <c r="R48" i="44" s="1"/>
  <c r="S51" i="45" a="1"/>
  <c r="S51" i="45" s="1"/>
  <c r="L15" i="59"/>
  <c r="K15" i="59"/>
  <c r="J15" i="59"/>
  <c r="I15" i="59"/>
  <c r="H15" i="59"/>
  <c r="G15" i="59"/>
  <c r="F15" i="59"/>
  <c r="E15" i="59"/>
  <c r="D15" i="59"/>
  <c r="C15" i="59"/>
  <c r="B15" i="59"/>
  <c r="L14" i="59"/>
  <c r="K14" i="59"/>
  <c r="J14" i="59"/>
  <c r="I14" i="59"/>
  <c r="H14" i="59"/>
  <c r="G14" i="59"/>
  <c r="F14" i="59"/>
  <c r="E14" i="59"/>
  <c r="D14" i="59"/>
  <c r="C14" i="59"/>
  <c r="B14" i="59"/>
  <c r="L13" i="59"/>
  <c r="K13" i="59"/>
  <c r="J13" i="59"/>
  <c r="I13" i="59"/>
  <c r="H13" i="59"/>
  <c r="G13" i="59"/>
  <c r="F13" i="59"/>
  <c r="E13" i="59"/>
  <c r="D13" i="59"/>
  <c r="C13" i="59"/>
  <c r="B13" i="59"/>
  <c r="F12" i="59"/>
  <c r="E12" i="59"/>
  <c r="D12" i="59"/>
  <c r="C12" i="59"/>
  <c r="L11" i="59"/>
  <c r="K11" i="59"/>
  <c r="J11" i="59"/>
  <c r="I11" i="59"/>
  <c r="H11" i="59"/>
  <c r="G11" i="59"/>
  <c r="F11" i="59"/>
  <c r="E11" i="59"/>
  <c r="D11" i="59"/>
  <c r="C11" i="59"/>
  <c r="B11" i="59"/>
  <c r="P41" i="52" l="1" a="1"/>
  <c r="P41" i="52" s="1"/>
  <c r="S46" i="44" a="1"/>
  <c r="S46" i="44" s="1"/>
  <c r="R83" i="57" a="1"/>
  <c r="R83" i="57" s="1"/>
  <c r="O15" i="59"/>
  <c r="M15" i="59"/>
  <c r="N12" i="59"/>
  <c r="N13" i="59"/>
  <c r="P13" i="59"/>
  <c r="O13" i="59"/>
  <c r="Q11" i="59"/>
  <c r="N15" i="59"/>
  <c r="M13" i="59"/>
  <c r="N14" i="59"/>
  <c r="P12" i="59"/>
  <c r="P14" i="59"/>
  <c r="P11" i="59"/>
  <c r="M14" i="59"/>
  <c r="O14" i="59"/>
  <c r="O11" i="59"/>
  <c r="P15" i="59"/>
  <c r="Q15" i="59"/>
  <c r="Q12" i="59"/>
  <c r="N11" i="59"/>
  <c r="O12" i="59"/>
  <c r="M11" i="59"/>
  <c r="Q13" i="59"/>
  <c r="Q14" i="59"/>
  <c r="B12" i="59"/>
  <c r="M12" i="59" s="1"/>
  <c r="M41" i="52" a="1"/>
  <c r="M41" i="52" s="1"/>
  <c r="Q41" i="52" a="1"/>
  <c r="Q41" i="52" s="1"/>
  <c r="O41" i="52" a="1"/>
  <c r="O41" i="52" s="1"/>
  <c r="N41" i="52" a="1"/>
  <c r="N41" i="52" s="1"/>
  <c r="R80" i="57" a="1"/>
  <c r="R80" i="57" s="1"/>
  <c r="R106" i="57" a="1"/>
  <c r="R106" i="57" s="1"/>
  <c r="S91" i="57" a="1"/>
  <c r="S91" i="57" s="1"/>
  <c r="R101" i="57" a="1"/>
  <c r="R101" i="57" s="1"/>
  <c r="R125" i="57" a="1"/>
  <c r="R125" i="57" s="1"/>
  <c r="R74" i="57" a="1"/>
  <c r="R74" i="57" s="1"/>
  <c r="R118" i="57" a="1"/>
  <c r="R118" i="57" s="1"/>
  <c r="R88" i="57" a="1"/>
  <c r="R88" i="57" s="1"/>
  <c r="R66" i="57" a="1"/>
  <c r="R66" i="57" s="1"/>
  <c r="R54" i="57" a="1"/>
  <c r="R54" i="57" s="1"/>
  <c r="R81" i="57" a="1"/>
  <c r="R81" i="57" s="1"/>
  <c r="S57" i="57" a="1"/>
  <c r="S57" i="57" s="1"/>
  <c r="R98" i="57" a="1"/>
  <c r="R98" i="57" s="1"/>
  <c r="R84" i="57" a="1"/>
  <c r="R84" i="57" s="1"/>
  <c r="S64" i="57" a="1"/>
  <c r="S64" i="57" s="1"/>
  <c r="R62" i="57" a="1"/>
  <c r="R62" i="57" s="1"/>
  <c r="R70" i="57" a="1"/>
  <c r="R70" i="57" s="1"/>
  <c r="S53" i="57" a="1"/>
  <c r="S53" i="57" s="1"/>
  <c r="S28" i="57" a="1"/>
  <c r="S28" i="57" s="1"/>
  <c r="S13" i="59" s="1"/>
  <c r="R110" i="57" a="1"/>
  <c r="R110" i="57" s="1"/>
  <c r="R65" i="52" a="1"/>
  <c r="R65" i="52" s="1"/>
  <c r="S122" i="57" a="1"/>
  <c r="S122" i="57" s="1"/>
  <c r="S76" i="57" a="1"/>
  <c r="S76" i="57" s="1"/>
  <c r="R55" i="57" a="1"/>
  <c r="R55" i="57" s="1"/>
  <c r="S30" i="57" a="1"/>
  <c r="S30" i="57" s="1"/>
  <c r="S15" i="59" s="1"/>
  <c r="G12" i="59"/>
  <c r="R33" i="57" a="1"/>
  <c r="R33" i="57" s="1"/>
  <c r="R102" i="57" a="1"/>
  <c r="R102" i="57" s="1"/>
  <c r="R30" i="57" a="1"/>
  <c r="R30" i="57" s="1"/>
  <c r="R15" i="59" s="1"/>
  <c r="R39" i="57" a="1"/>
  <c r="R39" i="57" s="1"/>
  <c r="R104" i="57" a="1"/>
  <c r="R104" i="57" s="1"/>
  <c r="R107" i="57" a="1"/>
  <c r="R107" i="57" s="1"/>
  <c r="S110" i="57" a="1"/>
  <c r="S110" i="57" s="1"/>
  <c r="R105" i="57" a="1"/>
  <c r="R105" i="57" s="1"/>
  <c r="S116" i="57" a="1"/>
  <c r="S116" i="57" s="1"/>
  <c r="R94" i="57" a="1"/>
  <c r="R94" i="57" s="1"/>
  <c r="R60" i="57" a="1"/>
  <c r="R60" i="57" s="1"/>
  <c r="R46" i="57" a="1"/>
  <c r="R46" i="57" s="1"/>
  <c r="R27" i="57" a="1"/>
  <c r="R27" i="57" s="1"/>
  <c r="R49" i="57" a="1"/>
  <c r="R49" i="57" s="1"/>
  <c r="R89" i="57" a="1"/>
  <c r="R89" i="57" s="1"/>
  <c r="R95" i="57" a="1"/>
  <c r="R95" i="57" s="1"/>
  <c r="R124" i="57" a="1"/>
  <c r="R124" i="57" s="1"/>
  <c r="R93" i="57" a="1"/>
  <c r="R93" i="57" s="1"/>
  <c r="R121" i="57" a="1"/>
  <c r="R121" i="57" s="1"/>
  <c r="S119" i="57" a="1"/>
  <c r="S119" i="57" s="1"/>
  <c r="R72" i="57" a="1"/>
  <c r="R72" i="57" s="1"/>
  <c r="R48" i="57" a="1"/>
  <c r="R48" i="57" s="1"/>
  <c r="R103" i="57" a="1"/>
  <c r="R103" i="57" s="1"/>
  <c r="S100" i="57" a="1"/>
  <c r="S100" i="57" s="1"/>
  <c r="R112" i="57" a="1"/>
  <c r="R112" i="57" s="1"/>
  <c r="R47" i="57" a="1"/>
  <c r="R47" i="57" s="1"/>
  <c r="R76" i="57" a="1"/>
  <c r="R76" i="57" s="1"/>
  <c r="R64" i="57" a="1"/>
  <c r="R64" i="57" s="1"/>
  <c r="R58" i="57" a="1"/>
  <c r="R58" i="57" s="1"/>
  <c r="R82" i="57" a="1"/>
  <c r="R82" i="57" s="1"/>
  <c r="R92" i="57" a="1"/>
  <c r="R92" i="57" s="1"/>
  <c r="R109" i="57" a="1"/>
  <c r="R109" i="57" s="1"/>
  <c r="S79" i="57" a="1"/>
  <c r="S79" i="57" s="1"/>
  <c r="R41" i="57" a="1"/>
  <c r="R41" i="57" s="1"/>
  <c r="R87" i="57" a="1"/>
  <c r="R87" i="57" s="1"/>
  <c r="R75" i="57" a="1"/>
  <c r="R75" i="57" s="1"/>
  <c r="R53" i="57" a="1"/>
  <c r="R53" i="57" s="1"/>
  <c r="R69" i="57" a="1"/>
  <c r="R69" i="57" s="1"/>
  <c r="R115" i="57" a="1"/>
  <c r="R115" i="57" s="1"/>
  <c r="S114" i="57" a="1"/>
  <c r="S114" i="57" s="1"/>
  <c r="R113" i="57" a="1"/>
  <c r="R113" i="57" s="1"/>
  <c r="R68" i="57" a="1"/>
  <c r="R68" i="57" s="1"/>
  <c r="R38" i="57" a="1"/>
  <c r="R38" i="57" s="1"/>
  <c r="S67" i="57" a="1"/>
  <c r="S67" i="57" s="1"/>
  <c r="R122" i="57" a="1"/>
  <c r="R122" i="57" s="1"/>
  <c r="R73" i="57" a="1"/>
  <c r="R73" i="57" s="1"/>
  <c r="R85" i="57" a="1"/>
  <c r="R85" i="57" s="1"/>
  <c r="R31" i="57" a="1"/>
  <c r="R31" i="57" s="1"/>
  <c r="R65" i="57" a="1"/>
  <c r="R65" i="57" s="1"/>
  <c r="R34" i="57" a="1"/>
  <c r="R34" i="57" s="1"/>
  <c r="R120" i="57" a="1"/>
  <c r="R120" i="57" s="1"/>
  <c r="R100" i="57" a="1"/>
  <c r="R100" i="57" s="1"/>
  <c r="R57" i="57" a="1"/>
  <c r="R57" i="57" s="1"/>
  <c r="R78" i="57" a="1"/>
  <c r="R78" i="57" s="1"/>
  <c r="R52" i="57" a="1"/>
  <c r="R52" i="57" s="1"/>
  <c r="R56" i="57" a="1"/>
  <c r="R56" i="57" s="1"/>
  <c r="R36" i="57" a="1"/>
  <c r="R36" i="57" s="1"/>
  <c r="R99" i="57" a="1"/>
  <c r="R99" i="57" s="1"/>
  <c r="R63" i="57" a="1"/>
  <c r="R63" i="57" s="1"/>
  <c r="R28" i="57" a="1"/>
  <c r="R28" i="57" s="1"/>
  <c r="R13" i="59" s="1"/>
  <c r="R29" i="57" a="1"/>
  <c r="R29" i="57" s="1"/>
  <c r="R14" i="59" s="1"/>
  <c r="R32" i="57" a="1"/>
  <c r="R32" i="57" s="1"/>
  <c r="R116" i="57" a="1"/>
  <c r="R116" i="57" s="1"/>
  <c r="R117" i="57" a="1"/>
  <c r="R117" i="57" s="1"/>
  <c r="R90" i="57" a="1"/>
  <c r="R90" i="57" s="1"/>
  <c r="R77" i="57" a="1"/>
  <c r="R77" i="57" s="1"/>
  <c r="R59" i="57" a="1"/>
  <c r="R59" i="57" s="1"/>
  <c r="R35" i="57" a="1"/>
  <c r="R35" i="57" s="1"/>
  <c r="R42" i="57" a="1"/>
  <c r="R42" i="57" s="1"/>
  <c r="R40" i="57" a="1"/>
  <c r="R40" i="57" s="1"/>
  <c r="R96" i="57" a="1"/>
  <c r="R96" i="57" s="1"/>
  <c r="R43" i="57" a="1"/>
  <c r="R43" i="57" s="1"/>
  <c r="R97" i="57" a="1"/>
  <c r="R97" i="57" s="1"/>
  <c r="R26" i="57" a="1"/>
  <c r="R26" i="57" s="1"/>
  <c r="R11" i="59" s="1"/>
  <c r="R91" i="57" a="1"/>
  <c r="R91" i="57" s="1"/>
  <c r="R79" i="57" a="1"/>
  <c r="R79" i="57" s="1"/>
  <c r="R123" i="57" a="1"/>
  <c r="R123" i="57" s="1"/>
  <c r="R111" i="57" a="1"/>
  <c r="R111" i="57" s="1"/>
  <c r="R86" i="57" a="1"/>
  <c r="R86" i="57" s="1"/>
  <c r="R50" i="57" a="1"/>
  <c r="R50" i="57" s="1"/>
  <c r="R44" i="57" a="1"/>
  <c r="R44" i="57" s="1"/>
  <c r="R37" i="57" a="1"/>
  <c r="R37" i="57" s="1"/>
  <c r="R71" i="57" a="1"/>
  <c r="R71" i="57" s="1"/>
  <c r="R119" i="57" a="1"/>
  <c r="R119" i="57" s="1"/>
  <c r="R108" i="57" a="1"/>
  <c r="R108" i="57" s="1"/>
  <c r="R61" i="57" a="1"/>
  <c r="R61" i="57" s="1"/>
  <c r="R45" i="57" a="1"/>
  <c r="R45" i="57" s="1"/>
  <c r="R51" i="57" a="1"/>
  <c r="R51" i="57" s="1"/>
  <c r="R114" i="57" a="1"/>
  <c r="R114" i="57" s="1"/>
  <c r="T46" i="44" a="1"/>
  <c r="T46" i="44" s="1"/>
  <c r="T51" i="45" a="1"/>
  <c r="T51" i="45" s="1"/>
  <c r="L28" i="59"/>
  <c r="K28" i="59"/>
  <c r="J28" i="59"/>
  <c r="I28" i="59"/>
  <c r="H28" i="59"/>
  <c r="G28" i="59"/>
  <c r="F28" i="59"/>
  <c r="Q28" i="59" s="1"/>
  <c r="E28" i="59"/>
  <c r="P28" i="59" s="1"/>
  <c r="D28" i="59"/>
  <c r="O28" i="59" s="1"/>
  <c r="C28" i="59"/>
  <c r="N28" i="59" s="1"/>
  <c r="B28" i="59"/>
  <c r="M28" i="59" s="1"/>
  <c r="L27" i="59"/>
  <c r="K27" i="59"/>
  <c r="J27" i="59"/>
  <c r="I27" i="59"/>
  <c r="H27" i="59"/>
  <c r="G27" i="59"/>
  <c r="F27" i="59"/>
  <c r="Q27" i="59" s="1"/>
  <c r="E27" i="59"/>
  <c r="P27" i="59" s="1"/>
  <c r="D27" i="59"/>
  <c r="O27" i="59" s="1"/>
  <c r="C27" i="59"/>
  <c r="N27" i="59" s="1"/>
  <c r="B27" i="59"/>
  <c r="M27" i="59" s="1"/>
  <c r="L26" i="59"/>
  <c r="K26" i="59"/>
  <c r="J26" i="59"/>
  <c r="I26" i="59"/>
  <c r="H26" i="59"/>
  <c r="G26" i="59"/>
  <c r="F26" i="59"/>
  <c r="Q26" i="59" s="1"/>
  <c r="E26" i="59"/>
  <c r="P26" i="59" s="1"/>
  <c r="D26" i="59"/>
  <c r="O26" i="59" s="1"/>
  <c r="C26" i="59"/>
  <c r="N26" i="59" s="1"/>
  <c r="B26" i="59"/>
  <c r="M26" i="59" s="1"/>
  <c r="L25" i="59"/>
  <c r="K25" i="59"/>
  <c r="J25" i="59"/>
  <c r="I25" i="59"/>
  <c r="H25" i="59"/>
  <c r="G25" i="59"/>
  <c r="F25" i="59"/>
  <c r="Q25" i="59" s="1"/>
  <c r="E25" i="59"/>
  <c r="P25" i="59" s="1"/>
  <c r="D25" i="59"/>
  <c r="O25" i="59" s="1"/>
  <c r="C25" i="59"/>
  <c r="N25" i="59" s="1"/>
  <c r="B25" i="59"/>
  <c r="M25" i="59" s="1"/>
  <c r="L24" i="59"/>
  <c r="K24" i="59"/>
  <c r="J24" i="59"/>
  <c r="I24" i="59"/>
  <c r="H24" i="59"/>
  <c r="G24" i="59"/>
  <c r="F24" i="59"/>
  <c r="Q24" i="59" s="1"/>
  <c r="E24" i="59"/>
  <c r="P24" i="59" s="1"/>
  <c r="D24" i="59"/>
  <c r="O24" i="59" s="1"/>
  <c r="C24" i="59"/>
  <c r="N24" i="59" s="1"/>
  <c r="B24" i="59"/>
  <c r="M24" i="59" s="1"/>
  <c r="L23" i="59"/>
  <c r="K23" i="59"/>
  <c r="J23" i="59"/>
  <c r="I23" i="59"/>
  <c r="H23" i="59"/>
  <c r="G23" i="59"/>
  <c r="F23" i="59"/>
  <c r="Q23" i="59" s="1"/>
  <c r="E23" i="59"/>
  <c r="P23" i="59" s="1"/>
  <c r="D23" i="59"/>
  <c r="O23" i="59" s="1"/>
  <c r="C23" i="59"/>
  <c r="N23" i="59" s="1"/>
  <c r="B23" i="59"/>
  <c r="M23" i="59" s="1"/>
  <c r="L22" i="59"/>
  <c r="K22" i="59"/>
  <c r="J22" i="59"/>
  <c r="I22" i="59"/>
  <c r="H22" i="59"/>
  <c r="G22" i="59"/>
  <c r="F22" i="59"/>
  <c r="Q22" i="59" s="1"/>
  <c r="E22" i="59"/>
  <c r="P22" i="59" s="1"/>
  <c r="D22" i="59"/>
  <c r="O22" i="59" s="1"/>
  <c r="C22" i="59"/>
  <c r="N22" i="59" s="1"/>
  <c r="B22" i="59"/>
  <c r="M22" i="59" s="1"/>
  <c r="L19" i="59"/>
  <c r="K19" i="59"/>
  <c r="J19" i="59"/>
  <c r="I19" i="59"/>
  <c r="H19" i="59"/>
  <c r="G19" i="59"/>
  <c r="F19" i="59"/>
  <c r="Q19" i="59" s="1"/>
  <c r="E19" i="59"/>
  <c r="P19" i="59" s="1"/>
  <c r="D19" i="59"/>
  <c r="O19" i="59" s="1"/>
  <c r="C19" i="59"/>
  <c r="N19" i="59" s="1"/>
  <c r="B19" i="59"/>
  <c r="M19" i="59" s="1"/>
  <c r="L18" i="59"/>
  <c r="K18" i="59"/>
  <c r="J18" i="59"/>
  <c r="I18" i="59"/>
  <c r="H18" i="59"/>
  <c r="G18" i="59"/>
  <c r="F18" i="59"/>
  <c r="Q18" i="59" s="1"/>
  <c r="E18" i="59"/>
  <c r="P18" i="59" s="1"/>
  <c r="D18" i="59"/>
  <c r="O18" i="59" s="1"/>
  <c r="C18" i="59"/>
  <c r="N18" i="59" s="1"/>
  <c r="B18" i="59"/>
  <c r="M18" i="59" s="1"/>
  <c r="L16" i="59"/>
  <c r="K16" i="59"/>
  <c r="J16" i="59"/>
  <c r="I16" i="59"/>
  <c r="H16" i="59"/>
  <c r="G16" i="59"/>
  <c r="F16" i="59"/>
  <c r="Q16" i="59" s="1"/>
  <c r="E16" i="59"/>
  <c r="P16" i="59" s="1"/>
  <c r="D16" i="59"/>
  <c r="O16" i="59" s="1"/>
  <c r="C16" i="59"/>
  <c r="N16" i="59" s="1"/>
  <c r="B16" i="59"/>
  <c r="M16" i="59" s="1"/>
  <c r="L91" i="59"/>
  <c r="K91" i="59"/>
  <c r="J91" i="59"/>
  <c r="I91" i="59"/>
  <c r="H91" i="59"/>
  <c r="G91" i="59"/>
  <c r="F91" i="59"/>
  <c r="E91" i="59"/>
  <c r="D91" i="59"/>
  <c r="C91" i="59"/>
  <c r="B91" i="59"/>
  <c r="L90" i="59"/>
  <c r="K90" i="59"/>
  <c r="J90" i="59"/>
  <c r="I90" i="59"/>
  <c r="H90" i="59"/>
  <c r="G90" i="59"/>
  <c r="F90" i="59"/>
  <c r="E90" i="59"/>
  <c r="D90" i="59"/>
  <c r="C90" i="59"/>
  <c r="B90" i="59"/>
  <c r="L89" i="59"/>
  <c r="K89" i="59"/>
  <c r="J89" i="59"/>
  <c r="I89" i="59"/>
  <c r="H89" i="59"/>
  <c r="G89" i="59"/>
  <c r="F89" i="59"/>
  <c r="Q89" i="59" s="1"/>
  <c r="E89" i="59"/>
  <c r="P89" i="59" s="1"/>
  <c r="D89" i="59"/>
  <c r="O89" i="59" s="1"/>
  <c r="C89" i="59"/>
  <c r="N89" i="59" s="1"/>
  <c r="B89" i="59"/>
  <c r="M89" i="59" s="1"/>
  <c r="L88" i="59"/>
  <c r="K88" i="59"/>
  <c r="J88" i="59"/>
  <c r="I88" i="59"/>
  <c r="H88" i="59"/>
  <c r="G88" i="59"/>
  <c r="F88" i="59"/>
  <c r="Q88" i="59" s="1"/>
  <c r="E88" i="59"/>
  <c r="P88" i="59" s="1"/>
  <c r="D88" i="59"/>
  <c r="O88" i="59" s="1"/>
  <c r="C88" i="59"/>
  <c r="N88" i="59" s="1"/>
  <c r="B88" i="59"/>
  <c r="M88" i="59" s="1"/>
  <c r="L87" i="59"/>
  <c r="K87" i="59"/>
  <c r="J87" i="59"/>
  <c r="I87" i="59"/>
  <c r="H87" i="59"/>
  <c r="G87" i="59"/>
  <c r="F87" i="59"/>
  <c r="Q87" i="59" s="1"/>
  <c r="E87" i="59"/>
  <c r="P87" i="59" s="1"/>
  <c r="D87" i="59"/>
  <c r="O87" i="59" s="1"/>
  <c r="C87" i="59"/>
  <c r="N87" i="59" s="1"/>
  <c r="B87" i="59"/>
  <c r="M87" i="59" s="1"/>
  <c r="L86" i="59"/>
  <c r="K86" i="59"/>
  <c r="J86" i="59"/>
  <c r="I86" i="59"/>
  <c r="H86" i="59"/>
  <c r="G86" i="59"/>
  <c r="F86" i="59"/>
  <c r="Q86" i="59" s="1"/>
  <c r="E86" i="59"/>
  <c r="P86" i="59" s="1"/>
  <c r="D86" i="59"/>
  <c r="O86" i="59" s="1"/>
  <c r="C86" i="59"/>
  <c r="N86" i="59" s="1"/>
  <c r="B86" i="59"/>
  <c r="M86" i="59" s="1"/>
  <c r="L85" i="59"/>
  <c r="K85" i="59"/>
  <c r="J85" i="59"/>
  <c r="I85" i="59"/>
  <c r="H85" i="59"/>
  <c r="G85" i="59"/>
  <c r="F85" i="59"/>
  <c r="Q85" i="59" s="1"/>
  <c r="E85" i="59"/>
  <c r="P85" i="59" s="1"/>
  <c r="D85" i="59"/>
  <c r="O85" i="59" s="1"/>
  <c r="C85" i="59"/>
  <c r="N85" i="59" s="1"/>
  <c r="B85" i="59"/>
  <c r="M85" i="59" s="1"/>
  <c r="L84" i="59"/>
  <c r="K84" i="59"/>
  <c r="J84" i="59"/>
  <c r="I84" i="59"/>
  <c r="H84" i="59"/>
  <c r="G84" i="59"/>
  <c r="F84" i="59"/>
  <c r="Q84" i="59" s="1"/>
  <c r="E84" i="59"/>
  <c r="P84" i="59" s="1"/>
  <c r="D84" i="59"/>
  <c r="O84" i="59" s="1"/>
  <c r="C84" i="59"/>
  <c r="N84" i="59" s="1"/>
  <c r="B84" i="59"/>
  <c r="M84" i="59" s="1"/>
  <c r="L73" i="59"/>
  <c r="K73" i="59"/>
  <c r="J73" i="59"/>
  <c r="I73" i="59"/>
  <c r="H73" i="59"/>
  <c r="G73" i="59"/>
  <c r="F73" i="59"/>
  <c r="Q73" i="59" s="1"/>
  <c r="E73" i="59"/>
  <c r="P73" i="59" s="1"/>
  <c r="D73" i="59"/>
  <c r="O73" i="59" s="1"/>
  <c r="C73" i="59"/>
  <c r="N73" i="59" s="1"/>
  <c r="B73" i="59"/>
  <c r="M73" i="59" s="1"/>
  <c r="L66" i="59"/>
  <c r="K66" i="59"/>
  <c r="J66" i="59"/>
  <c r="I66" i="59"/>
  <c r="H66" i="59"/>
  <c r="G66" i="59"/>
  <c r="F66" i="59"/>
  <c r="Q66" i="59" s="1"/>
  <c r="E66" i="59"/>
  <c r="P66" i="59" s="1"/>
  <c r="D66" i="59"/>
  <c r="O66" i="59" s="1"/>
  <c r="C66" i="59"/>
  <c r="N66" i="59" s="1"/>
  <c r="B66" i="59"/>
  <c r="M66" i="59" s="1"/>
  <c r="L65" i="59"/>
  <c r="K65" i="59"/>
  <c r="J65" i="59"/>
  <c r="I65" i="59"/>
  <c r="H65" i="59"/>
  <c r="G65" i="59"/>
  <c r="F65" i="59"/>
  <c r="Q65" i="59" s="1"/>
  <c r="E65" i="59"/>
  <c r="P65" i="59" s="1"/>
  <c r="D65" i="59"/>
  <c r="O65" i="59" s="1"/>
  <c r="C65" i="59"/>
  <c r="N65" i="59" s="1"/>
  <c r="B65" i="59"/>
  <c r="M65" i="59" s="1"/>
  <c r="L63" i="59"/>
  <c r="K63" i="59"/>
  <c r="J63" i="59"/>
  <c r="I63" i="59"/>
  <c r="H63" i="59"/>
  <c r="G63" i="59"/>
  <c r="F63" i="59"/>
  <c r="Q63" i="59" s="1"/>
  <c r="E63" i="59"/>
  <c r="P63" i="59" s="1"/>
  <c r="D63" i="59"/>
  <c r="O63" i="59" s="1"/>
  <c r="C63" i="59"/>
  <c r="N63" i="59" s="1"/>
  <c r="B63" i="59"/>
  <c r="M63" i="59" s="1"/>
  <c r="L61" i="59"/>
  <c r="K61" i="59"/>
  <c r="J61" i="59"/>
  <c r="I61" i="59"/>
  <c r="H61" i="59"/>
  <c r="G61" i="59"/>
  <c r="F61" i="59"/>
  <c r="Q61" i="59" s="1"/>
  <c r="E61" i="59"/>
  <c r="P61" i="59" s="1"/>
  <c r="D61" i="59"/>
  <c r="O61" i="59" s="1"/>
  <c r="C61" i="59"/>
  <c r="N61" i="59" s="1"/>
  <c r="B61" i="59"/>
  <c r="M61" i="59" s="1"/>
  <c r="L60" i="59"/>
  <c r="K60" i="59"/>
  <c r="J60" i="59"/>
  <c r="I60" i="59"/>
  <c r="H60" i="59"/>
  <c r="G60" i="59"/>
  <c r="F60" i="59"/>
  <c r="Q60" i="59" s="1"/>
  <c r="E60" i="59"/>
  <c r="P60" i="59" s="1"/>
  <c r="D60" i="59"/>
  <c r="O60" i="59" s="1"/>
  <c r="C60" i="59"/>
  <c r="N60" i="59" s="1"/>
  <c r="B60" i="59"/>
  <c r="M60" i="59" s="1"/>
  <c r="L59" i="59"/>
  <c r="K59" i="59"/>
  <c r="J59" i="59"/>
  <c r="I59" i="59"/>
  <c r="H59" i="59"/>
  <c r="G59" i="59"/>
  <c r="F59" i="59"/>
  <c r="Q59" i="59" s="1"/>
  <c r="E59" i="59"/>
  <c r="P59" i="59" s="1"/>
  <c r="D59" i="59"/>
  <c r="O59" i="59" s="1"/>
  <c r="C59" i="59"/>
  <c r="N59" i="59" s="1"/>
  <c r="B59" i="59"/>
  <c r="M59" i="59" s="1"/>
  <c r="L55" i="59"/>
  <c r="K55" i="59"/>
  <c r="J55" i="59"/>
  <c r="I55" i="59"/>
  <c r="H55" i="59"/>
  <c r="G55" i="59"/>
  <c r="F55" i="59"/>
  <c r="Q55" i="59" s="1"/>
  <c r="E55" i="59"/>
  <c r="P55" i="59" s="1"/>
  <c r="D55" i="59"/>
  <c r="O55" i="59" s="1"/>
  <c r="C55" i="59"/>
  <c r="N55" i="59" s="1"/>
  <c r="B55" i="59"/>
  <c r="M55" i="59" s="1"/>
  <c r="L54" i="59"/>
  <c r="K54" i="59"/>
  <c r="J54" i="59"/>
  <c r="I54" i="59"/>
  <c r="H54" i="59"/>
  <c r="G54" i="59"/>
  <c r="F54" i="59"/>
  <c r="Q54" i="59" s="1"/>
  <c r="E54" i="59"/>
  <c r="P54" i="59" s="1"/>
  <c r="D54" i="59"/>
  <c r="O54" i="59" s="1"/>
  <c r="C54" i="59"/>
  <c r="N54" i="59" s="1"/>
  <c r="B54" i="59"/>
  <c r="M54" i="59" s="1"/>
  <c r="L47" i="59"/>
  <c r="K47" i="59"/>
  <c r="J47" i="59"/>
  <c r="I47" i="59"/>
  <c r="H47" i="59"/>
  <c r="G47" i="59"/>
  <c r="F47" i="59"/>
  <c r="Q47" i="59" s="1"/>
  <c r="E47" i="59"/>
  <c r="P47" i="59" s="1"/>
  <c r="D47" i="59"/>
  <c r="O47" i="59" s="1"/>
  <c r="C47" i="59"/>
  <c r="N47" i="59" s="1"/>
  <c r="B47" i="59"/>
  <c r="M47" i="59" s="1"/>
  <c r="L44" i="59"/>
  <c r="K44" i="59"/>
  <c r="J44" i="59"/>
  <c r="I44" i="59"/>
  <c r="H44" i="59"/>
  <c r="G44" i="59"/>
  <c r="F44" i="59"/>
  <c r="Q44" i="59" s="1"/>
  <c r="E44" i="59"/>
  <c r="P44" i="59" s="1"/>
  <c r="D44" i="59"/>
  <c r="O44" i="59" s="1"/>
  <c r="C44" i="59"/>
  <c r="N44" i="59" s="1"/>
  <c r="B44" i="59"/>
  <c r="M44" i="59" s="1"/>
  <c r="L43" i="59"/>
  <c r="K43" i="59"/>
  <c r="J43" i="59"/>
  <c r="I43" i="59"/>
  <c r="H43" i="59"/>
  <c r="G43" i="59"/>
  <c r="F43" i="59"/>
  <c r="E43" i="59"/>
  <c r="D43" i="59"/>
  <c r="C43" i="59"/>
  <c r="B43" i="59"/>
  <c r="L42" i="59"/>
  <c r="K42" i="59"/>
  <c r="J42" i="59"/>
  <c r="I42" i="59"/>
  <c r="H42" i="59"/>
  <c r="G42" i="59"/>
  <c r="F42" i="59"/>
  <c r="Q42" i="59" s="1"/>
  <c r="E42" i="59"/>
  <c r="P42" i="59" s="1"/>
  <c r="D42" i="59"/>
  <c r="O42" i="59" s="1"/>
  <c r="C42" i="59"/>
  <c r="N42" i="59" s="1"/>
  <c r="B42" i="59"/>
  <c r="M42" i="59" s="1"/>
  <c r="L41" i="59"/>
  <c r="K41" i="59"/>
  <c r="J41" i="59"/>
  <c r="I41" i="59"/>
  <c r="H41" i="59"/>
  <c r="G41" i="59"/>
  <c r="F41" i="59"/>
  <c r="Q41" i="59" s="1"/>
  <c r="E41" i="59"/>
  <c r="P41" i="59" s="1"/>
  <c r="D41" i="59"/>
  <c r="O41" i="59" s="1"/>
  <c r="C41" i="59"/>
  <c r="N41" i="59" s="1"/>
  <c r="B41" i="59"/>
  <c r="M41" i="59" s="1"/>
  <c r="L40" i="59"/>
  <c r="K40" i="59"/>
  <c r="J40" i="59"/>
  <c r="I40" i="59"/>
  <c r="H40" i="59"/>
  <c r="G40" i="59"/>
  <c r="F40" i="59"/>
  <c r="Q40" i="59" s="1"/>
  <c r="E40" i="59"/>
  <c r="P40" i="59" s="1"/>
  <c r="D40" i="59"/>
  <c r="O40" i="59" s="1"/>
  <c r="C40" i="59"/>
  <c r="N40" i="59" s="1"/>
  <c r="B40" i="59"/>
  <c r="M40" i="59" s="1"/>
  <c r="L39" i="59"/>
  <c r="K39" i="59"/>
  <c r="J39" i="59"/>
  <c r="I39" i="59"/>
  <c r="H39" i="59"/>
  <c r="G39" i="59"/>
  <c r="F39" i="59"/>
  <c r="Q39" i="59" s="1"/>
  <c r="E39" i="59"/>
  <c r="P39" i="59" s="1"/>
  <c r="D39" i="59"/>
  <c r="O39" i="59" s="1"/>
  <c r="C39" i="59"/>
  <c r="N39" i="59" s="1"/>
  <c r="B39" i="59"/>
  <c r="M39" i="59" s="1"/>
  <c r="L38" i="59"/>
  <c r="K38" i="59"/>
  <c r="J38" i="59"/>
  <c r="I38" i="59"/>
  <c r="H38" i="59"/>
  <c r="G38" i="59"/>
  <c r="F38" i="59"/>
  <c r="Q38" i="59" s="1"/>
  <c r="E38" i="59"/>
  <c r="P38" i="59" s="1"/>
  <c r="D38" i="59"/>
  <c r="O38" i="59" s="1"/>
  <c r="C38" i="59"/>
  <c r="N38" i="59" s="1"/>
  <c r="B38" i="59"/>
  <c r="M38" i="59" s="1"/>
  <c r="L35" i="59"/>
  <c r="K35" i="59"/>
  <c r="J35" i="59"/>
  <c r="I35" i="59"/>
  <c r="H35" i="59"/>
  <c r="G35" i="59"/>
  <c r="F35" i="59"/>
  <c r="Q35" i="59" s="1"/>
  <c r="E35" i="59"/>
  <c r="P35" i="59" s="1"/>
  <c r="D35" i="59"/>
  <c r="O35" i="59" s="1"/>
  <c r="C35" i="59"/>
  <c r="N35" i="59" s="1"/>
  <c r="B35" i="59"/>
  <c r="M35" i="59" s="1"/>
  <c r="L33" i="59"/>
  <c r="K33" i="59"/>
  <c r="J33" i="59"/>
  <c r="I33" i="59"/>
  <c r="H33" i="59"/>
  <c r="G33" i="59"/>
  <c r="F33" i="59"/>
  <c r="Q33" i="59" s="1"/>
  <c r="E33" i="59"/>
  <c r="P33" i="59" s="1"/>
  <c r="D33" i="59"/>
  <c r="O33" i="59" s="1"/>
  <c r="C33" i="59"/>
  <c r="N33" i="59" s="1"/>
  <c r="B33" i="59"/>
  <c r="M33" i="59" s="1"/>
  <c r="L30" i="59"/>
  <c r="K30" i="59"/>
  <c r="J30" i="59"/>
  <c r="I30" i="59"/>
  <c r="H30" i="59"/>
  <c r="G30" i="59"/>
  <c r="F30" i="59"/>
  <c r="Q30" i="59" s="1"/>
  <c r="E30" i="59"/>
  <c r="P30" i="59" s="1"/>
  <c r="D30" i="59"/>
  <c r="O30" i="59" s="1"/>
  <c r="C30" i="59"/>
  <c r="N30" i="59" s="1"/>
  <c r="B30" i="59"/>
  <c r="M30" i="59" s="1"/>
  <c r="T50" i="42" l="1" a="1"/>
  <c r="T50" i="42" s="1"/>
  <c r="S50" i="42" a="1"/>
  <c r="S50" i="42" s="1"/>
  <c r="S48" i="44" a="1"/>
  <c r="S48" i="44" s="1"/>
  <c r="O43" i="59"/>
  <c r="P43" i="59"/>
  <c r="M43" i="59"/>
  <c r="Q43" i="59"/>
  <c r="N43" i="59"/>
  <c r="S69" i="57" a="1"/>
  <c r="S69" i="57" s="1"/>
  <c r="S83" i="57" a="1"/>
  <c r="S83" i="57" s="1"/>
  <c r="S65" i="52" a="1"/>
  <c r="S65" i="52" s="1"/>
  <c r="N90" i="59"/>
  <c r="O90" i="59"/>
  <c r="P90" i="59"/>
  <c r="M91" i="59"/>
  <c r="Q90" i="59"/>
  <c r="N91" i="59"/>
  <c r="O91" i="59"/>
  <c r="P91" i="59"/>
  <c r="S120" i="57" a="1"/>
  <c r="S120" i="57" s="1"/>
  <c r="R41" i="52" a="1"/>
  <c r="R41" i="52" s="1"/>
  <c r="Q91" i="59"/>
  <c r="M90" i="59"/>
  <c r="T112" i="57" a="1"/>
  <c r="T112" i="57" s="1"/>
  <c r="S118" i="57" a="1"/>
  <c r="S118" i="57" s="1"/>
  <c r="R30" i="59"/>
  <c r="R35" i="59"/>
  <c r="R44" i="59"/>
  <c r="R41" i="59"/>
  <c r="R38" i="59"/>
  <c r="R40" i="59"/>
  <c r="R73" i="59"/>
  <c r="R86" i="59"/>
  <c r="R65" i="59"/>
  <c r="R22" i="59"/>
  <c r="R25" i="59"/>
  <c r="R84" i="59"/>
  <c r="R42" i="59"/>
  <c r="R60" i="59"/>
  <c r="S85" i="59"/>
  <c r="R33" i="59"/>
  <c r="R89" i="59"/>
  <c r="S38" i="59"/>
  <c r="R39" i="59"/>
  <c r="R27" i="59"/>
  <c r="R63" i="59"/>
  <c r="R23" i="59"/>
  <c r="R26" i="59"/>
  <c r="S42" i="59"/>
  <c r="R12" i="59"/>
  <c r="R90" i="59"/>
  <c r="R24" i="59"/>
  <c r="R87" i="59"/>
  <c r="S61" i="59"/>
  <c r="R55" i="59"/>
  <c r="R66" i="59"/>
  <c r="R59" i="59"/>
  <c r="R28" i="59"/>
  <c r="R85" i="59"/>
  <c r="R19" i="59"/>
  <c r="R16" i="59"/>
  <c r="R54" i="59"/>
  <c r="R43" i="59"/>
  <c r="R61" i="59"/>
  <c r="R88" i="59"/>
  <c r="R18" i="59"/>
  <c r="S54" i="59"/>
  <c r="R47" i="59"/>
  <c r="R91" i="59"/>
  <c r="T76" i="57" a="1"/>
  <c r="T76" i="57" s="1"/>
  <c r="T61" i="59" s="1"/>
  <c r="S51" i="57" a="1"/>
  <c r="S51" i="57" s="1"/>
  <c r="S55" i="57" a="1"/>
  <c r="S55" i="57" s="1"/>
  <c r="S40" i="59" s="1"/>
  <c r="S98" i="57" a="1"/>
  <c r="S98" i="57" s="1"/>
  <c r="S36" i="57" a="1"/>
  <c r="S36" i="57" s="1"/>
  <c r="T91" i="57" a="1"/>
  <c r="T91" i="57" s="1"/>
  <c r="S59" i="57" a="1"/>
  <c r="S59" i="57" s="1"/>
  <c r="S44" i="59" s="1"/>
  <c r="S52" i="57" a="1"/>
  <c r="S52" i="57" s="1"/>
  <c r="S75" i="57" a="1"/>
  <c r="S75" i="57" s="1"/>
  <c r="S60" i="59" s="1"/>
  <c r="S104" i="57" a="1"/>
  <c r="S104" i="57" s="1"/>
  <c r="S89" i="59" s="1"/>
  <c r="T122" i="57" a="1"/>
  <c r="T122" i="57" s="1"/>
  <c r="T65" i="52" a="1"/>
  <c r="T65" i="52" s="1"/>
  <c r="T64" i="57" a="1"/>
  <c r="T64" i="57" s="1"/>
  <c r="S121" i="57" a="1"/>
  <c r="S121" i="57" s="1"/>
  <c r="S77" i="57" a="1"/>
  <c r="S77" i="57" s="1"/>
  <c r="S43" i="57" a="1"/>
  <c r="S43" i="57" s="1"/>
  <c r="S28" i="59" s="1"/>
  <c r="T27" i="57" a="1"/>
  <c r="T27" i="57" s="1"/>
  <c r="S41" i="52" a="1"/>
  <c r="S41" i="52" s="1"/>
  <c r="T47" i="57" a="1"/>
  <c r="T47" i="57" s="1"/>
  <c r="S63" i="57" a="1"/>
  <c r="S63" i="57" s="1"/>
  <c r="S81" i="57" a="1"/>
  <c r="S81" i="57" s="1"/>
  <c r="S66" i="59" s="1"/>
  <c r="S35" i="57" a="1"/>
  <c r="S35" i="57" s="1"/>
  <c r="S32" i="57" a="1"/>
  <c r="S32" i="57" s="1"/>
  <c r="S115" i="57" a="1"/>
  <c r="S115" i="57" s="1"/>
  <c r="T116" i="57" a="1"/>
  <c r="T116" i="57" s="1"/>
  <c r="S99" i="57" a="1"/>
  <c r="S99" i="57" s="1"/>
  <c r="S84" i="59" s="1"/>
  <c r="S125" i="57" a="1"/>
  <c r="S125" i="57" s="1"/>
  <c r="T74" i="57" a="1"/>
  <c r="T74" i="57" s="1"/>
  <c r="T59" i="59" s="1"/>
  <c r="S89" i="57" a="1"/>
  <c r="S89" i="57" s="1"/>
  <c r="U46" i="44" a="1"/>
  <c r="U46" i="44" s="1"/>
  <c r="T81" i="57" a="1"/>
  <c r="T81" i="57" s="1"/>
  <c r="T66" i="59" s="1"/>
  <c r="S74" i="57" a="1"/>
  <c r="S74" i="57" s="1"/>
  <c r="S59" i="59" s="1"/>
  <c r="U48" i="44" a="1"/>
  <c r="U48" i="44" s="1"/>
  <c r="T104" i="57" a="1"/>
  <c r="T104" i="57" s="1"/>
  <c r="T89" i="59" s="1"/>
  <c r="T31" i="57" a="1"/>
  <c r="T31" i="57" s="1"/>
  <c r="T16" i="59" s="1"/>
  <c r="T30" i="57" a="1"/>
  <c r="T30" i="57" s="1"/>
  <c r="T15" i="59" s="1"/>
  <c r="S90" i="57" a="1"/>
  <c r="S90" i="57" s="1"/>
  <c r="S65" i="57" a="1"/>
  <c r="S65" i="57" s="1"/>
  <c r="S95" i="57" a="1"/>
  <c r="S95" i="57" s="1"/>
  <c r="S85" i="57" a="1"/>
  <c r="S85" i="57" s="1"/>
  <c r="T118" i="57" a="1"/>
  <c r="T118" i="57" s="1"/>
  <c r="T114" i="57" a="1"/>
  <c r="T114" i="57" s="1"/>
  <c r="S109" i="57" a="1"/>
  <c r="S109" i="57" s="1"/>
  <c r="S40" i="57" a="1"/>
  <c r="S40" i="57" s="1"/>
  <c r="S25" i="59" s="1"/>
  <c r="S60" i="57" a="1"/>
  <c r="S60" i="57" s="1"/>
  <c r="S84" i="57" a="1"/>
  <c r="S84" i="57" s="1"/>
  <c r="T71" i="57" a="1"/>
  <c r="T71" i="57" s="1"/>
  <c r="S71" i="57" a="1"/>
  <c r="S71" i="57" s="1"/>
  <c r="S102" i="57" a="1"/>
  <c r="S102" i="57" s="1"/>
  <c r="S87" i="59" s="1"/>
  <c r="S26" i="57" a="1"/>
  <c r="S26" i="57" s="1"/>
  <c r="S11" i="59" s="1"/>
  <c r="T100" i="57" a="1"/>
  <c r="T100" i="57" s="1"/>
  <c r="T85" i="59" s="1"/>
  <c r="T53" i="57" a="1"/>
  <c r="T53" i="57" s="1"/>
  <c r="T38" i="59" s="1"/>
  <c r="S113" i="57" a="1"/>
  <c r="S113" i="57" s="1"/>
  <c r="S88" i="57" a="1"/>
  <c r="S88" i="57" s="1"/>
  <c r="S73" i="59" s="1"/>
  <c r="S68" i="57" a="1"/>
  <c r="S68" i="57" s="1"/>
  <c r="S62" i="57" a="1"/>
  <c r="S62" i="57" s="1"/>
  <c r="S47" i="59" s="1"/>
  <c r="S48" i="57" a="1"/>
  <c r="S48" i="57" s="1"/>
  <c r="S33" i="59" s="1"/>
  <c r="S41" i="57" a="1"/>
  <c r="S41" i="57" s="1"/>
  <c r="S26" i="59" s="1"/>
  <c r="S105" i="57" a="1"/>
  <c r="S105" i="57" s="1"/>
  <c r="S90" i="59" s="1"/>
  <c r="T83" i="57" a="1"/>
  <c r="T83" i="57" s="1"/>
  <c r="S29" i="57" a="1"/>
  <c r="S29" i="57" s="1"/>
  <c r="S14" i="59" s="1"/>
  <c r="S73" i="57" a="1"/>
  <c r="S73" i="57" s="1"/>
  <c r="S58" i="57" a="1"/>
  <c r="S58" i="57" s="1"/>
  <c r="S43" i="59" s="1"/>
  <c r="S94" i="57" a="1"/>
  <c r="S94" i="57" s="1"/>
  <c r="T67" i="57" a="1"/>
  <c r="T67" i="57" s="1"/>
  <c r="S106" i="57" a="1"/>
  <c r="S106" i="57" s="1"/>
  <c r="S91" i="59" s="1"/>
  <c r="S50" i="57" a="1"/>
  <c r="S50" i="57" s="1"/>
  <c r="S35" i="59" s="1"/>
  <c r="S31" i="57" a="1"/>
  <c r="S31" i="57" s="1"/>
  <c r="S16" i="59" s="1"/>
  <c r="S108" i="57" a="1"/>
  <c r="S108" i="57" s="1"/>
  <c r="S61" i="57" a="1"/>
  <c r="S61" i="57" s="1"/>
  <c r="S87" i="57" a="1"/>
  <c r="S87" i="57" s="1"/>
  <c r="S93" i="57" a="1"/>
  <c r="S93" i="57" s="1"/>
  <c r="T46" i="57" a="1"/>
  <c r="T46" i="57" s="1"/>
  <c r="T57" i="57" a="1"/>
  <c r="T57" i="57" s="1"/>
  <c r="T42" i="59" s="1"/>
  <c r="S37" i="57" a="1"/>
  <c r="S37" i="57" s="1"/>
  <c r="S22" i="59" s="1"/>
  <c r="S101" i="57" a="1"/>
  <c r="S101" i="57" s="1"/>
  <c r="S86" i="59" s="1"/>
  <c r="T102" i="57" a="1"/>
  <c r="T102" i="57" s="1"/>
  <c r="T87" i="59" s="1"/>
  <c r="U83" i="57" a="1"/>
  <c r="U83" i="57" s="1"/>
  <c r="S72" i="57" a="1"/>
  <c r="S72" i="57" s="1"/>
  <c r="S103" i="57" a="1"/>
  <c r="S103" i="57" s="1"/>
  <c r="S88" i="59" s="1"/>
  <c r="S27" i="57" a="1"/>
  <c r="S27" i="57" s="1"/>
  <c r="S47" i="57" a="1"/>
  <c r="S47" i="57" s="1"/>
  <c r="S97" i="57" a="1"/>
  <c r="S97" i="57" s="1"/>
  <c r="S39" i="57" a="1"/>
  <c r="S39" i="57" s="1"/>
  <c r="S24" i="59" s="1"/>
  <c r="T29" i="57" a="1"/>
  <c r="T29" i="57" s="1"/>
  <c r="T14" i="59" s="1"/>
  <c r="S44" i="57" a="1"/>
  <c r="S44" i="57" s="1"/>
  <c r="S80" i="57" a="1"/>
  <c r="S80" i="57" s="1"/>
  <c r="S65" i="59" s="1"/>
  <c r="T119" i="57" a="1"/>
  <c r="T119" i="57" s="1"/>
  <c r="S86" i="57" a="1"/>
  <c r="S86" i="57" s="1"/>
  <c r="T110" i="57" a="1"/>
  <c r="T110" i="57" s="1"/>
  <c r="S117" i="57" a="1"/>
  <c r="S117" i="57" s="1"/>
  <c r="T55" i="57" a="1"/>
  <c r="T55" i="57" s="1"/>
  <c r="T40" i="59" s="1"/>
  <c r="S78" i="57" a="1"/>
  <c r="S78" i="57" s="1"/>
  <c r="S63" i="59" s="1"/>
  <c r="T120" i="57" a="1"/>
  <c r="T120" i="57" s="1"/>
  <c r="T97" i="57" a="1"/>
  <c r="T97" i="57" s="1"/>
  <c r="H12" i="59"/>
  <c r="S82" i="57" a="1"/>
  <c r="S82" i="57" s="1"/>
  <c r="S42" i="57" a="1"/>
  <c r="S42" i="57" s="1"/>
  <c r="S27" i="59" s="1"/>
  <c r="S38" i="57" a="1"/>
  <c r="S38" i="57" s="1"/>
  <c r="S23" i="59" s="1"/>
  <c r="S123" i="57" a="1"/>
  <c r="S123" i="57" s="1"/>
  <c r="S56" i="57" a="1"/>
  <c r="S56" i="57" s="1"/>
  <c r="S41" i="59" s="1"/>
  <c r="S111" i="57" a="1"/>
  <c r="S111" i="57" s="1"/>
  <c r="T124" i="57" a="1"/>
  <c r="T124" i="57" s="1"/>
  <c r="S96" i="57" a="1"/>
  <c r="S96" i="57" s="1"/>
  <c r="S45" i="57" a="1"/>
  <c r="S45" i="57" s="1"/>
  <c r="S30" i="59" s="1"/>
  <c r="S46" i="57" a="1"/>
  <c r="S46" i="57" s="1"/>
  <c r="S112" i="57" a="1"/>
  <c r="S112" i="57" s="1"/>
  <c r="S124" i="57" a="1"/>
  <c r="S124" i="57" s="1"/>
  <c r="T32" i="57" a="1"/>
  <c r="T32" i="57" s="1"/>
  <c r="T79" i="57" a="1"/>
  <c r="T79" i="57" s="1"/>
  <c r="S92" i="57" a="1"/>
  <c r="S92" i="57" s="1"/>
  <c r="T69" i="57" a="1"/>
  <c r="T69" i="57" s="1"/>
  <c r="T54" i="59" s="1"/>
  <c r="S70" i="57" a="1"/>
  <c r="S70" i="57" s="1"/>
  <c r="S55" i="59" s="1"/>
  <c r="T51" i="57" a="1"/>
  <c r="T51" i="57" s="1"/>
  <c r="S54" i="57" a="1"/>
  <c r="S54" i="57" s="1"/>
  <c r="S39" i="59" s="1"/>
  <c r="S107" i="57" a="1"/>
  <c r="S107" i="57" s="1"/>
  <c r="T73" i="57" a="1"/>
  <c r="T73" i="57" s="1"/>
  <c r="T28" i="57" a="1"/>
  <c r="T28" i="57" s="1"/>
  <c r="T13" i="59" s="1"/>
  <c r="S66" i="57" a="1"/>
  <c r="S66" i="57" s="1"/>
  <c r="S33" i="57" a="1"/>
  <c r="S33" i="57" s="1"/>
  <c r="S18" i="59" s="1"/>
  <c r="T89" i="57" a="1"/>
  <c r="T89" i="57" s="1"/>
  <c r="S34" i="57" a="1"/>
  <c r="S34" i="57" s="1"/>
  <c r="S19" i="59" s="1"/>
  <c r="S49" i="57" a="1"/>
  <c r="S49" i="57" s="1"/>
  <c r="U51" i="45" a="1"/>
  <c r="U51" i="45" s="1"/>
  <c r="U50" i="42" l="1" a="1"/>
  <c r="U50" i="42" s="1"/>
  <c r="T93" i="57" a="1"/>
  <c r="T93" i="57" s="1"/>
  <c r="U85" i="57" a="1"/>
  <c r="U85" i="57" s="1"/>
  <c r="T41" i="52" a="1"/>
  <c r="T41" i="52" s="1"/>
  <c r="T45" i="57" a="1"/>
  <c r="T45" i="57" s="1"/>
  <c r="T30" i="59" s="1"/>
  <c r="V50" i="42" a="1"/>
  <c r="V50" i="42" s="1"/>
  <c r="T48" i="44" a="1"/>
  <c r="T48" i="44" s="1"/>
  <c r="S12" i="59"/>
  <c r="V46" i="44" a="1"/>
  <c r="V46" i="44" s="1"/>
  <c r="T108" i="57" a="1"/>
  <c r="T108" i="57" s="1"/>
  <c r="U81" i="57" a="1"/>
  <c r="U81" i="57" s="1"/>
  <c r="U66" i="59" s="1"/>
  <c r="T115" i="57" a="1"/>
  <c r="T115" i="57" s="1"/>
  <c r="T78" i="57" a="1"/>
  <c r="T78" i="57" s="1"/>
  <c r="T63" i="59" s="1"/>
  <c r="U45" i="57" a="1"/>
  <c r="U45" i="57" s="1"/>
  <c r="U30" i="59" s="1"/>
  <c r="U112" i="57" a="1"/>
  <c r="U112" i="57" s="1"/>
  <c r="T107" i="57" a="1"/>
  <c r="T107" i="57" s="1"/>
  <c r="T99" i="57" a="1"/>
  <c r="T99" i="57" s="1"/>
  <c r="T84" i="59" s="1"/>
  <c r="T95" i="57" a="1"/>
  <c r="T95" i="57" s="1"/>
  <c r="U55" i="57" a="1"/>
  <c r="U55" i="57" s="1"/>
  <c r="U40" i="59" s="1"/>
  <c r="T60" i="57" a="1"/>
  <c r="T60" i="57" s="1"/>
  <c r="T84" i="57" a="1"/>
  <c r="T84" i="57" s="1"/>
  <c r="T43" i="57" a="1"/>
  <c r="T43" i="57" s="1"/>
  <c r="T28" i="59" s="1"/>
  <c r="T82" i="57" a="1"/>
  <c r="T82" i="57" s="1"/>
  <c r="T63" i="57" a="1"/>
  <c r="T63" i="57" s="1"/>
  <c r="U65" i="52" a="1"/>
  <c r="U65" i="52" s="1"/>
  <c r="U89" i="57" a="1"/>
  <c r="U89" i="57" s="1"/>
  <c r="U29" i="57" a="1"/>
  <c r="U29" i="57" s="1"/>
  <c r="U14" i="59" s="1"/>
  <c r="T80" i="57" a="1"/>
  <c r="T80" i="57" s="1"/>
  <c r="T65" i="59" s="1"/>
  <c r="U76" i="57" a="1"/>
  <c r="U76" i="57" s="1"/>
  <c r="U61" i="59" s="1"/>
  <c r="T94" i="57" a="1"/>
  <c r="T94" i="57" s="1"/>
  <c r="U116" i="57" a="1"/>
  <c r="U116" i="57" s="1"/>
  <c r="T87" i="57" a="1"/>
  <c r="T87" i="57" s="1"/>
  <c r="T111" i="57" a="1"/>
  <c r="T111" i="57" s="1"/>
  <c r="T72" i="57" a="1"/>
  <c r="T72" i="57" s="1"/>
  <c r="T103" i="57" a="1"/>
  <c r="T103" i="57" s="1"/>
  <c r="T88" i="59" s="1"/>
  <c r="T75" i="57" a="1"/>
  <c r="T75" i="57" s="1"/>
  <c r="T60" i="59" s="1"/>
  <c r="U61" i="57" a="1"/>
  <c r="U61" i="57" s="1"/>
  <c r="T85" i="57" a="1"/>
  <c r="T85" i="57" s="1"/>
  <c r="U87" i="57" a="1"/>
  <c r="U87" i="57" s="1"/>
  <c r="V89" i="57" a="1"/>
  <c r="V89" i="57" s="1"/>
  <c r="U67" i="57" a="1"/>
  <c r="U67" i="57" s="1"/>
  <c r="U122" i="57" a="1"/>
  <c r="U122" i="57" s="1"/>
  <c r="T49" i="57" a="1"/>
  <c r="T49" i="57" s="1"/>
  <c r="T39" i="57" a="1"/>
  <c r="T39" i="57" s="1"/>
  <c r="T24" i="59" s="1"/>
  <c r="U93" i="57" a="1"/>
  <c r="U93" i="57" s="1"/>
  <c r="U53" i="57" a="1"/>
  <c r="U53" i="57" s="1"/>
  <c r="U38" i="59" s="1"/>
  <c r="U71" i="57" a="1"/>
  <c r="U71" i="57" s="1"/>
  <c r="T34" i="57" a="1"/>
  <c r="T34" i="57" s="1"/>
  <c r="T19" i="59" s="1"/>
  <c r="T77" i="57" a="1"/>
  <c r="T77" i="57" s="1"/>
  <c r="T56" i="57" a="1"/>
  <c r="T56" i="57" s="1"/>
  <c r="T41" i="59" s="1"/>
  <c r="T50" i="57" a="1"/>
  <c r="T50" i="57" s="1"/>
  <c r="T35" i="59" s="1"/>
  <c r="T96" i="57" a="1"/>
  <c r="T96" i="57" s="1"/>
  <c r="T42" i="57" a="1"/>
  <c r="T42" i="57" s="1"/>
  <c r="T27" i="59" s="1"/>
  <c r="U119" i="57" a="1"/>
  <c r="U119" i="57" s="1"/>
  <c r="T52" i="57" a="1"/>
  <c r="T52" i="57" s="1"/>
  <c r="U57" i="57" a="1"/>
  <c r="U57" i="57" s="1"/>
  <c r="U42" i="59" s="1"/>
  <c r="U47" i="57" a="1"/>
  <c r="U47" i="57" s="1"/>
  <c r="T44" i="57" a="1"/>
  <c r="T44" i="57" s="1"/>
  <c r="T113" i="57" a="1"/>
  <c r="T113" i="57" s="1"/>
  <c r="U30" i="57" a="1"/>
  <c r="U30" i="57" s="1"/>
  <c r="U15" i="59" s="1"/>
  <c r="U63" i="57" a="1"/>
  <c r="U63" i="57" s="1"/>
  <c r="T123" i="57" a="1"/>
  <c r="T123" i="57" s="1"/>
  <c r="U91" i="57" a="1"/>
  <c r="U91" i="57" s="1"/>
  <c r="U114" i="57" a="1"/>
  <c r="U114" i="57" s="1"/>
  <c r="T106" i="57" a="1"/>
  <c r="T106" i="57" s="1"/>
  <c r="T91" i="59" s="1"/>
  <c r="T88" i="57" a="1"/>
  <c r="T88" i="57" s="1"/>
  <c r="T73" i="59" s="1"/>
  <c r="T98" i="57" a="1"/>
  <c r="T98" i="57" s="1"/>
  <c r="T105" i="57" a="1"/>
  <c r="T105" i="57" s="1"/>
  <c r="T90" i="59" s="1"/>
  <c r="U32" i="57" a="1"/>
  <c r="U32" i="57" s="1"/>
  <c r="U51" i="57" a="1"/>
  <c r="U51" i="57" s="1"/>
  <c r="T117" i="57" a="1"/>
  <c r="T117" i="57" s="1"/>
  <c r="U104" i="57" a="1"/>
  <c r="U104" i="57" s="1"/>
  <c r="U89" i="59" s="1"/>
  <c r="T70" i="57" a="1"/>
  <c r="T70" i="57" s="1"/>
  <c r="T55" i="59" s="1"/>
  <c r="T40" i="57" a="1"/>
  <c r="T40" i="57" s="1"/>
  <c r="T25" i="59" s="1"/>
  <c r="U97" i="57" a="1"/>
  <c r="U97" i="57" s="1"/>
  <c r="T26" i="57" a="1"/>
  <c r="T26" i="57" s="1"/>
  <c r="T11" i="59" s="1"/>
  <c r="T109" i="57" a="1"/>
  <c r="T109" i="57" s="1"/>
  <c r="U120" i="57" a="1"/>
  <c r="U120" i="57" s="1"/>
  <c r="T59" i="57" a="1"/>
  <c r="T59" i="57" s="1"/>
  <c r="T44" i="59" s="1"/>
  <c r="T36" i="57" a="1"/>
  <c r="T36" i="57" s="1"/>
  <c r="T125" i="57" a="1"/>
  <c r="T125" i="57" s="1"/>
  <c r="T54" i="57" a="1"/>
  <c r="T54" i="57" s="1"/>
  <c r="T39" i="59" s="1"/>
  <c r="T38" i="57" a="1"/>
  <c r="T38" i="57" s="1"/>
  <c r="T23" i="59" s="1"/>
  <c r="U73" i="57" a="1"/>
  <c r="U73" i="57" s="1"/>
  <c r="T121" i="57" a="1"/>
  <c r="T121" i="57" s="1"/>
  <c r="T33" i="57" a="1"/>
  <c r="T33" i="57" s="1"/>
  <c r="T18" i="59" s="1"/>
  <c r="U110" i="57" a="1"/>
  <c r="U110" i="57" s="1"/>
  <c r="U27" i="57" a="1"/>
  <c r="U27" i="57" s="1"/>
  <c r="U74" i="57" a="1"/>
  <c r="U74" i="57" s="1"/>
  <c r="U59" i="59" s="1"/>
  <c r="U69" i="57" a="1"/>
  <c r="U69" i="57" s="1"/>
  <c r="U54" i="59" s="1"/>
  <c r="U95" i="57" a="1"/>
  <c r="U95" i="57" s="1"/>
  <c r="T101" i="57" a="1"/>
  <c r="T101" i="57" s="1"/>
  <c r="T86" i="59" s="1"/>
  <c r="U118" i="57" a="1"/>
  <c r="U118" i="57" s="1"/>
  <c r="T41" i="57" a="1"/>
  <c r="T41" i="57" s="1"/>
  <c r="T26" i="59" s="1"/>
  <c r="U124" i="57" a="1"/>
  <c r="U124" i="57" s="1"/>
  <c r="T65" i="57" a="1"/>
  <c r="T65" i="57" s="1"/>
  <c r="T61" i="57" a="1"/>
  <c r="T61" i="57" s="1"/>
  <c r="T90" i="57" a="1"/>
  <c r="T90" i="57" s="1"/>
  <c r="U102" i="57" a="1"/>
  <c r="U102" i="57" s="1"/>
  <c r="U87" i="59" s="1"/>
  <c r="T66" i="57" a="1"/>
  <c r="T66" i="57" s="1"/>
  <c r="U79" i="57" a="1"/>
  <c r="U79" i="57" s="1"/>
  <c r="U64" i="57" a="1"/>
  <c r="U64" i="57" s="1"/>
  <c r="T35" i="57" a="1"/>
  <c r="T35" i="57" s="1"/>
  <c r="T58" i="57" a="1"/>
  <c r="T58" i="57" s="1"/>
  <c r="T43" i="59" s="1"/>
  <c r="U31" i="57" a="1"/>
  <c r="U31" i="57" s="1"/>
  <c r="U16" i="59" s="1"/>
  <c r="U46" i="57" a="1"/>
  <c r="U46" i="57" s="1"/>
  <c r="T37" i="57" a="1"/>
  <c r="T37" i="57" s="1"/>
  <c r="T22" i="59" s="1"/>
  <c r="T68" i="57" a="1"/>
  <c r="T68" i="57" s="1"/>
  <c r="U108" i="57" a="1"/>
  <c r="U108" i="57" s="1"/>
  <c r="T92" i="57" a="1"/>
  <c r="T92" i="57" s="1"/>
  <c r="U65" i="57" a="1"/>
  <c r="U65" i="57" s="1"/>
  <c r="U28" i="57" a="1"/>
  <c r="U28" i="57" s="1"/>
  <c r="U13" i="59" s="1"/>
  <c r="T62" i="57" a="1"/>
  <c r="T62" i="57" s="1"/>
  <c r="T47" i="59" s="1"/>
  <c r="T86" i="57" a="1"/>
  <c r="T86" i="57" s="1"/>
  <c r="U100" i="57" a="1"/>
  <c r="U100" i="57" s="1"/>
  <c r="U85" i="59" s="1"/>
  <c r="T48" i="57" a="1"/>
  <c r="T48" i="57" s="1"/>
  <c r="T33" i="59" s="1"/>
  <c r="W50" i="42" a="1"/>
  <c r="W50" i="42" s="1"/>
  <c r="V48" i="44" a="1"/>
  <c r="V48" i="44" s="1"/>
  <c r="V51" i="45" a="1"/>
  <c r="V51" i="45" s="1"/>
  <c r="X43" i="40"/>
  <c r="X42" i="40"/>
  <c r="X41" i="40"/>
  <c r="X43" i="42"/>
  <c r="X42" i="42"/>
  <c r="X41" i="42"/>
  <c r="X43" i="43"/>
  <c r="X42" i="43"/>
  <c r="X41" i="43"/>
  <c r="X43" i="44"/>
  <c r="X42" i="44"/>
  <c r="X41" i="44"/>
  <c r="X43" i="45"/>
  <c r="X42" i="45"/>
  <c r="X41" i="45"/>
  <c r="X43" i="46"/>
  <c r="X42" i="46"/>
  <c r="X41" i="46"/>
  <c r="X43" i="47"/>
  <c r="X42" i="47"/>
  <c r="X41" i="47"/>
  <c r="X43" i="48"/>
  <c r="X42" i="48"/>
  <c r="X41" i="48"/>
  <c r="X43" i="49"/>
  <c r="X42" i="49"/>
  <c r="X41" i="49"/>
  <c r="X43" i="50"/>
  <c r="X42" i="50"/>
  <c r="X41" i="50"/>
  <c r="X42" i="52"/>
  <c r="X43" i="52"/>
  <c r="X44" i="52"/>
  <c r="X45" i="52"/>
  <c r="X44" i="40"/>
  <c r="X45" i="40"/>
  <c r="X46" i="40"/>
  <c r="X47" i="40"/>
  <c r="X48" i="40"/>
  <c r="X49" i="40"/>
  <c r="V83" i="57" l="1" a="1"/>
  <c r="V83" i="57" s="1"/>
  <c r="I12" i="59"/>
  <c r="V65" i="52" a="1"/>
  <c r="V65" i="52" s="1"/>
  <c r="W46" i="44" a="1"/>
  <c r="W46" i="44" s="1"/>
  <c r="V81" i="57" a="1"/>
  <c r="V81" i="57" s="1"/>
  <c r="V66" i="59" s="1"/>
  <c r="V87" i="57" a="1"/>
  <c r="V87" i="57" s="1"/>
  <c r="U66" i="57" a="1"/>
  <c r="U66" i="57" s="1"/>
  <c r="V118" i="57" a="1"/>
  <c r="V118" i="57" s="1"/>
  <c r="V79" i="57" a="1"/>
  <c r="V79" i="57" s="1"/>
  <c r="U54" i="57" a="1"/>
  <c r="U54" i="57" s="1"/>
  <c r="U39" i="59" s="1"/>
  <c r="U77" i="57" a="1"/>
  <c r="U77" i="57" s="1"/>
  <c r="W89" i="57" a="1"/>
  <c r="W89" i="57" s="1"/>
  <c r="U68" i="57" a="1"/>
  <c r="U68" i="57" s="1"/>
  <c r="V124" i="57" a="1"/>
  <c r="V124" i="57" s="1"/>
  <c r="U33" i="57" a="1"/>
  <c r="U33" i="57" s="1"/>
  <c r="U18" i="59" s="1"/>
  <c r="U109" i="57" a="1"/>
  <c r="U109" i="57" s="1"/>
  <c r="U78" i="57" a="1"/>
  <c r="U78" i="57" s="1"/>
  <c r="U63" i="59" s="1"/>
  <c r="U123" i="57" a="1"/>
  <c r="U123" i="57" s="1"/>
  <c r="U50" i="57" a="1"/>
  <c r="U50" i="57" s="1"/>
  <c r="U35" i="59" s="1"/>
  <c r="V95" i="57" a="1"/>
  <c r="V95" i="57" s="1"/>
  <c r="V122" i="57" a="1"/>
  <c r="V122" i="57" s="1"/>
  <c r="V93" i="57" a="1"/>
  <c r="V93" i="57" s="1"/>
  <c r="V64" i="57" a="1"/>
  <c r="V64" i="57" s="1"/>
  <c r="U111" i="57" a="1"/>
  <c r="U111" i="57" s="1"/>
  <c r="V97" i="57" a="1"/>
  <c r="V97" i="57" s="1"/>
  <c r="U39" i="57" a="1"/>
  <c r="U39" i="57" s="1"/>
  <c r="U24" i="59" s="1"/>
  <c r="U107" i="57" a="1"/>
  <c r="U107" i="57" s="1"/>
  <c r="V104" i="57" a="1"/>
  <c r="V104" i="57" s="1"/>
  <c r="V89" i="59" s="1"/>
  <c r="V45" i="57" a="1"/>
  <c r="V45" i="57" s="1"/>
  <c r="V30" i="59" s="1"/>
  <c r="U82" i="57" a="1"/>
  <c r="U82" i="57" s="1"/>
  <c r="U121" i="57" a="1"/>
  <c r="U121" i="57" s="1"/>
  <c r="V63" i="57" a="1"/>
  <c r="V63" i="57" s="1"/>
  <c r="V30" i="57" a="1"/>
  <c r="V30" i="57" s="1"/>
  <c r="V15" i="59" s="1"/>
  <c r="V71" i="57" a="1"/>
  <c r="V71" i="57" s="1"/>
  <c r="V108" i="57" a="1"/>
  <c r="V108" i="57" s="1"/>
  <c r="U58" i="57" a="1"/>
  <c r="U58" i="57" s="1"/>
  <c r="U43" i="59" s="1"/>
  <c r="V91" i="57" a="1"/>
  <c r="V91" i="57" s="1"/>
  <c r="U106" i="57" a="1"/>
  <c r="U106" i="57" s="1"/>
  <c r="U91" i="59" s="1"/>
  <c r="V53" i="57" a="1"/>
  <c r="V53" i="57" s="1"/>
  <c r="V38" i="59" s="1"/>
  <c r="V112" i="57" a="1"/>
  <c r="V112" i="57" s="1"/>
  <c r="U125" i="57" a="1"/>
  <c r="U125" i="57" s="1"/>
  <c r="V100" i="57" a="1"/>
  <c r="V100" i="57" s="1"/>
  <c r="V85" i="59" s="1"/>
  <c r="V73" i="57" a="1"/>
  <c r="V73" i="57" s="1"/>
  <c r="U62" i="57" a="1"/>
  <c r="U62" i="57" s="1"/>
  <c r="U47" i="59" s="1"/>
  <c r="V32" i="57" a="1"/>
  <c r="V32" i="57" s="1"/>
  <c r="U113" i="57" a="1"/>
  <c r="U113" i="57" s="1"/>
  <c r="U56" i="57" a="1"/>
  <c r="U56" i="57" s="1"/>
  <c r="U41" i="59" s="1"/>
  <c r="U59" i="57" a="1"/>
  <c r="U59" i="57" s="1"/>
  <c r="U44" i="59" s="1"/>
  <c r="V57" i="57" a="1"/>
  <c r="V57" i="57" s="1"/>
  <c r="V42" i="59" s="1"/>
  <c r="V102" i="57" a="1"/>
  <c r="V102" i="57" s="1"/>
  <c r="V87" i="59" s="1"/>
  <c r="U90" i="57" a="1"/>
  <c r="U90" i="57" s="1"/>
  <c r="V119" i="57" a="1"/>
  <c r="V119" i="57" s="1"/>
  <c r="U96" i="57" a="1"/>
  <c r="U96" i="57" s="1"/>
  <c r="V114" i="57" a="1"/>
  <c r="V114" i="57" s="1"/>
  <c r="V55" i="57" a="1"/>
  <c r="V55" i="57" s="1"/>
  <c r="V40" i="59" s="1"/>
  <c r="V74" i="57" a="1"/>
  <c r="V74" i="57" s="1"/>
  <c r="V59" i="59" s="1"/>
  <c r="V85" i="57" a="1"/>
  <c r="V85" i="57" s="1"/>
  <c r="U40" i="57" a="1"/>
  <c r="U40" i="57" s="1"/>
  <c r="U25" i="59" s="1"/>
  <c r="V69" i="57" a="1"/>
  <c r="V69" i="57" s="1"/>
  <c r="V54" i="59" s="1"/>
  <c r="U101" i="57" a="1"/>
  <c r="U101" i="57" s="1"/>
  <c r="U86" i="59" s="1"/>
  <c r="U60" i="57" a="1"/>
  <c r="U60" i="57" s="1"/>
  <c r="U42" i="57" a="1"/>
  <c r="U42" i="57" s="1"/>
  <c r="U27" i="59" s="1"/>
  <c r="V29" i="57" a="1"/>
  <c r="V29" i="57" s="1"/>
  <c r="V14" i="59" s="1"/>
  <c r="V28" i="57" a="1"/>
  <c r="V28" i="57" s="1"/>
  <c r="V13" i="59" s="1"/>
  <c r="U72" i="57" a="1"/>
  <c r="U72" i="57" s="1"/>
  <c r="U38" i="57" a="1"/>
  <c r="U38" i="57" s="1"/>
  <c r="U23" i="59" s="1"/>
  <c r="U36" i="57" a="1"/>
  <c r="U36" i="57" s="1"/>
  <c r="U99" i="57" a="1"/>
  <c r="U99" i="57" s="1"/>
  <c r="U84" i="59" s="1"/>
  <c r="U26" i="57" a="1"/>
  <c r="U26" i="57" s="1"/>
  <c r="U11" i="59" s="1"/>
  <c r="U49" i="57" a="1"/>
  <c r="U49" i="57" s="1"/>
  <c r="U103" i="57" a="1"/>
  <c r="U103" i="57" s="1"/>
  <c r="U88" i="59" s="1"/>
  <c r="V61" i="57" a="1"/>
  <c r="V61" i="57" s="1"/>
  <c r="U70" i="57" a="1"/>
  <c r="U70" i="57" s="1"/>
  <c r="U55" i="59" s="1"/>
  <c r="U44" i="57" a="1"/>
  <c r="U44" i="57" s="1"/>
  <c r="V47" i="57" a="1"/>
  <c r="V47" i="57" s="1"/>
  <c r="U80" i="57" a="1"/>
  <c r="U80" i="57" s="1"/>
  <c r="U65" i="59" s="1"/>
  <c r="V27" i="57" a="1"/>
  <c r="V27" i="57" s="1"/>
  <c r="V110" i="57" a="1"/>
  <c r="V110" i="57" s="1"/>
  <c r="U105" i="57" a="1"/>
  <c r="U105" i="57" s="1"/>
  <c r="U90" i="59" s="1"/>
  <c r="V65" i="57" a="1"/>
  <c r="V65" i="57" s="1"/>
  <c r="U48" i="57" a="1"/>
  <c r="U48" i="57" s="1"/>
  <c r="U33" i="59" s="1"/>
  <c r="V51" i="57" a="1"/>
  <c r="V51" i="57" s="1"/>
  <c r="V116" i="57" a="1"/>
  <c r="V116" i="57" s="1"/>
  <c r="V67" i="57" a="1"/>
  <c r="V67" i="57" s="1"/>
  <c r="U37" i="57" a="1"/>
  <c r="U37" i="57" s="1"/>
  <c r="U22" i="59" s="1"/>
  <c r="U88" i="57" a="1"/>
  <c r="U88" i="57" s="1"/>
  <c r="U73" i="59" s="1"/>
  <c r="U117" i="57" a="1"/>
  <c r="U117" i="57" s="1"/>
  <c r="U35" i="57" a="1"/>
  <c r="U35" i="57" s="1"/>
  <c r="U115" i="57" a="1"/>
  <c r="U115" i="57" s="1"/>
  <c r="U52" i="57" a="1"/>
  <c r="U52" i="57" s="1"/>
  <c r="V120" i="57" a="1"/>
  <c r="V120" i="57" s="1"/>
  <c r="U94" i="57" a="1"/>
  <c r="U94" i="57" s="1"/>
  <c r="U92" i="57" a="1"/>
  <c r="U92" i="57" s="1"/>
  <c r="U84" i="57" a="1"/>
  <c r="U84" i="57" s="1"/>
  <c r="U75" i="57" a="1"/>
  <c r="U75" i="57" s="1"/>
  <c r="U60" i="59" s="1"/>
  <c r="U34" i="57" a="1"/>
  <c r="U34" i="57" s="1"/>
  <c r="U19" i="59" s="1"/>
  <c r="U86" i="57" a="1"/>
  <c r="U86" i="57" s="1"/>
  <c r="V76" i="57" a="1"/>
  <c r="V76" i="57" s="1"/>
  <c r="V61" i="59" s="1"/>
  <c r="V31" i="57" a="1"/>
  <c r="V31" i="57" s="1"/>
  <c r="V16" i="59" s="1"/>
  <c r="U41" i="57" a="1"/>
  <c r="U41" i="57" s="1"/>
  <c r="U26" i="59" s="1"/>
  <c r="U98" i="57" a="1"/>
  <c r="U98" i="57" s="1"/>
  <c r="V46" i="57" a="1"/>
  <c r="V46" i="57" s="1"/>
  <c r="U43" i="57" a="1"/>
  <c r="U43" i="57" s="1"/>
  <c r="U28" i="59" s="1"/>
  <c r="W48" i="44" a="1"/>
  <c r="W48" i="44" s="1"/>
  <c r="W51" i="45" a="1"/>
  <c r="W51" i="45" s="1"/>
  <c r="T12" i="59" l="1"/>
  <c r="J12" i="59"/>
  <c r="U41" i="52" a="1"/>
  <c r="U41" i="52" s="1"/>
  <c r="W65" i="52" a="1"/>
  <c r="W65" i="52" s="1"/>
  <c r="W83" i="57" a="1"/>
  <c r="W83" i="57" s="1"/>
  <c r="V66" i="57" a="1"/>
  <c r="V66" i="57" s="1"/>
  <c r="W110" i="57" a="1"/>
  <c r="W110" i="57" s="1"/>
  <c r="V90" i="57" a="1"/>
  <c r="V90" i="57" s="1"/>
  <c r="W30" i="57" a="1"/>
  <c r="W30" i="57" s="1"/>
  <c r="W15" i="59" s="1"/>
  <c r="V56" i="57" a="1"/>
  <c r="V56" i="57" s="1"/>
  <c r="V41" i="59" s="1"/>
  <c r="W32" i="57" a="1"/>
  <c r="W32" i="57" s="1"/>
  <c r="W29" i="57" a="1"/>
  <c r="W29" i="57" s="1"/>
  <c r="W14" i="59" s="1"/>
  <c r="W102" i="57" a="1"/>
  <c r="W102" i="57" s="1"/>
  <c r="W87" i="59" s="1"/>
  <c r="W63" i="57" a="1"/>
  <c r="W63" i="57" s="1"/>
  <c r="V113" i="57" a="1"/>
  <c r="V113" i="57" s="1"/>
  <c r="V78" i="57" a="1"/>
  <c r="V78" i="57" s="1"/>
  <c r="V63" i="59" s="1"/>
  <c r="W51" i="57" a="1"/>
  <c r="W51" i="57" s="1"/>
  <c r="W67" i="57" a="1"/>
  <c r="W67" i="57" s="1"/>
  <c r="W71" i="57" a="1"/>
  <c r="W71" i="57" s="1"/>
  <c r="V84" i="57" a="1"/>
  <c r="V84" i="57" s="1"/>
  <c r="W74" i="57" a="1"/>
  <c r="W74" i="57" s="1"/>
  <c r="W59" i="59" s="1"/>
  <c r="W28" i="57" a="1"/>
  <c r="W28" i="57" s="1"/>
  <c r="W13" i="59" s="1"/>
  <c r="V101" i="57" a="1"/>
  <c r="V101" i="57" s="1"/>
  <c r="V86" i="59" s="1"/>
  <c r="V80" i="57" a="1"/>
  <c r="V80" i="57" s="1"/>
  <c r="V65" i="59" s="1"/>
  <c r="V115" i="57" a="1"/>
  <c r="V115" i="57" s="1"/>
  <c r="W122" i="57" a="1"/>
  <c r="W122" i="57" s="1"/>
  <c r="W114" i="57" a="1"/>
  <c r="W114" i="57" s="1"/>
  <c r="V62" i="57" a="1"/>
  <c r="V62" i="57" s="1"/>
  <c r="V47" i="59" s="1"/>
  <c r="V82" i="57" a="1"/>
  <c r="V82" i="57" s="1"/>
  <c r="W73" i="57" a="1"/>
  <c r="W73" i="57" s="1"/>
  <c r="W119" i="57" a="1"/>
  <c r="W119" i="57" s="1"/>
  <c r="V70" i="57" a="1"/>
  <c r="V70" i="57" s="1"/>
  <c r="V55" i="59" s="1"/>
  <c r="V72" i="57" a="1"/>
  <c r="V72" i="57" s="1"/>
  <c r="W124" i="57" a="1"/>
  <c r="W124" i="57" s="1"/>
  <c r="W55" i="57" a="1"/>
  <c r="W55" i="57" s="1"/>
  <c r="W40" i="59" s="1"/>
  <c r="W118" i="57" a="1"/>
  <c r="W118" i="57" s="1"/>
  <c r="V121" i="57" a="1"/>
  <c r="V121" i="57" s="1"/>
  <c r="V94" i="57" a="1"/>
  <c r="V94" i="57" s="1"/>
  <c r="W53" i="57" a="1"/>
  <c r="W53" i="57" s="1"/>
  <c r="W38" i="59" s="1"/>
  <c r="V41" i="57" a="1"/>
  <c r="V41" i="57" s="1"/>
  <c r="V26" i="59" s="1"/>
  <c r="W112" i="57" a="1"/>
  <c r="W112" i="57" s="1"/>
  <c r="V60" i="57" a="1"/>
  <c r="V60" i="57" s="1"/>
  <c r="W95" i="57" a="1"/>
  <c r="W95" i="57" s="1"/>
  <c r="W31" i="57" a="1"/>
  <c r="W31" i="57" s="1"/>
  <c r="W16" i="59" s="1"/>
  <c r="W97" i="57" a="1"/>
  <c r="W97" i="57" s="1"/>
  <c r="V34" i="57" a="1"/>
  <c r="V34" i="57" s="1"/>
  <c r="V19" i="59" s="1"/>
  <c r="V49" i="57" a="1"/>
  <c r="V49" i="57" s="1"/>
  <c r="V58" i="57" a="1"/>
  <c r="V58" i="57" s="1"/>
  <c r="V43" i="59" s="1"/>
  <c r="V43" i="57" a="1"/>
  <c r="V43" i="57" s="1"/>
  <c r="V28" i="59" s="1"/>
  <c r="V105" i="57" a="1"/>
  <c r="V105" i="57" s="1"/>
  <c r="V90" i="59" s="1"/>
  <c r="W81" i="57" a="1"/>
  <c r="W81" i="57" s="1"/>
  <c r="W66" i="59" s="1"/>
  <c r="W93" i="57" a="1"/>
  <c r="W93" i="57" s="1"/>
  <c r="V98" i="57" a="1"/>
  <c r="V98" i="57" s="1"/>
  <c r="V123" i="57" a="1"/>
  <c r="V123" i="57" s="1"/>
  <c r="V59" i="57" a="1"/>
  <c r="V59" i="57" s="1"/>
  <c r="V44" i="59" s="1"/>
  <c r="W108" i="57" a="1"/>
  <c r="W108" i="57" s="1"/>
  <c r="V75" i="57" a="1"/>
  <c r="V75" i="57" s="1"/>
  <c r="V60" i="59" s="1"/>
  <c r="V77" i="57" a="1"/>
  <c r="V77" i="57" s="1"/>
  <c r="W76" i="57" a="1"/>
  <c r="W76" i="57" s="1"/>
  <c r="W61" i="59" s="1"/>
  <c r="W57" i="57" a="1"/>
  <c r="W57" i="57" s="1"/>
  <c r="W42" i="59" s="1"/>
  <c r="V103" i="57" a="1"/>
  <c r="V103" i="57" s="1"/>
  <c r="V88" i="59" s="1"/>
  <c r="V92" i="57" a="1"/>
  <c r="V92" i="57" s="1"/>
  <c r="W120" i="57" a="1"/>
  <c r="W120" i="57" s="1"/>
  <c r="W85" i="57" a="1"/>
  <c r="W85" i="57" s="1"/>
  <c r="W64" i="57" a="1"/>
  <c r="W64" i="57" s="1"/>
  <c r="V40" i="57" a="1"/>
  <c r="V40" i="57" s="1"/>
  <c r="V25" i="59" s="1"/>
  <c r="W91" i="57" a="1"/>
  <c r="W91" i="57" s="1"/>
  <c r="W87" i="57" a="1"/>
  <c r="W87" i="57" s="1"/>
  <c r="V99" i="57" a="1"/>
  <c r="V99" i="57" s="1"/>
  <c r="V84" i="59" s="1"/>
  <c r="W100" i="57" a="1"/>
  <c r="W100" i="57" s="1"/>
  <c r="W85" i="59" s="1"/>
  <c r="V125" i="57" a="1"/>
  <c r="V125" i="57" s="1"/>
  <c r="V54" i="57" a="1"/>
  <c r="V54" i="57" s="1"/>
  <c r="V39" i="59" s="1"/>
  <c r="V52" i="57" a="1"/>
  <c r="V52" i="57" s="1"/>
  <c r="V42" i="57" a="1"/>
  <c r="V42" i="57" s="1"/>
  <c r="V27" i="59" s="1"/>
  <c r="V50" i="57" a="1"/>
  <c r="V50" i="57" s="1"/>
  <c r="V35" i="59" s="1"/>
  <c r="W69" i="57" a="1"/>
  <c r="W69" i="57" s="1"/>
  <c r="W54" i="59" s="1"/>
  <c r="V44" i="57" a="1"/>
  <c r="V44" i="57" s="1"/>
  <c r="W46" i="57" a="1"/>
  <c r="W46" i="57" s="1"/>
  <c r="V26" i="57" a="1"/>
  <c r="V26" i="57" s="1"/>
  <c r="V11" i="59" s="1"/>
  <c r="V117" i="57" a="1"/>
  <c r="V117" i="57" s="1"/>
  <c r="V109" i="57" a="1"/>
  <c r="V109" i="57" s="1"/>
  <c r="W79" i="57" a="1"/>
  <c r="W79" i="57" s="1"/>
  <c r="V48" i="57" a="1"/>
  <c r="V48" i="57" s="1"/>
  <c r="V33" i="59" s="1"/>
  <c r="V111" i="57" a="1"/>
  <c r="V111" i="57" s="1"/>
  <c r="V107" i="57" a="1"/>
  <c r="V107" i="57" s="1"/>
  <c r="W45" i="57" a="1"/>
  <c r="W45" i="57" s="1"/>
  <c r="W30" i="59" s="1"/>
  <c r="V36" i="57" a="1"/>
  <c r="V36" i="57" s="1"/>
  <c r="V88" i="57" a="1"/>
  <c r="V88" i="57" s="1"/>
  <c r="V73" i="59" s="1"/>
  <c r="V86" i="57" a="1"/>
  <c r="V86" i="57" s="1"/>
  <c r="V37" i="57" a="1"/>
  <c r="V37" i="57" s="1"/>
  <c r="V22" i="59" s="1"/>
  <c r="V35" i="57" a="1"/>
  <c r="V35" i="57" s="1"/>
  <c r="W65" i="57" a="1"/>
  <c r="W65" i="57" s="1"/>
  <c r="V39" i="57" a="1"/>
  <c r="V39" i="57" s="1"/>
  <c r="V24" i="59" s="1"/>
  <c r="W116" i="57" a="1"/>
  <c r="W116" i="57" s="1"/>
  <c r="V106" i="57" a="1"/>
  <c r="V106" i="57" s="1"/>
  <c r="V91" i="59" s="1"/>
  <c r="V68" i="57" a="1"/>
  <c r="V68" i="57" s="1"/>
  <c r="V38" i="57" a="1"/>
  <c r="V38" i="57" s="1"/>
  <c r="V23" i="59" s="1"/>
  <c r="W104" i="57" a="1"/>
  <c r="W104" i="57" s="1"/>
  <c r="W89" i="59" s="1"/>
  <c r="W47" i="57" a="1"/>
  <c r="W47" i="57" s="1"/>
  <c r="W61" i="57" a="1"/>
  <c r="W61" i="57" s="1"/>
  <c r="W27" i="57" a="1"/>
  <c r="W27" i="57" s="1"/>
  <c r="V96" i="57" a="1"/>
  <c r="V96" i="57" s="1"/>
  <c r="V33" i="57" a="1"/>
  <c r="V33" i="57" s="1"/>
  <c r="V18" i="59" s="1"/>
  <c r="N43" i="43" a="1"/>
  <c r="N43" i="43" s="1"/>
  <c r="M44" i="52" a="1"/>
  <c r="M44" i="52" s="1"/>
  <c r="M43" i="52" a="1"/>
  <c r="M43" i="52" s="1"/>
  <c r="N43" i="52" a="1"/>
  <c r="N43" i="52" s="1"/>
  <c r="N44" i="52" a="1"/>
  <c r="N44" i="52" s="1"/>
  <c r="O43" i="52" a="1"/>
  <c r="O43" i="52" s="1"/>
  <c r="O44" i="52" a="1"/>
  <c r="O44" i="52" s="1"/>
  <c r="P43" i="52" a="1"/>
  <c r="P43" i="52" s="1"/>
  <c r="P44" i="52" a="1"/>
  <c r="P44" i="52" s="1"/>
  <c r="Q43" i="52" a="1"/>
  <c r="Q43" i="52" s="1"/>
  <c r="Q44" i="52" a="1"/>
  <c r="Q44" i="52" s="1"/>
  <c r="M42" i="50" a="1"/>
  <c r="M42" i="50" s="1"/>
  <c r="M43" i="50" a="1"/>
  <c r="M43" i="50" s="1"/>
  <c r="N42" i="50" a="1"/>
  <c r="N42" i="50" s="1"/>
  <c r="N43" i="50" a="1"/>
  <c r="N43" i="50" s="1"/>
  <c r="O42" i="50" a="1"/>
  <c r="O42" i="50" s="1"/>
  <c r="O43" i="50" a="1"/>
  <c r="O43" i="50" s="1"/>
  <c r="P42" i="50" a="1"/>
  <c r="P42" i="50" s="1"/>
  <c r="P43" i="50" a="1"/>
  <c r="P43" i="50" s="1"/>
  <c r="Q42" i="50" a="1"/>
  <c r="Q42" i="50" s="1"/>
  <c r="M42" i="49" a="1"/>
  <c r="M42" i="49" s="1"/>
  <c r="M43" i="49" a="1"/>
  <c r="M43" i="49" s="1"/>
  <c r="N42" i="49" a="1"/>
  <c r="N42" i="49" s="1"/>
  <c r="N43" i="49" a="1"/>
  <c r="N43" i="49" s="1"/>
  <c r="O42" i="49" a="1"/>
  <c r="O42" i="49" s="1"/>
  <c r="O43" i="49" a="1"/>
  <c r="O43" i="49" s="1"/>
  <c r="P42" i="49" a="1"/>
  <c r="P42" i="49" s="1"/>
  <c r="P43" i="49" a="1"/>
  <c r="P43" i="49" s="1"/>
  <c r="Q42" i="49" a="1"/>
  <c r="Q42" i="49" s="1"/>
  <c r="M42" i="48" a="1"/>
  <c r="M42" i="48" s="1"/>
  <c r="M43" i="48" a="1"/>
  <c r="M43" i="48" s="1"/>
  <c r="N42" i="48" a="1"/>
  <c r="N42" i="48" s="1"/>
  <c r="N43" i="48" a="1"/>
  <c r="N43" i="48" s="1"/>
  <c r="O42" i="48" a="1"/>
  <c r="O42" i="48" s="1"/>
  <c r="O43" i="48" a="1"/>
  <c r="O43" i="48" s="1"/>
  <c r="P42" i="48" a="1"/>
  <c r="P42" i="48" s="1"/>
  <c r="P43" i="48" a="1"/>
  <c r="P43" i="48" s="1"/>
  <c r="Q43" i="48" a="1"/>
  <c r="Q43" i="48" s="1"/>
  <c r="M42" i="47" a="1"/>
  <c r="M42" i="47" s="1"/>
  <c r="M43" i="47" a="1"/>
  <c r="M43" i="47" s="1"/>
  <c r="N42" i="47" a="1"/>
  <c r="N42" i="47" s="1"/>
  <c r="N43" i="47" a="1"/>
  <c r="N43" i="47" s="1"/>
  <c r="O42" i="47" a="1"/>
  <c r="O42" i="47" s="1"/>
  <c r="O43" i="47" a="1"/>
  <c r="O43" i="47" s="1"/>
  <c r="P42" i="47" a="1"/>
  <c r="P42" i="47" s="1"/>
  <c r="P43" i="47" a="1"/>
  <c r="P43" i="47" s="1"/>
  <c r="Q43" i="47" a="1"/>
  <c r="Q43" i="47" s="1"/>
  <c r="M42" i="46" a="1"/>
  <c r="M42" i="46" s="1"/>
  <c r="M43" i="46" a="1"/>
  <c r="M43" i="46" s="1"/>
  <c r="N42" i="46" a="1"/>
  <c r="N42" i="46" s="1"/>
  <c r="N43" i="46" a="1"/>
  <c r="N43" i="46" s="1"/>
  <c r="O42" i="46" a="1"/>
  <c r="O42" i="46" s="1"/>
  <c r="O43" i="46" a="1"/>
  <c r="O43" i="46" s="1"/>
  <c r="P42" i="46" a="1"/>
  <c r="P42" i="46" s="1"/>
  <c r="P43" i="46" a="1"/>
  <c r="P43" i="46" s="1"/>
  <c r="Q43" i="46" a="1"/>
  <c r="Q43" i="46" s="1"/>
  <c r="M42" i="45" a="1"/>
  <c r="M42" i="45" s="1"/>
  <c r="M43" i="45" a="1"/>
  <c r="M43" i="45" s="1"/>
  <c r="N42" i="45" a="1"/>
  <c r="N42" i="45" s="1"/>
  <c r="N43" i="45" a="1"/>
  <c r="N43" i="45" s="1"/>
  <c r="O42" i="45" a="1"/>
  <c r="O42" i="45" s="1"/>
  <c r="O43" i="45" a="1"/>
  <c r="O43" i="45" s="1"/>
  <c r="P42" i="45" a="1"/>
  <c r="P42" i="45" s="1"/>
  <c r="P43" i="45" a="1"/>
  <c r="P43" i="45" s="1"/>
  <c r="Q43" i="45" a="1"/>
  <c r="Q43" i="45" s="1"/>
  <c r="M42" i="44" a="1"/>
  <c r="M42" i="44" s="1"/>
  <c r="M43" i="44" a="1"/>
  <c r="M43" i="44" s="1"/>
  <c r="N42" i="44" a="1"/>
  <c r="N42" i="44" s="1"/>
  <c r="N43" i="44" a="1"/>
  <c r="N43" i="44" s="1"/>
  <c r="O42" i="44" a="1"/>
  <c r="O42" i="44" s="1"/>
  <c r="O43" i="44" a="1"/>
  <c r="O43" i="44" s="1"/>
  <c r="P42" i="44" a="1"/>
  <c r="P42" i="44" s="1"/>
  <c r="P43" i="44" a="1"/>
  <c r="P43" i="44" s="1"/>
  <c r="M42" i="43" a="1"/>
  <c r="M42" i="43" s="1"/>
  <c r="M43" i="43" a="1"/>
  <c r="M43" i="43" s="1"/>
  <c r="N42" i="43" a="1"/>
  <c r="N42" i="43" s="1"/>
  <c r="O42" i="43" a="1"/>
  <c r="O42" i="43" s="1"/>
  <c r="O43" i="43" a="1"/>
  <c r="O43" i="43" s="1"/>
  <c r="P42" i="43" a="1"/>
  <c r="P42" i="43" s="1"/>
  <c r="P43" i="43" a="1"/>
  <c r="P43" i="43" s="1"/>
  <c r="M42" i="42" a="1"/>
  <c r="M42" i="42" s="1"/>
  <c r="M43" i="42" a="1"/>
  <c r="M43" i="42" s="1"/>
  <c r="N42" i="42" a="1"/>
  <c r="N42" i="42" s="1"/>
  <c r="N43" i="42" a="1"/>
  <c r="N43" i="42" s="1"/>
  <c r="O42" i="42" a="1"/>
  <c r="O42" i="42" s="1"/>
  <c r="O43" i="42" a="1"/>
  <c r="O43" i="42" s="1"/>
  <c r="P42" i="42" a="1"/>
  <c r="P42" i="42" s="1"/>
  <c r="P43" i="42" a="1"/>
  <c r="P43" i="42" s="1"/>
  <c r="Q42" i="42" a="1"/>
  <c r="Q42" i="42" s="1"/>
  <c r="M42" i="40" a="1"/>
  <c r="M42" i="40" s="1"/>
  <c r="M43" i="40" a="1"/>
  <c r="M43" i="40" s="1"/>
  <c r="N42" i="40" a="1"/>
  <c r="N42" i="40" s="1"/>
  <c r="N43" i="40" a="1"/>
  <c r="N43" i="40" s="1"/>
  <c r="O42" i="40" a="1"/>
  <c r="O42" i="40" s="1"/>
  <c r="O43" i="40" a="1"/>
  <c r="O43" i="40" s="1"/>
  <c r="P42" i="40" a="1"/>
  <c r="P42" i="40" s="1"/>
  <c r="P43" i="40" a="1"/>
  <c r="P43" i="40" s="1"/>
  <c r="Q42" i="40" a="1"/>
  <c r="Q42" i="40" s="1"/>
  <c r="Q43" i="40" a="1"/>
  <c r="Q43" i="40" s="1"/>
  <c r="U12" i="59" l="1"/>
  <c r="V41" i="52" a="1"/>
  <c r="V41" i="52" s="1"/>
  <c r="K12" i="59"/>
  <c r="R43" i="42" a="1"/>
  <c r="R43" i="42" s="1"/>
  <c r="Q43" i="42" a="1"/>
  <c r="Q43" i="42" s="1"/>
  <c r="W33" i="57" a="1"/>
  <c r="W33" i="57" s="1"/>
  <c r="W18" i="59" s="1"/>
  <c r="W77" i="57" a="1"/>
  <c r="W77" i="57" s="1"/>
  <c r="W36" i="57" a="1"/>
  <c r="W36" i="57" s="1"/>
  <c r="W59" i="57" a="1"/>
  <c r="W59" i="57" s="1"/>
  <c r="W44" i="59" s="1"/>
  <c r="W113" i="57" a="1"/>
  <c r="W113" i="57" s="1"/>
  <c r="W37" i="57" a="1"/>
  <c r="W37" i="57" s="1"/>
  <c r="W22" i="59" s="1"/>
  <c r="W123" i="57" a="1"/>
  <c r="W123" i="57" s="1"/>
  <c r="W75" i="57" a="1"/>
  <c r="W75" i="57" s="1"/>
  <c r="W60" i="59" s="1"/>
  <c r="W50" i="57" a="1"/>
  <c r="W50" i="57" s="1"/>
  <c r="W35" i="59" s="1"/>
  <c r="W121" i="57" a="1"/>
  <c r="W121" i="57" s="1"/>
  <c r="W54" i="57" a="1"/>
  <c r="W54" i="57" s="1"/>
  <c r="W39" i="59" s="1"/>
  <c r="W40" i="57" a="1"/>
  <c r="W40" i="57" s="1"/>
  <c r="W25" i="59" s="1"/>
  <c r="W96" i="57" a="1"/>
  <c r="W96" i="57" s="1"/>
  <c r="W44" i="57" a="1"/>
  <c r="W44" i="57" s="1"/>
  <c r="W106" i="57" a="1"/>
  <c r="W106" i="57" s="1"/>
  <c r="W91" i="59" s="1"/>
  <c r="W125" i="57" a="1"/>
  <c r="W125" i="57" s="1"/>
  <c r="W94" i="57" a="1"/>
  <c r="W94" i="57" s="1"/>
  <c r="W41" i="57" a="1"/>
  <c r="W41" i="57" s="1"/>
  <c r="W26" i="59" s="1"/>
  <c r="R42" i="43" a="1"/>
  <c r="R42" i="43" s="1"/>
  <c r="Q42" i="43" a="1"/>
  <c r="Q42" i="43" s="1"/>
  <c r="R43" i="43" a="1"/>
  <c r="R43" i="43" s="1"/>
  <c r="Q43" i="43" a="1"/>
  <c r="Q43" i="43" s="1"/>
  <c r="R43" i="50" a="1"/>
  <c r="R43" i="50" s="1"/>
  <c r="Q43" i="50" a="1"/>
  <c r="Q43" i="50" s="1"/>
  <c r="R43" i="49" a="1"/>
  <c r="R43" i="49" s="1"/>
  <c r="Q43" i="49" a="1"/>
  <c r="Q43" i="49" s="1"/>
  <c r="R42" i="48" a="1"/>
  <c r="R42" i="48" s="1"/>
  <c r="Q42" i="48" a="1"/>
  <c r="Q42" i="48" s="1"/>
  <c r="R42" i="47" a="1"/>
  <c r="R42" i="47" s="1"/>
  <c r="Q42" i="47" a="1"/>
  <c r="Q42" i="47" s="1"/>
  <c r="R42" i="46" a="1"/>
  <c r="R42" i="46" s="1"/>
  <c r="Q42" i="46" a="1"/>
  <c r="Q42" i="46" s="1"/>
  <c r="Q42" i="45" a="1"/>
  <c r="Q42" i="45" s="1"/>
  <c r="R43" i="44" a="1"/>
  <c r="R43" i="44" s="1"/>
  <c r="Q43" i="44" a="1"/>
  <c r="Q43" i="44" s="1"/>
  <c r="R42" i="44" a="1"/>
  <c r="R42" i="44" s="1"/>
  <c r="Q42" i="44" a="1"/>
  <c r="Q42" i="44" s="1"/>
  <c r="W101" i="57" a="1"/>
  <c r="W101" i="57" s="1"/>
  <c r="W86" i="59" s="1"/>
  <c r="W92" i="57" a="1"/>
  <c r="W92" i="57" s="1"/>
  <c r="W52" i="57" a="1"/>
  <c r="W52" i="57" s="1"/>
  <c r="W72" i="57" a="1"/>
  <c r="W72" i="57" s="1"/>
  <c r="W49" i="57" a="1"/>
  <c r="W49" i="57" s="1"/>
  <c r="W107" i="57" a="1"/>
  <c r="W107" i="57" s="1"/>
  <c r="W62" i="57" a="1"/>
  <c r="W62" i="57" s="1"/>
  <c r="W47" i="59" s="1"/>
  <c r="W111" i="57" a="1"/>
  <c r="W111" i="57" s="1"/>
  <c r="W115" i="57" a="1"/>
  <c r="W115" i="57" s="1"/>
  <c r="W105" i="57" a="1"/>
  <c r="W105" i="57" s="1"/>
  <c r="W90" i="59" s="1"/>
  <c r="W42" i="57" a="1"/>
  <c r="W42" i="57" s="1"/>
  <c r="W27" i="59" s="1"/>
  <c r="W66" i="57" a="1"/>
  <c r="W66" i="57" s="1"/>
  <c r="W70" i="57" a="1"/>
  <c r="W70" i="57" s="1"/>
  <c r="W55" i="59" s="1"/>
  <c r="W86" i="57" a="1"/>
  <c r="W86" i="57" s="1"/>
  <c r="W109" i="57" a="1"/>
  <c r="W109" i="57" s="1"/>
  <c r="W38" i="57" a="1"/>
  <c r="W38" i="57" s="1"/>
  <c r="W23" i="59" s="1"/>
  <c r="W103" i="57" a="1"/>
  <c r="W103" i="57" s="1"/>
  <c r="W88" i="59" s="1"/>
  <c r="W99" i="57" a="1"/>
  <c r="W99" i="57" s="1"/>
  <c r="W84" i="59" s="1"/>
  <c r="W58" i="57" a="1"/>
  <c r="W58" i="57" s="1"/>
  <c r="W43" i="59" s="1"/>
  <c r="W34" i="57" a="1"/>
  <c r="W34" i="57" s="1"/>
  <c r="W19" i="59" s="1"/>
  <c r="W48" i="57" a="1"/>
  <c r="W48" i="57" s="1"/>
  <c r="W33" i="59" s="1"/>
  <c r="W84" i="57" a="1"/>
  <c r="W84" i="57" s="1"/>
  <c r="W80" i="57" a="1"/>
  <c r="W80" i="57" s="1"/>
  <c r="W65" i="59" s="1"/>
  <c r="W60" i="57" a="1"/>
  <c r="W60" i="57" s="1"/>
  <c r="C21" i="59"/>
  <c r="N21" i="59" s="1"/>
  <c r="W90" i="57" a="1"/>
  <c r="W90" i="57" s="1"/>
  <c r="W82" i="57" a="1"/>
  <c r="W82" i="57" s="1"/>
  <c r="W68" i="57" a="1"/>
  <c r="W68" i="57" s="1"/>
  <c r="W35" i="57" a="1"/>
  <c r="W35" i="57" s="1"/>
  <c r="W56" i="57" a="1"/>
  <c r="W56" i="57" s="1"/>
  <c r="W41" i="59" s="1"/>
  <c r="W117" i="57" a="1"/>
  <c r="W117" i="57" s="1"/>
  <c r="W88" i="57" a="1"/>
  <c r="W88" i="57" s="1"/>
  <c r="W73" i="59" s="1"/>
  <c r="W78" i="57" a="1"/>
  <c r="W78" i="57" s="1"/>
  <c r="W63" i="59" s="1"/>
  <c r="W98" i="57" a="1"/>
  <c r="W98" i="57" s="1"/>
  <c r="W43" i="57" a="1"/>
  <c r="W43" i="57" s="1"/>
  <c r="W28" i="59" s="1"/>
  <c r="W39" i="57" a="1"/>
  <c r="W39" i="57" s="1"/>
  <c r="W24" i="59" s="1"/>
  <c r="W26" i="57" a="1"/>
  <c r="W26" i="57" s="1"/>
  <c r="W11" i="59" s="1"/>
  <c r="C20" i="59"/>
  <c r="N20" i="59" s="1"/>
  <c r="E21" i="59"/>
  <c r="P21" i="59" s="1"/>
  <c r="B21" i="59"/>
  <c r="M21" i="59" s="1"/>
  <c r="B20" i="59"/>
  <c r="M20" i="59" s="1"/>
  <c r="R43" i="52" a="1"/>
  <c r="R43" i="52" s="1"/>
  <c r="F20" i="59"/>
  <c r="Q20" i="59" s="1"/>
  <c r="R44" i="52" a="1"/>
  <c r="R44" i="52" s="1"/>
  <c r="F21" i="59"/>
  <c r="Q21" i="59" s="1"/>
  <c r="E20" i="59"/>
  <c r="P20" i="59" s="1"/>
  <c r="D21" i="59"/>
  <c r="O21" i="59" s="1"/>
  <c r="D20" i="59"/>
  <c r="O20" i="59" s="1"/>
  <c r="R43" i="40" a="1"/>
  <c r="R43" i="40" s="1"/>
  <c r="R43" i="46" a="1"/>
  <c r="R43" i="46" s="1"/>
  <c r="R43" i="48" a="1"/>
  <c r="R43" i="48" s="1"/>
  <c r="S43" i="42" a="1"/>
  <c r="S43" i="42" s="1"/>
  <c r="S43" i="43" a="1"/>
  <c r="S43" i="43" s="1"/>
  <c r="S42" i="48" a="1"/>
  <c r="S42" i="48" s="1"/>
  <c r="S43" i="44" a="1"/>
  <c r="S43" i="44" s="1"/>
  <c r="S43" i="50" l="1" a="1"/>
  <c r="S43" i="50" s="1"/>
  <c r="S42" i="43" a="1"/>
  <c r="S42" i="43" s="1"/>
  <c r="S42" i="47" a="1"/>
  <c r="S42" i="47" s="1"/>
  <c r="V12" i="59"/>
  <c r="L12" i="59"/>
  <c r="W41" i="52" a="1"/>
  <c r="W41" i="52" s="1"/>
  <c r="S42" i="44" a="1"/>
  <c r="S42" i="44" s="1"/>
  <c r="R42" i="42" a="1"/>
  <c r="R42" i="42" s="1"/>
  <c r="R42" i="45" a="1"/>
  <c r="R42" i="45" s="1"/>
  <c r="S42" i="45" a="1"/>
  <c r="S42" i="45" s="1"/>
  <c r="T43" i="43" a="1"/>
  <c r="T43" i="43" s="1"/>
  <c r="S42" i="46" a="1"/>
  <c r="S42" i="46" s="1"/>
  <c r="S42" i="40" a="1"/>
  <c r="S42" i="40" s="1"/>
  <c r="R42" i="40" a="1"/>
  <c r="R42" i="40" s="1"/>
  <c r="S42" i="50" a="1"/>
  <c r="S42" i="50" s="1"/>
  <c r="R42" i="50" a="1"/>
  <c r="R42" i="50" s="1"/>
  <c r="T43" i="49" a="1"/>
  <c r="T43" i="49" s="1"/>
  <c r="S43" i="49" a="1"/>
  <c r="S43" i="49" s="1"/>
  <c r="S42" i="49" a="1"/>
  <c r="S42" i="49" s="1"/>
  <c r="R42" i="49" a="1"/>
  <c r="R42" i="49" s="1"/>
  <c r="S43" i="47" a="1"/>
  <c r="S43" i="47" s="1"/>
  <c r="R43" i="47" a="1"/>
  <c r="R43" i="47" s="1"/>
  <c r="S43" i="45" a="1"/>
  <c r="S43" i="45" s="1"/>
  <c r="R43" i="45" a="1"/>
  <c r="R43" i="45" s="1"/>
  <c r="S43" i="48" a="1"/>
  <c r="S43" i="48" s="1"/>
  <c r="G21" i="59"/>
  <c r="R21" i="59" s="1"/>
  <c r="T43" i="42" a="1"/>
  <c r="T43" i="42" s="1"/>
  <c r="S43" i="40" a="1"/>
  <c r="S43" i="40" s="1"/>
  <c r="G20" i="59"/>
  <c r="R20" i="59" s="1"/>
  <c r="S44" i="52" a="1"/>
  <c r="S44" i="52" s="1"/>
  <c r="S43" i="46" a="1"/>
  <c r="S43" i="46" s="1"/>
  <c r="T43" i="50" a="1"/>
  <c r="T43" i="50" s="1"/>
  <c r="T42" i="48" a="1"/>
  <c r="T42" i="48" s="1"/>
  <c r="T43" i="48" a="1"/>
  <c r="T43" i="48" s="1"/>
  <c r="T42" i="47" a="1"/>
  <c r="T42" i="47" s="1"/>
  <c r="T43" i="44" a="1"/>
  <c r="T43" i="44" s="1"/>
  <c r="T42" i="43" a="1"/>
  <c r="T42" i="43" s="1"/>
  <c r="X82" i="46"/>
  <c r="X83" i="46"/>
  <c r="X84" i="46"/>
  <c r="X85" i="46"/>
  <c r="X86" i="46"/>
  <c r="X87" i="46"/>
  <c r="X88" i="46"/>
  <c r="X89" i="46"/>
  <c r="X82" i="47"/>
  <c r="X83" i="47"/>
  <c r="X84" i="47"/>
  <c r="X85" i="47"/>
  <c r="X86" i="47"/>
  <c r="X87" i="47"/>
  <c r="X88" i="47"/>
  <c r="X89" i="47"/>
  <c r="X82" i="48"/>
  <c r="X83" i="48"/>
  <c r="X84" i="48"/>
  <c r="X85" i="48"/>
  <c r="X86" i="48"/>
  <c r="X87" i="48"/>
  <c r="X88" i="48"/>
  <c r="X89" i="48"/>
  <c r="X82" i="49"/>
  <c r="X83" i="49"/>
  <c r="X84" i="49"/>
  <c r="X85" i="49"/>
  <c r="X86" i="49"/>
  <c r="X87" i="49"/>
  <c r="X88" i="49"/>
  <c r="X89" i="49"/>
  <c r="X82" i="50"/>
  <c r="X83" i="50"/>
  <c r="X84" i="50"/>
  <c r="X85" i="50"/>
  <c r="X86" i="50"/>
  <c r="X87" i="50"/>
  <c r="X88" i="50"/>
  <c r="X89" i="50"/>
  <c r="X85" i="52"/>
  <c r="X86" i="52"/>
  <c r="X87" i="52"/>
  <c r="X88" i="52"/>
  <c r="X89" i="52"/>
  <c r="X90" i="52"/>
  <c r="X91" i="52"/>
  <c r="X92" i="52"/>
  <c r="X93" i="52"/>
  <c r="X94" i="52"/>
  <c r="X95" i="52"/>
  <c r="X96" i="52"/>
  <c r="X97" i="52"/>
  <c r="X30" i="53"/>
  <c r="X31" i="53"/>
  <c r="X32" i="53"/>
  <c r="X33" i="53"/>
  <c r="X34" i="53"/>
  <c r="X35" i="53"/>
  <c r="X36" i="53"/>
  <c r="X37" i="53"/>
  <c r="X38" i="53"/>
  <c r="X39" i="53"/>
  <c r="X40" i="53"/>
  <c r="X41" i="53"/>
  <c r="X42" i="53"/>
  <c r="X43" i="53"/>
  <c r="X44" i="53"/>
  <c r="X45" i="53"/>
  <c r="X46" i="53"/>
  <c r="X47" i="53"/>
  <c r="X48" i="53"/>
  <c r="X49" i="53"/>
  <c r="X50" i="53"/>
  <c r="X51" i="53"/>
  <c r="X52" i="53"/>
  <c r="X53" i="53"/>
  <c r="X54" i="53"/>
  <c r="X55" i="53"/>
  <c r="X56" i="53"/>
  <c r="X57" i="53"/>
  <c r="X58" i="53"/>
  <c r="X59" i="53"/>
  <c r="X60" i="53"/>
  <c r="X61" i="53"/>
  <c r="X62" i="53"/>
  <c r="X63" i="53"/>
  <c r="X64" i="53"/>
  <c r="X65" i="53"/>
  <c r="X66" i="53"/>
  <c r="X67" i="53"/>
  <c r="X68" i="53"/>
  <c r="X69" i="53"/>
  <c r="X70" i="53"/>
  <c r="X71" i="53"/>
  <c r="X72" i="53"/>
  <c r="X73" i="53"/>
  <c r="X74" i="53"/>
  <c r="X75" i="53"/>
  <c r="X76" i="53"/>
  <c r="X77" i="53"/>
  <c r="X78" i="53"/>
  <c r="X79" i="53"/>
  <c r="X80" i="53"/>
  <c r="X81" i="53"/>
  <c r="X82" i="53"/>
  <c r="X83" i="53"/>
  <c r="X84" i="53"/>
  <c r="X85" i="53"/>
  <c r="X86" i="53"/>
  <c r="X87" i="53"/>
  <c r="X88" i="53"/>
  <c r="X89" i="53"/>
  <c r="X90" i="53"/>
  <c r="X91" i="53"/>
  <c r="X92" i="53"/>
  <c r="X93" i="53"/>
  <c r="X94" i="53"/>
  <c r="X95" i="53"/>
  <c r="X96" i="53"/>
  <c r="X97" i="53"/>
  <c r="X98" i="53"/>
  <c r="X99" i="53"/>
  <c r="X100" i="53"/>
  <c r="X101" i="53"/>
  <c r="X102" i="53"/>
  <c r="X103" i="53"/>
  <c r="X104" i="53"/>
  <c r="X105" i="53"/>
  <c r="X106" i="53"/>
  <c r="X107" i="53"/>
  <c r="X108" i="53"/>
  <c r="X109" i="53"/>
  <c r="X110" i="53"/>
  <c r="X29" i="53"/>
  <c r="X30" i="54"/>
  <c r="X31" i="54"/>
  <c r="X32" i="54"/>
  <c r="X33" i="54"/>
  <c r="X34" i="54"/>
  <c r="X35" i="54"/>
  <c r="X36" i="54"/>
  <c r="X37" i="54"/>
  <c r="X38" i="54"/>
  <c r="X39" i="54"/>
  <c r="X40" i="54"/>
  <c r="X41" i="54"/>
  <c r="X42" i="54"/>
  <c r="X43" i="54"/>
  <c r="X44" i="54"/>
  <c r="X45" i="54"/>
  <c r="X46" i="54"/>
  <c r="X47" i="54"/>
  <c r="X48" i="54"/>
  <c r="X49" i="54"/>
  <c r="X50" i="54"/>
  <c r="X51" i="54"/>
  <c r="X52" i="54"/>
  <c r="X53" i="54"/>
  <c r="X54" i="54"/>
  <c r="X55" i="54"/>
  <c r="X56" i="54"/>
  <c r="X57" i="54"/>
  <c r="X58" i="54"/>
  <c r="X59" i="54"/>
  <c r="X60" i="54"/>
  <c r="X61" i="54"/>
  <c r="X62" i="54"/>
  <c r="X63" i="54"/>
  <c r="X64" i="54"/>
  <c r="X65" i="54"/>
  <c r="X66" i="54"/>
  <c r="X67" i="54"/>
  <c r="X68" i="54"/>
  <c r="X69" i="54"/>
  <c r="X70" i="54"/>
  <c r="X71" i="54"/>
  <c r="X72" i="54"/>
  <c r="X73" i="54"/>
  <c r="X74" i="54"/>
  <c r="X75" i="54"/>
  <c r="X76" i="54"/>
  <c r="X77" i="54"/>
  <c r="X78" i="54"/>
  <c r="X79" i="54"/>
  <c r="X80" i="54"/>
  <c r="X81" i="54"/>
  <c r="X82" i="54"/>
  <c r="X83" i="54"/>
  <c r="X84" i="54"/>
  <c r="X85" i="54"/>
  <c r="X86" i="54"/>
  <c r="X87" i="54"/>
  <c r="X88" i="54"/>
  <c r="X89" i="54"/>
  <c r="X90" i="54"/>
  <c r="X91" i="54"/>
  <c r="X92" i="54"/>
  <c r="X93" i="54"/>
  <c r="X94" i="54"/>
  <c r="X95" i="54"/>
  <c r="X96" i="54"/>
  <c r="X97" i="54"/>
  <c r="X98" i="54"/>
  <c r="X99" i="54"/>
  <c r="X100" i="54"/>
  <c r="X101" i="54"/>
  <c r="X102" i="54"/>
  <c r="X103" i="54"/>
  <c r="X104" i="54"/>
  <c r="X105" i="54"/>
  <c r="X106" i="54"/>
  <c r="X107" i="54"/>
  <c r="X108" i="54"/>
  <c r="X109" i="54"/>
  <c r="X110" i="54"/>
  <c r="X29" i="54"/>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29" i="59"/>
  <c r="X84" i="52"/>
  <c r="X83" i="52"/>
  <c r="X82" i="52"/>
  <c r="X81" i="52"/>
  <c r="X80" i="52"/>
  <c r="X79" i="52"/>
  <c r="X78" i="52"/>
  <c r="X77" i="52"/>
  <c r="X76" i="52"/>
  <c r="X75" i="52"/>
  <c r="X74" i="52"/>
  <c r="X73" i="52"/>
  <c r="X72" i="52"/>
  <c r="X71" i="52"/>
  <c r="X70" i="52"/>
  <c r="X69" i="52"/>
  <c r="X68" i="52"/>
  <c r="X67" i="52"/>
  <c r="X66" i="52"/>
  <c r="X64" i="52"/>
  <c r="X63" i="52"/>
  <c r="X62" i="52"/>
  <c r="X61" i="52"/>
  <c r="X60" i="52"/>
  <c r="X59" i="52"/>
  <c r="X58" i="52"/>
  <c r="X57" i="52"/>
  <c r="X56" i="52"/>
  <c r="X55" i="52"/>
  <c r="X54" i="52"/>
  <c r="X53" i="52"/>
  <c r="X52" i="52"/>
  <c r="X51" i="52"/>
  <c r="X50" i="52"/>
  <c r="X49" i="52"/>
  <c r="X48" i="52"/>
  <c r="X47" i="52"/>
  <c r="X46" i="52"/>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X49" i="50"/>
  <c r="X48" i="50"/>
  <c r="X47" i="50"/>
  <c r="X46" i="50"/>
  <c r="X45" i="50"/>
  <c r="X44" i="50"/>
  <c r="X81" i="49"/>
  <c r="X80" i="49"/>
  <c r="X79" i="49"/>
  <c r="X78" i="49"/>
  <c r="X77" i="49"/>
  <c r="X76" i="49"/>
  <c r="X75" i="49"/>
  <c r="X74" i="49"/>
  <c r="X73" i="49"/>
  <c r="X72" i="49"/>
  <c r="X71" i="49"/>
  <c r="X70" i="49"/>
  <c r="X69" i="49"/>
  <c r="X68" i="49"/>
  <c r="X67" i="49"/>
  <c r="X66" i="49"/>
  <c r="X65" i="49"/>
  <c r="X64" i="49"/>
  <c r="X63" i="49"/>
  <c r="X62" i="49"/>
  <c r="X61" i="49"/>
  <c r="X60" i="49"/>
  <c r="X59" i="49"/>
  <c r="X58" i="49"/>
  <c r="X57" i="49"/>
  <c r="X56" i="49"/>
  <c r="X55" i="49"/>
  <c r="X54" i="49"/>
  <c r="X53" i="49"/>
  <c r="X52" i="49"/>
  <c r="X51" i="49"/>
  <c r="X50" i="49"/>
  <c r="X49" i="49"/>
  <c r="X48" i="49"/>
  <c r="X47" i="49"/>
  <c r="X46" i="49"/>
  <c r="X45" i="49"/>
  <c r="X44" i="49"/>
  <c r="X81" i="48"/>
  <c r="X80" i="48"/>
  <c r="X79" i="48"/>
  <c r="X78" i="48"/>
  <c r="X77" i="48"/>
  <c r="X76" i="48"/>
  <c r="X75" i="48"/>
  <c r="X74" i="48"/>
  <c r="X73" i="48"/>
  <c r="X72" i="48"/>
  <c r="X71" i="48"/>
  <c r="X70" i="48"/>
  <c r="X69" i="48"/>
  <c r="X68" i="48"/>
  <c r="X67" i="48"/>
  <c r="X66" i="48"/>
  <c r="X65" i="48"/>
  <c r="X64" i="48"/>
  <c r="X63" i="48"/>
  <c r="X62" i="48"/>
  <c r="X61" i="48"/>
  <c r="X60" i="48"/>
  <c r="X59" i="48"/>
  <c r="X57" i="48"/>
  <c r="X56" i="48"/>
  <c r="X55" i="48"/>
  <c r="X54" i="48"/>
  <c r="X53" i="48"/>
  <c r="X52" i="48"/>
  <c r="X51" i="48"/>
  <c r="X50" i="48"/>
  <c r="X49" i="48"/>
  <c r="X48" i="48"/>
  <c r="X47" i="48"/>
  <c r="X46" i="48"/>
  <c r="X45" i="48"/>
  <c r="X44" i="48"/>
  <c r="X81" i="47"/>
  <c r="X80" i="47"/>
  <c r="X79" i="47"/>
  <c r="X78" i="47"/>
  <c r="X77" i="47"/>
  <c r="X76" i="47"/>
  <c r="X75" i="47"/>
  <c r="X74" i="47"/>
  <c r="X73" i="47"/>
  <c r="X72" i="47"/>
  <c r="X71" i="47"/>
  <c r="X70" i="47"/>
  <c r="X69" i="47"/>
  <c r="X68" i="47"/>
  <c r="X67" i="47"/>
  <c r="X66" i="47"/>
  <c r="X65" i="47"/>
  <c r="X64" i="47"/>
  <c r="X63" i="47"/>
  <c r="X62" i="47"/>
  <c r="X61" i="47"/>
  <c r="X60" i="47"/>
  <c r="X59" i="47"/>
  <c r="X58" i="47"/>
  <c r="X57" i="47"/>
  <c r="X56" i="47"/>
  <c r="X55" i="47"/>
  <c r="X54" i="47"/>
  <c r="X53" i="47"/>
  <c r="X52" i="47"/>
  <c r="X51" i="47"/>
  <c r="X50" i="47"/>
  <c r="X49" i="47"/>
  <c r="X48" i="47"/>
  <c r="X47" i="47"/>
  <c r="X46" i="47"/>
  <c r="X45" i="47"/>
  <c r="X44" i="47"/>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70" i="45"/>
  <c r="X69" i="45"/>
  <c r="X68" i="45"/>
  <c r="X67" i="45"/>
  <c r="X66" i="45"/>
  <c r="X65" i="45"/>
  <c r="X64" i="45"/>
  <c r="X63" i="45"/>
  <c r="X62" i="45"/>
  <c r="X61" i="45"/>
  <c r="X60" i="45"/>
  <c r="X59" i="45"/>
  <c r="X58" i="45"/>
  <c r="X57" i="45"/>
  <c r="X56" i="45"/>
  <c r="X55" i="45"/>
  <c r="X54" i="45"/>
  <c r="X53" i="45"/>
  <c r="X52" i="45"/>
  <c r="X50" i="45"/>
  <c r="X49" i="45"/>
  <c r="X48" i="45"/>
  <c r="X47" i="45"/>
  <c r="X46" i="45"/>
  <c r="X45" i="45"/>
  <c r="X44" i="45"/>
  <c r="X69" i="44"/>
  <c r="X68" i="44"/>
  <c r="X67" i="44"/>
  <c r="X66" i="44"/>
  <c r="X65" i="44"/>
  <c r="X64" i="44"/>
  <c r="X63" i="44"/>
  <c r="X62" i="44"/>
  <c r="X61" i="44"/>
  <c r="X60" i="44"/>
  <c r="X59" i="44"/>
  <c r="X58" i="44"/>
  <c r="X57" i="44"/>
  <c r="X56" i="44"/>
  <c r="X55" i="44"/>
  <c r="X54" i="44"/>
  <c r="X53" i="44"/>
  <c r="X52" i="44"/>
  <c r="X51" i="44"/>
  <c r="X50" i="44"/>
  <c r="X49" i="44"/>
  <c r="X45" i="44"/>
  <c r="X44" i="44"/>
  <c r="X81" i="43"/>
  <c r="X82" i="43"/>
  <c r="X80" i="43"/>
  <c r="X79" i="43"/>
  <c r="X78" i="43"/>
  <c r="X77" i="43"/>
  <c r="X76" i="43"/>
  <c r="X75" i="43"/>
  <c r="X74" i="43"/>
  <c r="X73" i="43"/>
  <c r="X72" i="43"/>
  <c r="X71" i="43"/>
  <c r="X70" i="43"/>
  <c r="X69" i="43"/>
  <c r="X68" i="43"/>
  <c r="X67" i="43"/>
  <c r="X66" i="43"/>
  <c r="X65" i="43"/>
  <c r="X64" i="43"/>
  <c r="X63" i="43"/>
  <c r="X62" i="43"/>
  <c r="X61" i="43"/>
  <c r="X60" i="43"/>
  <c r="X59" i="43"/>
  <c r="X58" i="43"/>
  <c r="X57" i="43"/>
  <c r="X56" i="43"/>
  <c r="X55" i="43"/>
  <c r="X54" i="43"/>
  <c r="X53" i="43"/>
  <c r="X52" i="43"/>
  <c r="X51" i="43"/>
  <c r="X50" i="43"/>
  <c r="X49" i="43"/>
  <c r="X48" i="43"/>
  <c r="X47" i="43"/>
  <c r="X46" i="43"/>
  <c r="X45" i="43"/>
  <c r="X44" i="43"/>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49" i="42"/>
  <c r="X48" i="42"/>
  <c r="X47" i="42"/>
  <c r="X46" i="42"/>
  <c r="X45" i="42"/>
  <c r="X44" i="42"/>
  <c r="X83" i="40"/>
  <c r="X82" i="40"/>
  <c r="X81" i="40"/>
  <c r="X80"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T43" i="47" l="1" a="1"/>
  <c r="T43" i="47" s="1"/>
  <c r="T42" i="40" a="1"/>
  <c r="T42" i="40" s="1"/>
  <c r="U43" i="49" a="1"/>
  <c r="U43" i="49" s="1"/>
  <c r="W12" i="59"/>
  <c r="T106" i="49"/>
  <c r="P106" i="49"/>
  <c r="J106" i="49"/>
  <c r="F106" i="49"/>
  <c r="B106" i="49"/>
  <c r="V105" i="49"/>
  <c r="R105" i="49"/>
  <c r="N105" i="49"/>
  <c r="L105" i="49"/>
  <c r="H105" i="49"/>
  <c r="D105" i="49"/>
  <c r="T104" i="49"/>
  <c r="P104" i="49"/>
  <c r="J104" i="49"/>
  <c r="F104" i="49"/>
  <c r="B104" i="49"/>
  <c r="V106" i="49"/>
  <c r="R106" i="49"/>
  <c r="N106" i="49"/>
  <c r="L106" i="49"/>
  <c r="H106" i="49"/>
  <c r="D106" i="49"/>
  <c r="T105" i="49"/>
  <c r="P105" i="49"/>
  <c r="J105" i="49"/>
  <c r="F105" i="49"/>
  <c r="B105" i="49"/>
  <c r="V104" i="49"/>
  <c r="R104" i="49"/>
  <c r="N104" i="49"/>
  <c r="L104" i="49"/>
  <c r="H104" i="49"/>
  <c r="D104" i="49"/>
  <c r="Q106" i="49"/>
  <c r="K106" i="49"/>
  <c r="C106" i="49"/>
  <c r="S105" i="49"/>
  <c r="E105" i="49"/>
  <c r="U104" i="49"/>
  <c r="M104" i="49"/>
  <c r="G104" i="49"/>
  <c r="W106" i="49"/>
  <c r="O106" i="49"/>
  <c r="I106" i="49"/>
  <c r="Q105" i="49"/>
  <c r="K105" i="49"/>
  <c r="C105" i="49"/>
  <c r="S104" i="49"/>
  <c r="E104" i="49"/>
  <c r="U106" i="49"/>
  <c r="M106" i="49"/>
  <c r="G106" i="49"/>
  <c r="W105" i="49"/>
  <c r="O105" i="49"/>
  <c r="I105" i="49"/>
  <c r="Q104" i="49"/>
  <c r="K104" i="49"/>
  <c r="C104" i="49"/>
  <c r="S106" i="49"/>
  <c r="E106" i="49"/>
  <c r="U105" i="49"/>
  <c r="M105" i="49"/>
  <c r="G105" i="49"/>
  <c r="W104" i="49"/>
  <c r="O104" i="49"/>
  <c r="I104" i="49"/>
  <c r="D80" i="45"/>
  <c r="U80" i="45"/>
  <c r="V77" i="45"/>
  <c r="L77" i="45"/>
  <c r="L80" i="45"/>
  <c r="S80" i="45"/>
  <c r="S77" i="45"/>
  <c r="O80" i="45"/>
  <c r="T77" i="45"/>
  <c r="T80" i="45"/>
  <c r="Q80" i="45"/>
  <c r="I80" i="45"/>
  <c r="K80" i="45"/>
  <c r="E80" i="45"/>
  <c r="G77" i="45"/>
  <c r="P80" i="45"/>
  <c r="R80" i="45"/>
  <c r="P77" i="45"/>
  <c r="U77" i="45"/>
  <c r="M80" i="45"/>
  <c r="O77" i="45"/>
  <c r="F77" i="45"/>
  <c r="B77" i="45"/>
  <c r="C77" i="45"/>
  <c r="E77" i="45"/>
  <c r="W80" i="45"/>
  <c r="F80" i="45"/>
  <c r="M77" i="45"/>
  <c r="W77" i="45"/>
  <c r="Q77" i="45"/>
  <c r="J77" i="45"/>
  <c r="N80" i="45"/>
  <c r="G80" i="45"/>
  <c r="N77" i="45"/>
  <c r="R77" i="45"/>
  <c r="I77" i="45"/>
  <c r="C80" i="45"/>
  <c r="J80" i="45"/>
  <c r="K77" i="45"/>
  <c r="H77" i="45"/>
  <c r="B80" i="45"/>
  <c r="H80" i="45"/>
  <c r="V80" i="45"/>
  <c r="D77" i="45"/>
  <c r="M89" i="43"/>
  <c r="R89" i="43"/>
  <c r="F89" i="43"/>
  <c r="E89" i="43"/>
  <c r="T89" i="43"/>
  <c r="G89" i="43"/>
  <c r="I89" i="43"/>
  <c r="C89" i="43"/>
  <c r="O89" i="43"/>
  <c r="S89" i="43"/>
  <c r="N89" i="43"/>
  <c r="B89" i="43"/>
  <c r="K89" i="43"/>
  <c r="D89" i="43"/>
  <c r="J89" i="43"/>
  <c r="V89" i="43"/>
  <c r="Q89" i="43"/>
  <c r="L89" i="43"/>
  <c r="U89" i="43"/>
  <c r="H89" i="43"/>
  <c r="W89" i="43"/>
  <c r="P89" i="43"/>
  <c r="T43" i="45" a="1"/>
  <c r="T43" i="45" s="1"/>
  <c r="T42" i="45" a="1"/>
  <c r="T42" i="45" s="1"/>
  <c r="U43" i="43" a="1"/>
  <c r="U43" i="43" s="1"/>
  <c r="C75" i="44"/>
  <c r="Q75" i="44"/>
  <c r="O77" i="44"/>
  <c r="N75" i="44"/>
  <c r="I75" i="44"/>
  <c r="W75" i="44"/>
  <c r="G77" i="44"/>
  <c r="U77" i="44"/>
  <c r="P75" i="44"/>
  <c r="N77" i="44"/>
  <c r="B75" i="44"/>
  <c r="G75" i="44"/>
  <c r="U75" i="44"/>
  <c r="E77" i="44"/>
  <c r="S77" i="44"/>
  <c r="D75" i="44"/>
  <c r="R75" i="44"/>
  <c r="P77" i="44"/>
  <c r="K77" i="44"/>
  <c r="F75" i="44"/>
  <c r="T75" i="44"/>
  <c r="D77" i="44"/>
  <c r="R77" i="44"/>
  <c r="K75" i="44"/>
  <c r="I77" i="44"/>
  <c r="W77" i="44"/>
  <c r="H75" i="44"/>
  <c r="V75" i="44"/>
  <c r="F77" i="44"/>
  <c r="T77" i="44"/>
  <c r="O75" i="44"/>
  <c r="M77" i="44"/>
  <c r="J75" i="44"/>
  <c r="H77" i="44"/>
  <c r="V77" i="44"/>
  <c r="M75" i="44"/>
  <c r="L75" i="44"/>
  <c r="J77" i="44"/>
  <c r="E75" i="44"/>
  <c r="S75" i="44"/>
  <c r="C77" i="44"/>
  <c r="Q77" i="44"/>
  <c r="L77" i="44"/>
  <c r="B77" i="44"/>
  <c r="T42" i="46" a="1"/>
  <c r="T42" i="46" s="1"/>
  <c r="O89" i="40"/>
  <c r="I89" i="40"/>
  <c r="U89" i="40"/>
  <c r="J89" i="40"/>
  <c r="R89" i="40"/>
  <c r="N89" i="40"/>
  <c r="B89" i="40"/>
  <c r="S89" i="40"/>
  <c r="C89" i="40"/>
  <c r="D89" i="40"/>
  <c r="V89" i="40"/>
  <c r="W89" i="40"/>
  <c r="M89" i="40"/>
  <c r="G89" i="40"/>
  <c r="L89" i="40"/>
  <c r="T89" i="40"/>
  <c r="F89" i="40"/>
  <c r="H89" i="40"/>
  <c r="P89" i="40"/>
  <c r="E89" i="40"/>
  <c r="Q89" i="40"/>
  <c r="K89" i="40"/>
  <c r="T42" i="44" a="1"/>
  <c r="T42" i="44" s="1"/>
  <c r="T43" i="46" a="1"/>
  <c r="T43" i="46" s="1"/>
  <c r="S42" i="42" a="1"/>
  <c r="S42" i="42" s="1"/>
  <c r="H20" i="59"/>
  <c r="S20" i="59" s="1"/>
  <c r="S43" i="52" a="1"/>
  <c r="S43" i="52" s="1"/>
  <c r="T42" i="50" a="1"/>
  <c r="T42" i="50" s="1"/>
  <c r="U43" i="42" a="1"/>
  <c r="U43" i="42" s="1"/>
  <c r="H21" i="59"/>
  <c r="S21" i="59" s="1"/>
  <c r="T43" i="40" a="1"/>
  <c r="T43" i="40" s="1"/>
  <c r="U43" i="50" a="1"/>
  <c r="U43" i="50" s="1"/>
  <c r="U42" i="50" a="1"/>
  <c r="U42" i="50" s="1"/>
  <c r="V43" i="49" a="1"/>
  <c r="V43" i="49" s="1"/>
  <c r="U43" i="48" a="1"/>
  <c r="U43" i="48" s="1"/>
  <c r="U42" i="48" a="1"/>
  <c r="U42" i="48" s="1"/>
  <c r="U43" i="47" a="1"/>
  <c r="U43" i="47" s="1"/>
  <c r="U42" i="47" a="1"/>
  <c r="U42" i="47" s="1"/>
  <c r="U43" i="44" a="1"/>
  <c r="U43" i="44" s="1"/>
  <c r="U42" i="43" a="1"/>
  <c r="U42" i="43" s="1"/>
  <c r="U42" i="40" a="1"/>
  <c r="U42" i="40" s="1"/>
  <c r="A4" i="54"/>
  <c r="A4" i="53"/>
  <c r="A4" i="59"/>
  <c r="A4" i="43"/>
  <c r="A3" i="43"/>
  <c r="A2" i="43"/>
  <c r="A4" i="44"/>
  <c r="A3" i="44"/>
  <c r="A2" i="44"/>
  <c r="A4" i="45"/>
  <c r="A3" i="45"/>
  <c r="A2" i="45"/>
  <c r="A4" i="46"/>
  <c r="A3" i="46"/>
  <c r="A2" i="46"/>
  <c r="A4" i="47"/>
  <c r="A3" i="47"/>
  <c r="A2" i="47"/>
  <c r="A4" i="48"/>
  <c r="A3" i="48"/>
  <c r="A2" i="48"/>
  <c r="A4" i="49"/>
  <c r="A3" i="49"/>
  <c r="A2" i="49"/>
  <c r="A4" i="50"/>
  <c r="A3" i="50"/>
  <c r="A2" i="50"/>
  <c r="A4" i="52"/>
  <c r="A3" i="52"/>
  <c r="A2" i="52"/>
  <c r="A3" i="59"/>
  <c r="A2" i="59"/>
  <c r="A3" i="53"/>
  <c r="A2" i="53"/>
  <c r="A3" i="54"/>
  <c r="A2" i="54"/>
  <c r="A3" i="57"/>
  <c r="A2" i="57"/>
  <c r="A3" i="27"/>
  <c r="A2" i="27"/>
  <c r="A4" i="42"/>
  <c r="A3" i="42"/>
  <c r="A2" i="42"/>
  <c r="A2" i="40"/>
  <c r="A3" i="40"/>
  <c r="A4" i="40"/>
  <c r="U42" i="44" l="1" a="1"/>
  <c r="U42" i="44" s="1"/>
  <c r="V43" i="43" a="1"/>
  <c r="V43" i="43" s="1"/>
  <c r="U42" i="45" a="1"/>
  <c r="U42" i="45" s="1"/>
  <c r="U43" i="46" a="1"/>
  <c r="U43" i="46" s="1"/>
  <c r="U43" i="45" a="1"/>
  <c r="U43" i="45" s="1"/>
  <c r="U42" i="46" a="1"/>
  <c r="U42" i="46" s="1"/>
  <c r="V43" i="42" a="1"/>
  <c r="V43" i="42" s="1"/>
  <c r="T42" i="42" a="1"/>
  <c r="T42" i="42" s="1"/>
  <c r="T42" i="49" a="1"/>
  <c r="T42" i="49" s="1"/>
  <c r="U44" i="52" a="1"/>
  <c r="U44" i="52" s="1"/>
  <c r="T44" i="52" a="1"/>
  <c r="T44" i="52" s="1"/>
  <c r="I20" i="59"/>
  <c r="T20" i="59" s="1"/>
  <c r="T43" i="52" a="1"/>
  <c r="T43" i="52" s="1"/>
  <c r="I21" i="59"/>
  <c r="T21" i="59" s="1"/>
  <c r="U43" i="40" a="1"/>
  <c r="U43" i="40" s="1"/>
  <c r="V44" i="52" a="1"/>
  <c r="V44" i="52" s="1"/>
  <c r="V42" i="50" a="1"/>
  <c r="V42" i="50" s="1"/>
  <c r="V43" i="50" a="1"/>
  <c r="V43" i="50" s="1"/>
  <c r="W43" i="49" a="1"/>
  <c r="W43" i="49" s="1"/>
  <c r="V42" i="48" a="1"/>
  <c r="V42" i="48" s="1"/>
  <c r="V43" i="48" a="1"/>
  <c r="V43" i="48" s="1"/>
  <c r="V42" i="47" a="1"/>
  <c r="V42" i="47" s="1"/>
  <c r="V43" i="47" a="1"/>
  <c r="V43" i="47" s="1"/>
  <c r="V43" i="44" a="1"/>
  <c r="V43" i="44" s="1"/>
  <c r="V42" i="44" a="1"/>
  <c r="V42" i="44" s="1"/>
  <c r="V42" i="43" a="1"/>
  <c r="V42" i="43" s="1"/>
  <c r="W43" i="43" a="1"/>
  <c r="W43" i="43" s="1"/>
  <c r="V42" i="40" a="1"/>
  <c r="V42" i="40" s="1"/>
  <c r="W43" i="42" l="1" a="1"/>
  <c r="W43" i="42" s="1"/>
  <c r="V43" i="45" a="1"/>
  <c r="V43" i="45" s="1"/>
  <c r="V42" i="45" a="1"/>
  <c r="V42" i="45" s="1"/>
  <c r="V43" i="46" a="1"/>
  <c r="V43" i="46" s="1"/>
  <c r="V42" i="46" a="1"/>
  <c r="V42" i="46" s="1"/>
  <c r="U42" i="42" a="1"/>
  <c r="U42" i="42" s="1"/>
  <c r="K20" i="59"/>
  <c r="V20" i="59" s="1"/>
  <c r="U42" i="49" a="1"/>
  <c r="U42" i="49" s="1"/>
  <c r="J21" i="59"/>
  <c r="U21" i="59" s="1"/>
  <c r="J20" i="59"/>
  <c r="U20" i="59" s="1"/>
  <c r="U43" i="52" a="1"/>
  <c r="U43" i="52" s="1"/>
  <c r="W44" i="52" a="1"/>
  <c r="W44" i="52" s="1"/>
  <c r="W43" i="50" a="1"/>
  <c r="W43" i="50" s="1"/>
  <c r="W42" i="50" a="1"/>
  <c r="W42" i="50" s="1"/>
  <c r="W43" i="48" a="1"/>
  <c r="W43" i="48" s="1"/>
  <c r="W42" i="48" a="1"/>
  <c r="W42" i="48" s="1"/>
  <c r="W43" i="47" a="1"/>
  <c r="W43" i="47" s="1"/>
  <c r="W42" i="47" a="1"/>
  <c r="W42" i="47" s="1"/>
  <c r="W42" i="46" a="1"/>
  <c r="W42" i="46" s="1"/>
  <c r="W43" i="45" a="1"/>
  <c r="W43" i="45" s="1"/>
  <c r="W42" i="44" a="1"/>
  <c r="W42" i="44" s="1"/>
  <c r="W43" i="44" a="1"/>
  <c r="W43" i="44" s="1"/>
  <c r="W42" i="43" a="1"/>
  <c r="W42" i="43" s="1"/>
  <c r="W42" i="40" a="1"/>
  <c r="W42" i="40" s="1"/>
  <c r="W42" i="45" l="1" a="1"/>
  <c r="W42" i="45" s="1"/>
  <c r="W43" i="46" a="1"/>
  <c r="W43" i="46" s="1"/>
  <c r="K21" i="59"/>
  <c r="V21" i="59" s="1"/>
  <c r="V43" i="40" a="1"/>
  <c r="V43" i="40" s="1"/>
  <c r="V42" i="42" a="1"/>
  <c r="V42" i="42" s="1"/>
  <c r="L20" i="59"/>
  <c r="W20" i="59" s="1"/>
  <c r="V42" i="49" a="1"/>
  <c r="V42" i="49" s="1"/>
  <c r="W43" i="52" a="1"/>
  <c r="W43" i="52" s="1"/>
  <c r="V43" i="52" a="1"/>
  <c r="V43" i="52" s="1"/>
  <c r="L21" i="59" l="1"/>
  <c r="W21" i="59" s="1"/>
  <c r="W43" i="40" a="1"/>
  <c r="W43" i="40" s="1"/>
  <c r="W42" i="49" a="1"/>
  <c r="W42" i="49" s="1"/>
  <c r="W42" i="42" a="1"/>
  <c r="W42" i="42" s="1"/>
  <c r="Q110" i="54" l="1" a="1"/>
  <c r="Q110" i="54" s="1"/>
  <c r="P110" i="54" a="1"/>
  <c r="P110" i="54" s="1"/>
  <c r="O110" i="54" a="1"/>
  <c r="O110" i="54" s="1"/>
  <c r="N110" i="54" a="1"/>
  <c r="N110" i="54" s="1"/>
  <c r="M110" i="54" a="1"/>
  <c r="M110" i="54" s="1"/>
  <c r="Q108" i="54" a="1"/>
  <c r="Q108" i="54" s="1"/>
  <c r="P108" i="54" a="1"/>
  <c r="P108" i="54" s="1"/>
  <c r="O108" i="54" a="1"/>
  <c r="O108" i="54" s="1"/>
  <c r="N108" i="54" a="1"/>
  <c r="N108" i="54" s="1"/>
  <c r="M108" i="54" a="1"/>
  <c r="M108" i="54" s="1"/>
  <c r="Q107" i="54" a="1"/>
  <c r="Q107" i="54" s="1"/>
  <c r="P107" i="54" a="1"/>
  <c r="P107" i="54" s="1"/>
  <c r="O107" i="54" a="1"/>
  <c r="O107" i="54" s="1"/>
  <c r="N107" i="54" a="1"/>
  <c r="N107" i="54" s="1"/>
  <c r="M107" i="54" a="1"/>
  <c r="M107" i="54" s="1"/>
  <c r="Q105" i="54" a="1"/>
  <c r="Q105" i="54" s="1"/>
  <c r="P105" i="54" a="1"/>
  <c r="P105" i="54" s="1"/>
  <c r="O105" i="54" a="1"/>
  <c r="O105" i="54" s="1"/>
  <c r="N105" i="54" a="1"/>
  <c r="N105" i="54" s="1"/>
  <c r="M105" i="54" a="1"/>
  <c r="M105" i="54" s="1"/>
  <c r="Q104" i="54" a="1"/>
  <c r="Q104" i="54" s="1"/>
  <c r="P104" i="54" a="1"/>
  <c r="P104" i="54" s="1"/>
  <c r="O104" i="54" a="1"/>
  <c r="O104" i="54" s="1"/>
  <c r="N104" i="54" a="1"/>
  <c r="N104" i="54" s="1"/>
  <c r="M104" i="54" a="1"/>
  <c r="M104" i="54" s="1"/>
  <c r="Q103" i="54" a="1"/>
  <c r="Q103" i="54" s="1"/>
  <c r="P103" i="54" a="1"/>
  <c r="P103" i="54" s="1"/>
  <c r="O103" i="54" a="1"/>
  <c r="O103" i="54" s="1"/>
  <c r="N103" i="54" a="1"/>
  <c r="N103" i="54" s="1"/>
  <c r="M103" i="54" a="1"/>
  <c r="M103" i="54" s="1"/>
  <c r="Q101" i="54" a="1"/>
  <c r="Q101" i="54" s="1"/>
  <c r="P101" i="54" a="1"/>
  <c r="P101" i="54" s="1"/>
  <c r="O101" i="54" a="1"/>
  <c r="O101" i="54" s="1"/>
  <c r="N101" i="54" a="1"/>
  <c r="N101" i="54" s="1"/>
  <c r="M101" i="54" a="1"/>
  <c r="M101" i="54" s="1"/>
  <c r="Q100" i="54" a="1"/>
  <c r="Q100" i="54" s="1"/>
  <c r="P100" i="54" a="1"/>
  <c r="P100" i="54" s="1"/>
  <c r="O100" i="54" a="1"/>
  <c r="O100" i="54" s="1"/>
  <c r="N100" i="54" a="1"/>
  <c r="N100" i="54" s="1"/>
  <c r="M100" i="54" a="1"/>
  <c r="M100" i="54" s="1"/>
  <c r="Q98" i="54" a="1"/>
  <c r="Q98" i="54" s="1"/>
  <c r="P98" i="54" a="1"/>
  <c r="P98" i="54" s="1"/>
  <c r="O98" i="54" a="1"/>
  <c r="O98" i="54" s="1"/>
  <c r="N98" i="54" a="1"/>
  <c r="N98" i="54" s="1"/>
  <c r="M98" i="54" a="1"/>
  <c r="M98" i="54" s="1"/>
  <c r="Q97" i="54" a="1"/>
  <c r="Q97" i="54" s="1"/>
  <c r="P97" i="54" a="1"/>
  <c r="P97" i="54" s="1"/>
  <c r="O97" i="54" a="1"/>
  <c r="O97" i="54" s="1"/>
  <c r="N97" i="54" a="1"/>
  <c r="N97" i="54" s="1"/>
  <c r="M97" i="54" a="1"/>
  <c r="M97" i="54" s="1"/>
  <c r="Q96" i="54" a="1"/>
  <c r="Q96" i="54" s="1"/>
  <c r="P96" i="54" a="1"/>
  <c r="P96" i="54" s="1"/>
  <c r="O96" i="54" a="1"/>
  <c r="O96" i="54" s="1"/>
  <c r="N96" i="54" a="1"/>
  <c r="N96" i="54" s="1"/>
  <c r="M96" i="54" a="1"/>
  <c r="M96" i="54" s="1"/>
  <c r="Q95" i="54" a="1"/>
  <c r="Q95" i="54" s="1"/>
  <c r="P95" i="54" a="1"/>
  <c r="P95" i="54" s="1"/>
  <c r="O95" i="54" a="1"/>
  <c r="O95" i="54" s="1"/>
  <c r="N95" i="54" a="1"/>
  <c r="N95" i="54" s="1"/>
  <c r="M95" i="54" a="1"/>
  <c r="M95" i="54" s="1"/>
  <c r="Q93" i="54" a="1"/>
  <c r="Q93" i="54" s="1"/>
  <c r="P93" i="54" a="1"/>
  <c r="P93" i="54" s="1"/>
  <c r="O93" i="54" a="1"/>
  <c r="O93" i="54" s="1"/>
  <c r="N93" i="54" a="1"/>
  <c r="N93" i="54" s="1"/>
  <c r="M93" i="54" a="1"/>
  <c r="M93" i="54" s="1"/>
  <c r="Q92" i="54" a="1"/>
  <c r="Q92" i="54" s="1"/>
  <c r="P92" i="54" a="1"/>
  <c r="P92" i="54" s="1"/>
  <c r="O92" i="54" a="1"/>
  <c r="O92" i="54" s="1"/>
  <c r="N92" i="54" a="1"/>
  <c r="N92" i="54" s="1"/>
  <c r="M92" i="54" a="1"/>
  <c r="M92" i="54" s="1"/>
  <c r="Q91" i="54" a="1"/>
  <c r="Q91" i="54" s="1"/>
  <c r="P91" i="54" a="1"/>
  <c r="P91" i="54" s="1"/>
  <c r="O91" i="54" a="1"/>
  <c r="O91" i="54" s="1"/>
  <c r="N91" i="54" a="1"/>
  <c r="N91" i="54" s="1"/>
  <c r="M91" i="54" a="1"/>
  <c r="M91" i="54" s="1"/>
  <c r="D131" i="54"/>
  <c r="Q89" i="54" a="1"/>
  <c r="Q89" i="54" s="1"/>
  <c r="P89" i="54" a="1"/>
  <c r="P89" i="54" s="1"/>
  <c r="O89" i="54" a="1"/>
  <c r="O89" i="54" s="1"/>
  <c r="N89" i="54" a="1"/>
  <c r="N89" i="54" s="1"/>
  <c r="M89" i="54" a="1"/>
  <c r="M89" i="54" s="1"/>
  <c r="Q88" i="54" a="1"/>
  <c r="Q88" i="54" s="1"/>
  <c r="P88" i="54" a="1"/>
  <c r="P88" i="54" s="1"/>
  <c r="O88" i="54" a="1"/>
  <c r="O88" i="54" s="1"/>
  <c r="N88" i="54" a="1"/>
  <c r="N88" i="54" s="1"/>
  <c r="M88" i="54" a="1"/>
  <c r="M88" i="54" s="1"/>
  <c r="Q87" i="54" a="1"/>
  <c r="Q87" i="54" s="1"/>
  <c r="P87" i="54" a="1"/>
  <c r="P87" i="54" s="1"/>
  <c r="O87" i="54" a="1"/>
  <c r="O87" i="54" s="1"/>
  <c r="N87" i="54" a="1"/>
  <c r="N87" i="54" s="1"/>
  <c r="M87" i="54" a="1"/>
  <c r="M87" i="54" s="1"/>
  <c r="Q86" i="54" a="1"/>
  <c r="Q86" i="54" s="1"/>
  <c r="P86" i="54" a="1"/>
  <c r="P86" i="54" s="1"/>
  <c r="O86" i="54" a="1"/>
  <c r="O86" i="54" s="1"/>
  <c r="N86" i="54" a="1"/>
  <c r="N86" i="54" s="1"/>
  <c r="M86" i="54" a="1"/>
  <c r="M86" i="54" s="1"/>
  <c r="Q85" i="54" a="1"/>
  <c r="Q85" i="54" s="1"/>
  <c r="P85" i="54" a="1"/>
  <c r="P85" i="54" s="1"/>
  <c r="O85" i="54" a="1"/>
  <c r="O85" i="54" s="1"/>
  <c r="N85" i="54" a="1"/>
  <c r="N85" i="54" s="1"/>
  <c r="M85" i="54" a="1"/>
  <c r="M85" i="54" s="1"/>
  <c r="Q84" i="54" a="1"/>
  <c r="Q84" i="54" s="1"/>
  <c r="P84" i="54" a="1"/>
  <c r="P84" i="54" s="1"/>
  <c r="O84" i="54" a="1"/>
  <c r="O84" i="54" s="1"/>
  <c r="N84" i="54" a="1"/>
  <c r="N84" i="54" s="1"/>
  <c r="M84" i="54" a="1"/>
  <c r="M84" i="54" s="1"/>
  <c r="Q83" i="54" a="1"/>
  <c r="Q83" i="54" s="1"/>
  <c r="P83" i="54" a="1"/>
  <c r="P83" i="54" s="1"/>
  <c r="O83" i="54" a="1"/>
  <c r="O83" i="54" s="1"/>
  <c r="N83" i="54" a="1"/>
  <c r="N83" i="54" s="1"/>
  <c r="M83" i="54" a="1"/>
  <c r="M83" i="54" s="1"/>
  <c r="Q82" i="54" a="1"/>
  <c r="Q82" i="54" s="1"/>
  <c r="P82" i="54" a="1"/>
  <c r="P82" i="54" s="1"/>
  <c r="O82" i="54" a="1"/>
  <c r="O82" i="54" s="1"/>
  <c r="N82" i="54" a="1"/>
  <c r="N82" i="54" s="1"/>
  <c r="M82" i="54" a="1"/>
  <c r="M82" i="54" s="1"/>
  <c r="Q81" i="54" a="1"/>
  <c r="Q81" i="54" s="1"/>
  <c r="P81" i="54" a="1"/>
  <c r="P81" i="54" s="1"/>
  <c r="O81" i="54" a="1"/>
  <c r="O81" i="54" s="1"/>
  <c r="N81" i="54" a="1"/>
  <c r="N81" i="54" s="1"/>
  <c r="M81" i="54" a="1"/>
  <c r="M81" i="54" s="1"/>
  <c r="Q79" i="54" a="1"/>
  <c r="Q79" i="54" s="1"/>
  <c r="P79" i="54" a="1"/>
  <c r="P79" i="54" s="1"/>
  <c r="O79" i="54" a="1"/>
  <c r="O79" i="54" s="1"/>
  <c r="N79" i="54" a="1"/>
  <c r="N79" i="54" s="1"/>
  <c r="M79" i="54" a="1"/>
  <c r="M79" i="54" s="1"/>
  <c r="Q78" i="54" a="1"/>
  <c r="Q78" i="54" s="1"/>
  <c r="P78" i="54" a="1"/>
  <c r="P78" i="54" s="1"/>
  <c r="O78" i="54" a="1"/>
  <c r="O78" i="54" s="1"/>
  <c r="N78" i="54" a="1"/>
  <c r="N78" i="54" s="1"/>
  <c r="M78" i="54" a="1"/>
  <c r="M78" i="54" s="1"/>
  <c r="Q77" i="54" a="1"/>
  <c r="Q77" i="54" s="1"/>
  <c r="P77" i="54" a="1"/>
  <c r="P77" i="54" s="1"/>
  <c r="O77" i="54" a="1"/>
  <c r="O77" i="54" s="1"/>
  <c r="N77" i="54" a="1"/>
  <c r="N77" i="54" s="1"/>
  <c r="M77" i="54" a="1"/>
  <c r="M77" i="54" s="1"/>
  <c r="Q76" i="54" a="1"/>
  <c r="Q76" i="54" s="1"/>
  <c r="P76" i="54" a="1"/>
  <c r="P76" i="54" s="1"/>
  <c r="O76" i="54" a="1"/>
  <c r="O76" i="54" s="1"/>
  <c r="N76" i="54" a="1"/>
  <c r="N76" i="54" s="1"/>
  <c r="M76" i="54" a="1"/>
  <c r="M76" i="54" s="1"/>
  <c r="Q75" i="54" a="1"/>
  <c r="Q75" i="54" s="1"/>
  <c r="P75" i="54" a="1"/>
  <c r="P75" i="54" s="1"/>
  <c r="O75" i="54" a="1"/>
  <c r="O75" i="54" s="1"/>
  <c r="N75" i="54" a="1"/>
  <c r="N75" i="54" s="1"/>
  <c r="M75" i="54" a="1"/>
  <c r="M75" i="54" s="1"/>
  <c r="Q73" i="54" a="1"/>
  <c r="Q73" i="54" s="1"/>
  <c r="P73" i="54" a="1"/>
  <c r="P73" i="54" s="1"/>
  <c r="O73" i="54" a="1"/>
  <c r="O73" i="54" s="1"/>
  <c r="N73" i="54" a="1"/>
  <c r="N73" i="54" s="1"/>
  <c r="M73" i="54" a="1"/>
  <c r="M73" i="54" s="1"/>
  <c r="Q72" i="54" a="1"/>
  <c r="Q72" i="54" s="1"/>
  <c r="P72" i="54" a="1"/>
  <c r="P72" i="54" s="1"/>
  <c r="O72" i="54" a="1"/>
  <c r="O72" i="54" s="1"/>
  <c r="N72" i="54" a="1"/>
  <c r="N72" i="54" s="1"/>
  <c r="M72" i="54" a="1"/>
  <c r="M72" i="54" s="1"/>
  <c r="Q71" i="54" a="1"/>
  <c r="Q71" i="54" s="1"/>
  <c r="P71" i="54" a="1"/>
  <c r="P71" i="54" s="1"/>
  <c r="O71" i="54" a="1"/>
  <c r="O71" i="54" s="1"/>
  <c r="N71" i="54" a="1"/>
  <c r="N71" i="54" s="1"/>
  <c r="M71" i="54" a="1"/>
  <c r="M71" i="54" s="1"/>
  <c r="Q70" i="54" a="1"/>
  <c r="Q70" i="54" s="1"/>
  <c r="P70" i="54" a="1"/>
  <c r="P70" i="54" s="1"/>
  <c r="O70" i="54" a="1"/>
  <c r="O70" i="54" s="1"/>
  <c r="N70" i="54" a="1"/>
  <c r="N70" i="54" s="1"/>
  <c r="M70" i="54" a="1"/>
  <c r="M70" i="54" s="1"/>
  <c r="Q69" i="54" a="1"/>
  <c r="Q69" i="54" s="1"/>
  <c r="P69" i="54" a="1"/>
  <c r="P69" i="54" s="1"/>
  <c r="O69" i="54" a="1"/>
  <c r="O69" i="54" s="1"/>
  <c r="N69" i="54" a="1"/>
  <c r="N69" i="54" s="1"/>
  <c r="M69" i="54" a="1"/>
  <c r="M69" i="54" s="1"/>
  <c r="Q68" i="54" a="1"/>
  <c r="Q68" i="54" s="1"/>
  <c r="P68" i="54" a="1"/>
  <c r="P68" i="54" s="1"/>
  <c r="O68" i="54" a="1"/>
  <c r="O68" i="54" s="1"/>
  <c r="N68" i="54" a="1"/>
  <c r="N68" i="54" s="1"/>
  <c r="M68" i="54" a="1"/>
  <c r="M68" i="54" s="1"/>
  <c r="Q66" i="54" a="1"/>
  <c r="Q66" i="54" s="1"/>
  <c r="P66" i="54" a="1"/>
  <c r="P66" i="54" s="1"/>
  <c r="O66" i="54" a="1"/>
  <c r="O66" i="54" s="1"/>
  <c r="N66" i="54" a="1"/>
  <c r="N66" i="54" s="1"/>
  <c r="M66" i="54" a="1"/>
  <c r="M66" i="54" s="1"/>
  <c r="Q65" i="54" a="1"/>
  <c r="Q65" i="54" s="1"/>
  <c r="P65" i="54" a="1"/>
  <c r="P65" i="54" s="1"/>
  <c r="O65" i="54" a="1"/>
  <c r="O65" i="54" s="1"/>
  <c r="N65" i="54" a="1"/>
  <c r="N65" i="54" s="1"/>
  <c r="M65" i="54" a="1"/>
  <c r="M65" i="54" s="1"/>
  <c r="Q64" i="54" a="1"/>
  <c r="Q64" i="54" s="1"/>
  <c r="P64" i="54" a="1"/>
  <c r="P64" i="54" s="1"/>
  <c r="O64" i="54" a="1"/>
  <c r="O64" i="54" s="1"/>
  <c r="N64" i="54" a="1"/>
  <c r="N64" i="54" s="1"/>
  <c r="M64" i="54" a="1"/>
  <c r="M64" i="54" s="1"/>
  <c r="Q63" i="54" a="1"/>
  <c r="Q63" i="54" s="1"/>
  <c r="P63" i="54" a="1"/>
  <c r="P63" i="54" s="1"/>
  <c r="O63" i="54" a="1"/>
  <c r="O63" i="54" s="1"/>
  <c r="N63" i="54" a="1"/>
  <c r="N63" i="54" s="1"/>
  <c r="M63" i="54" a="1"/>
  <c r="M63" i="54" s="1"/>
  <c r="Q61" i="54" a="1"/>
  <c r="Q61" i="54" s="1"/>
  <c r="P61" i="54" a="1"/>
  <c r="P61" i="54" s="1"/>
  <c r="O61" i="54" a="1"/>
  <c r="O61" i="54" s="1"/>
  <c r="N61" i="54" a="1"/>
  <c r="N61" i="54" s="1"/>
  <c r="M61" i="54" a="1"/>
  <c r="M61" i="54" s="1"/>
  <c r="Q60" i="54" a="1"/>
  <c r="Q60" i="54" s="1"/>
  <c r="P60" i="54" a="1"/>
  <c r="P60" i="54" s="1"/>
  <c r="O60" i="54" a="1"/>
  <c r="O60" i="54" s="1"/>
  <c r="N60" i="54" a="1"/>
  <c r="N60" i="54" s="1"/>
  <c r="M60" i="54" a="1"/>
  <c r="M60" i="54" s="1"/>
  <c r="Q59" i="54" a="1"/>
  <c r="Q59" i="54" s="1"/>
  <c r="P59" i="54" a="1"/>
  <c r="P59" i="54" s="1"/>
  <c r="O59" i="54" a="1"/>
  <c r="O59" i="54" s="1"/>
  <c r="N59" i="54" a="1"/>
  <c r="N59" i="54" s="1"/>
  <c r="M59" i="54" a="1"/>
  <c r="M59" i="54" s="1"/>
  <c r="Q58" i="54" a="1"/>
  <c r="Q58" i="54" s="1"/>
  <c r="P58" i="54" a="1"/>
  <c r="P58" i="54" s="1"/>
  <c r="O58" i="54" a="1"/>
  <c r="O58" i="54" s="1"/>
  <c r="N58" i="54" a="1"/>
  <c r="N58" i="54" s="1"/>
  <c r="M58" i="54" a="1"/>
  <c r="M58" i="54" s="1"/>
  <c r="Q57" i="54" a="1"/>
  <c r="Q57" i="54" s="1"/>
  <c r="P57" i="54" a="1"/>
  <c r="P57" i="54" s="1"/>
  <c r="O57" i="54" a="1"/>
  <c r="O57" i="54" s="1"/>
  <c r="N57" i="54" a="1"/>
  <c r="N57" i="54" s="1"/>
  <c r="M57" i="54" a="1"/>
  <c r="M57" i="54" s="1"/>
  <c r="Q56" i="54" a="1"/>
  <c r="Q56" i="54" s="1"/>
  <c r="P56" i="54" a="1"/>
  <c r="P56" i="54" s="1"/>
  <c r="O56" i="54" a="1"/>
  <c r="O56" i="54" s="1"/>
  <c r="N56" i="54" a="1"/>
  <c r="N56" i="54" s="1"/>
  <c r="M56" i="54" a="1"/>
  <c r="M56" i="54" s="1"/>
  <c r="Q55" i="54" a="1"/>
  <c r="Q55" i="54" s="1"/>
  <c r="P55" i="54" a="1"/>
  <c r="P55" i="54" s="1"/>
  <c r="O55" i="54" a="1"/>
  <c r="O55" i="54" s="1"/>
  <c r="N55" i="54" a="1"/>
  <c r="N55" i="54" s="1"/>
  <c r="M55" i="54" a="1"/>
  <c r="M55" i="54" s="1"/>
  <c r="Q54" i="54" a="1"/>
  <c r="Q54" i="54" s="1"/>
  <c r="P54" i="54" a="1"/>
  <c r="P54" i="54" s="1"/>
  <c r="O54" i="54" a="1"/>
  <c r="O54" i="54" s="1"/>
  <c r="N54" i="54" a="1"/>
  <c r="N54" i="54" s="1"/>
  <c r="M54" i="54" a="1"/>
  <c r="M54" i="54" s="1"/>
  <c r="Q53" i="54" a="1"/>
  <c r="Q53" i="54" s="1"/>
  <c r="P53" i="54" a="1"/>
  <c r="P53" i="54" s="1"/>
  <c r="O53" i="54" a="1"/>
  <c r="O53" i="54" s="1"/>
  <c r="N53" i="54" a="1"/>
  <c r="N53" i="54" s="1"/>
  <c r="M53" i="54" a="1"/>
  <c r="M53" i="54" s="1"/>
  <c r="Q52" i="54" a="1"/>
  <c r="Q52" i="54" s="1"/>
  <c r="P52" i="54" a="1"/>
  <c r="P52" i="54" s="1"/>
  <c r="O52" i="54" a="1"/>
  <c r="O52" i="54" s="1"/>
  <c r="N52" i="54" a="1"/>
  <c r="N52" i="54" s="1"/>
  <c r="M52" i="54" a="1"/>
  <c r="M52" i="54" s="1"/>
  <c r="Q51" i="54" a="1"/>
  <c r="Q51" i="54" s="1"/>
  <c r="P51" i="54" a="1"/>
  <c r="P51" i="54" s="1"/>
  <c r="O51" i="54" a="1"/>
  <c r="O51" i="54" s="1"/>
  <c r="N51" i="54" a="1"/>
  <c r="N51" i="54" s="1"/>
  <c r="M51" i="54" a="1"/>
  <c r="M51" i="54" s="1"/>
  <c r="Q50" i="54" a="1"/>
  <c r="Q50" i="54" s="1"/>
  <c r="P50" i="54" a="1"/>
  <c r="P50" i="54" s="1"/>
  <c r="O50" i="54" a="1"/>
  <c r="O50" i="54" s="1"/>
  <c r="N50" i="54" a="1"/>
  <c r="N50" i="54" s="1"/>
  <c r="M50" i="54" a="1"/>
  <c r="M50" i="54" s="1"/>
  <c r="Q49" i="54" a="1"/>
  <c r="Q49" i="54" s="1"/>
  <c r="P49" i="54" a="1"/>
  <c r="P49" i="54" s="1"/>
  <c r="O49" i="54" a="1"/>
  <c r="O49" i="54" s="1"/>
  <c r="N49" i="54" a="1"/>
  <c r="N49" i="54" s="1"/>
  <c r="M49" i="54" a="1"/>
  <c r="M49" i="54" s="1"/>
  <c r="Q48" i="54" a="1"/>
  <c r="Q48" i="54" s="1"/>
  <c r="P48" i="54" a="1"/>
  <c r="P48" i="54" s="1"/>
  <c r="O48" i="54" a="1"/>
  <c r="O48" i="54" s="1"/>
  <c r="N48" i="54" a="1"/>
  <c r="N48" i="54" s="1"/>
  <c r="M48" i="54" a="1"/>
  <c r="M48" i="54" s="1"/>
  <c r="Q47" i="54" a="1"/>
  <c r="Q47" i="54" s="1"/>
  <c r="P47" i="54" a="1"/>
  <c r="P47" i="54" s="1"/>
  <c r="O47" i="54" a="1"/>
  <c r="O47" i="54" s="1"/>
  <c r="N47" i="54" a="1"/>
  <c r="N47" i="54" s="1"/>
  <c r="M47" i="54" a="1"/>
  <c r="M47" i="54" s="1"/>
  <c r="Q46" i="54" a="1"/>
  <c r="Q46" i="54" s="1"/>
  <c r="P46" i="54" a="1"/>
  <c r="P46" i="54" s="1"/>
  <c r="O46" i="54" a="1"/>
  <c r="O46" i="54" s="1"/>
  <c r="N46" i="54" a="1"/>
  <c r="N46" i="54" s="1"/>
  <c r="M46" i="54" a="1"/>
  <c r="M46" i="54" s="1"/>
  <c r="Q45" i="54" a="1"/>
  <c r="Q45" i="54" s="1"/>
  <c r="P45" i="54" a="1"/>
  <c r="P45" i="54" s="1"/>
  <c r="O45" i="54" a="1"/>
  <c r="O45" i="54" s="1"/>
  <c r="N45" i="54" a="1"/>
  <c r="N45" i="54" s="1"/>
  <c r="M45" i="54" a="1"/>
  <c r="M45" i="54" s="1"/>
  <c r="Q44" i="54" a="1"/>
  <c r="Q44" i="54" s="1"/>
  <c r="P44" i="54" a="1"/>
  <c r="P44" i="54" s="1"/>
  <c r="O44" i="54" a="1"/>
  <c r="O44" i="54" s="1"/>
  <c r="N44" i="54" a="1"/>
  <c r="N44" i="54" s="1"/>
  <c r="M44" i="54" a="1"/>
  <c r="M44" i="54" s="1"/>
  <c r="Q42" i="54" a="1"/>
  <c r="Q42" i="54" s="1"/>
  <c r="P42" i="54" a="1"/>
  <c r="P42" i="54" s="1"/>
  <c r="O42" i="54" a="1"/>
  <c r="O42" i="54" s="1"/>
  <c r="N42" i="54" a="1"/>
  <c r="N42" i="54" s="1"/>
  <c r="M42" i="54" a="1"/>
  <c r="M42" i="54" s="1"/>
  <c r="Q41" i="54" a="1"/>
  <c r="Q41" i="54" s="1"/>
  <c r="P41" i="54" a="1"/>
  <c r="P41" i="54" s="1"/>
  <c r="O41" i="54" a="1"/>
  <c r="O41" i="54" s="1"/>
  <c r="N41" i="54" a="1"/>
  <c r="N41" i="54" s="1"/>
  <c r="M41" i="54" a="1"/>
  <c r="M41" i="54" s="1"/>
  <c r="Q40" i="54" a="1"/>
  <c r="Q40" i="54" s="1"/>
  <c r="P40" i="54" a="1"/>
  <c r="P40" i="54" s="1"/>
  <c r="O40" i="54" a="1"/>
  <c r="O40" i="54" s="1"/>
  <c r="N40" i="54" a="1"/>
  <c r="N40" i="54" s="1"/>
  <c r="M40" i="54" a="1"/>
  <c r="M40" i="54" s="1"/>
  <c r="Q39" i="54" a="1"/>
  <c r="Q39" i="54" s="1"/>
  <c r="P39" i="54" a="1"/>
  <c r="P39" i="54" s="1"/>
  <c r="O39" i="54" a="1"/>
  <c r="O39" i="54" s="1"/>
  <c r="N39" i="54" a="1"/>
  <c r="N39" i="54" s="1"/>
  <c r="M39" i="54" a="1"/>
  <c r="M39" i="54" s="1"/>
  <c r="Q38" i="54" a="1"/>
  <c r="Q38" i="54" s="1"/>
  <c r="P38" i="54" a="1"/>
  <c r="P38" i="54" s="1"/>
  <c r="O38" i="54" a="1"/>
  <c r="O38" i="54" s="1"/>
  <c r="N38" i="54" a="1"/>
  <c r="N38" i="54" s="1"/>
  <c r="M38" i="54" a="1"/>
  <c r="M38" i="54" s="1"/>
  <c r="Q37" i="54" a="1"/>
  <c r="Q37" i="54" s="1"/>
  <c r="P37" i="54" a="1"/>
  <c r="P37" i="54" s="1"/>
  <c r="O37" i="54" a="1"/>
  <c r="O37" i="54" s="1"/>
  <c r="N37" i="54" a="1"/>
  <c r="N37" i="54" s="1"/>
  <c r="M37" i="54" a="1"/>
  <c r="M37" i="54" s="1"/>
  <c r="Q36" i="54" a="1"/>
  <c r="Q36" i="54" s="1"/>
  <c r="P36" i="54" a="1"/>
  <c r="P36" i="54" s="1"/>
  <c r="O36" i="54" a="1"/>
  <c r="O36" i="54" s="1"/>
  <c r="N36" i="54" a="1"/>
  <c r="N36" i="54" s="1"/>
  <c r="M36" i="54" a="1"/>
  <c r="M36" i="54" s="1"/>
  <c r="Q35" i="54" a="1"/>
  <c r="Q35" i="54" s="1"/>
  <c r="P35" i="54" a="1"/>
  <c r="P35" i="54" s="1"/>
  <c r="O35" i="54" a="1"/>
  <c r="O35" i="54" s="1"/>
  <c r="N35" i="54" a="1"/>
  <c r="N35" i="54" s="1"/>
  <c r="M35" i="54" a="1"/>
  <c r="M35" i="54" s="1"/>
  <c r="Q34" i="54" a="1"/>
  <c r="Q34" i="54" s="1"/>
  <c r="P34" i="54" a="1"/>
  <c r="P34" i="54" s="1"/>
  <c r="O34" i="54" a="1"/>
  <c r="O34" i="54" s="1"/>
  <c r="N34" i="54" a="1"/>
  <c r="N34" i="54" s="1"/>
  <c r="M34" i="54" a="1"/>
  <c r="M34" i="54" s="1"/>
  <c r="Q33" i="54" a="1"/>
  <c r="Q33" i="54" s="1"/>
  <c r="P33" i="54" a="1"/>
  <c r="P33" i="54" s="1"/>
  <c r="O33" i="54" a="1"/>
  <c r="O33" i="54" s="1"/>
  <c r="N33" i="54" a="1"/>
  <c r="N33" i="54" s="1"/>
  <c r="M33" i="54" a="1"/>
  <c r="M33" i="54" s="1"/>
  <c r="Q32" i="54" a="1"/>
  <c r="Q32" i="54" s="1"/>
  <c r="P32" i="54" a="1"/>
  <c r="P32" i="54" s="1"/>
  <c r="O32" i="54" a="1"/>
  <c r="O32" i="54" s="1"/>
  <c r="N32" i="54" a="1"/>
  <c r="N32" i="54" s="1"/>
  <c r="M32" i="54" a="1"/>
  <c r="M32" i="54" s="1"/>
  <c r="Q31" i="54" a="1"/>
  <c r="Q31" i="54" s="1"/>
  <c r="P31" i="54" a="1"/>
  <c r="P31" i="54" s="1"/>
  <c r="O31" i="54" a="1"/>
  <c r="O31" i="54" s="1"/>
  <c r="N31" i="54" a="1"/>
  <c r="N31" i="54" s="1"/>
  <c r="M31" i="54" a="1"/>
  <c r="M31" i="54" s="1"/>
  <c r="Q30" i="54" a="1"/>
  <c r="Q30" i="54" s="1"/>
  <c r="P30" i="54" a="1"/>
  <c r="P30" i="54" s="1"/>
  <c r="O30" i="54" a="1"/>
  <c r="O30" i="54" s="1"/>
  <c r="N30" i="54" a="1"/>
  <c r="N30" i="54" s="1"/>
  <c r="M30" i="54" a="1"/>
  <c r="M30" i="54" s="1"/>
  <c r="Q28" i="54" a="1"/>
  <c r="Q28" i="54" s="1"/>
  <c r="P28" i="54" a="1"/>
  <c r="P28" i="54" s="1"/>
  <c r="O28" i="54" a="1"/>
  <c r="O28" i="54" s="1"/>
  <c r="N28" i="54" a="1"/>
  <c r="N28" i="54" s="1"/>
  <c r="M28" i="54" a="1"/>
  <c r="M28" i="54" s="1"/>
  <c r="Q27" i="54" a="1"/>
  <c r="Q27" i="54" s="1"/>
  <c r="P27" i="54" a="1"/>
  <c r="P27" i="54" s="1"/>
  <c r="O27" i="54" a="1"/>
  <c r="O27" i="54" s="1"/>
  <c r="N27" i="54" a="1"/>
  <c r="N27" i="54" s="1"/>
  <c r="M27" i="54" a="1"/>
  <c r="M27" i="54" s="1"/>
  <c r="Q26" i="54" a="1"/>
  <c r="Q26" i="54" s="1"/>
  <c r="P26" i="54" a="1"/>
  <c r="P26" i="54" s="1"/>
  <c r="O26" i="54" a="1"/>
  <c r="O26" i="54" s="1"/>
  <c r="N26" i="54" a="1"/>
  <c r="N26" i="54" s="1"/>
  <c r="M26" i="54" a="1"/>
  <c r="M26" i="54" s="1"/>
  <c r="Q25" i="54" a="1"/>
  <c r="Q25" i="54" s="1"/>
  <c r="P25" i="54" a="1"/>
  <c r="P25" i="54" s="1"/>
  <c r="O25" i="54" a="1"/>
  <c r="O25" i="54" s="1"/>
  <c r="N25" i="54" a="1"/>
  <c r="N25" i="54" s="1"/>
  <c r="M25" i="54" a="1"/>
  <c r="M25" i="54" s="1"/>
  <c r="Q24" i="54" a="1"/>
  <c r="Q24" i="54" s="1"/>
  <c r="P24" i="54" a="1"/>
  <c r="P24" i="54" s="1"/>
  <c r="O24" i="54" a="1"/>
  <c r="O24" i="54" s="1"/>
  <c r="N24" i="54" a="1"/>
  <c r="N24" i="54" s="1"/>
  <c r="M24" i="54" a="1"/>
  <c r="M24" i="54" s="1"/>
  <c r="Q23" i="54" a="1"/>
  <c r="Q23" i="54" s="1"/>
  <c r="P23" i="54" a="1"/>
  <c r="P23" i="54" s="1"/>
  <c r="O23" i="54" a="1"/>
  <c r="O23" i="54" s="1"/>
  <c r="N23" i="54" a="1"/>
  <c r="N23" i="54" s="1"/>
  <c r="M23" i="54" a="1"/>
  <c r="M23" i="54" s="1"/>
  <c r="Q22" i="54" a="1"/>
  <c r="Q22" i="54" s="1"/>
  <c r="P22" i="54" a="1"/>
  <c r="P22" i="54" s="1"/>
  <c r="O22" i="54" a="1"/>
  <c r="O22" i="54" s="1"/>
  <c r="N22" i="54" a="1"/>
  <c r="N22" i="54" s="1"/>
  <c r="M22" i="54" a="1"/>
  <c r="M22" i="54" s="1"/>
  <c r="Q21" i="54" a="1"/>
  <c r="Q21" i="54" s="1"/>
  <c r="P21" i="54" a="1"/>
  <c r="P21" i="54" s="1"/>
  <c r="O21" i="54" a="1"/>
  <c r="O21" i="54" s="1"/>
  <c r="N21" i="54" a="1"/>
  <c r="N21" i="54" s="1"/>
  <c r="M21" i="54" a="1"/>
  <c r="M21" i="54" s="1"/>
  <c r="Q20" i="54" a="1"/>
  <c r="Q20" i="54" s="1"/>
  <c r="P20" i="54" a="1"/>
  <c r="P20" i="54" s="1"/>
  <c r="O20" i="54" a="1"/>
  <c r="O20" i="54" s="1"/>
  <c r="N20" i="54" a="1"/>
  <c r="N20" i="54" s="1"/>
  <c r="M20" i="54" a="1"/>
  <c r="M20" i="54" s="1"/>
  <c r="Q19" i="54" a="1"/>
  <c r="Q19" i="54" s="1"/>
  <c r="P19" i="54" a="1"/>
  <c r="P19" i="54" s="1"/>
  <c r="O19" i="54" a="1"/>
  <c r="O19" i="54" s="1"/>
  <c r="N19" i="54" a="1"/>
  <c r="N19" i="54" s="1"/>
  <c r="M19" i="54" a="1"/>
  <c r="M19" i="54" s="1"/>
  <c r="Q18" i="54" a="1"/>
  <c r="Q18" i="54" s="1"/>
  <c r="P18" i="54" a="1"/>
  <c r="P18" i="54" s="1"/>
  <c r="O18" i="54" a="1"/>
  <c r="O18" i="54" s="1"/>
  <c r="N18" i="54" a="1"/>
  <c r="N18" i="54" s="1"/>
  <c r="M18" i="54" a="1"/>
  <c r="M18" i="54" s="1"/>
  <c r="Q17" i="54" a="1"/>
  <c r="Q17" i="54" s="1"/>
  <c r="P17" i="54" a="1"/>
  <c r="P17" i="54" s="1"/>
  <c r="O17" i="54" a="1"/>
  <c r="O17" i="54" s="1"/>
  <c r="N17" i="54" a="1"/>
  <c r="N17" i="54" s="1"/>
  <c r="M17" i="54" a="1"/>
  <c r="M17" i="54" s="1"/>
  <c r="Q16" i="54" a="1"/>
  <c r="Q16" i="54" s="1"/>
  <c r="P16" i="54" a="1"/>
  <c r="P16" i="54" s="1"/>
  <c r="O16" i="54" a="1"/>
  <c r="O16" i="54" s="1"/>
  <c r="N16" i="54" a="1"/>
  <c r="N16" i="54" s="1"/>
  <c r="M16" i="54" a="1"/>
  <c r="M16" i="54" s="1"/>
  <c r="Q15" i="54" a="1"/>
  <c r="Q15" i="54" s="1"/>
  <c r="P15" i="54" a="1"/>
  <c r="P15" i="54" s="1"/>
  <c r="O15" i="54" a="1"/>
  <c r="O15" i="54" s="1"/>
  <c r="N15" i="54" a="1"/>
  <c r="N15" i="54" s="1"/>
  <c r="M15" i="54" a="1"/>
  <c r="M15" i="54" s="1"/>
  <c r="Q14" i="54" a="1"/>
  <c r="Q14" i="54" s="1"/>
  <c r="P14" i="54" a="1"/>
  <c r="P14" i="54" s="1"/>
  <c r="O14" i="54" a="1"/>
  <c r="O14" i="54" s="1"/>
  <c r="N14" i="54" a="1"/>
  <c r="N14" i="54" s="1"/>
  <c r="M14" i="54" a="1"/>
  <c r="M14" i="54" s="1"/>
  <c r="Q13" i="54" a="1"/>
  <c r="Q13" i="54" s="1"/>
  <c r="P13" i="54" a="1"/>
  <c r="P13" i="54" s="1"/>
  <c r="O13" i="54" a="1"/>
  <c r="O13" i="54" s="1"/>
  <c r="N13" i="54" a="1"/>
  <c r="N13" i="54" s="1"/>
  <c r="M13" i="54" a="1"/>
  <c r="M13" i="54" s="1"/>
  <c r="Q12" i="54" a="1"/>
  <c r="Q12" i="54" s="1"/>
  <c r="P12" i="54" a="1"/>
  <c r="P12" i="54" s="1"/>
  <c r="O12" i="54" a="1"/>
  <c r="O12" i="54" s="1"/>
  <c r="N12" i="54" a="1"/>
  <c r="N12" i="54" s="1"/>
  <c r="F123" i="54"/>
  <c r="E123" i="54"/>
  <c r="D123" i="54"/>
  <c r="B123" i="54"/>
  <c r="M65" i="53" a="1"/>
  <c r="M65" i="53" s="1"/>
  <c r="M66" i="53" a="1"/>
  <c r="M66" i="53" s="1"/>
  <c r="M68" i="53" a="1"/>
  <c r="M68" i="53" s="1"/>
  <c r="M69" i="53" a="1"/>
  <c r="M69" i="53" s="1"/>
  <c r="M70" i="53" a="1"/>
  <c r="M70" i="53" s="1"/>
  <c r="M71" i="53" a="1"/>
  <c r="M71" i="53" s="1"/>
  <c r="M72" i="53" a="1"/>
  <c r="M72" i="53" s="1"/>
  <c r="M73" i="53" a="1"/>
  <c r="M73" i="53" s="1"/>
  <c r="M75" i="53" a="1"/>
  <c r="M75" i="53" s="1"/>
  <c r="M76" i="53" a="1"/>
  <c r="M76" i="53" s="1"/>
  <c r="M77" i="53" a="1"/>
  <c r="M77" i="53" s="1"/>
  <c r="M78" i="53" a="1"/>
  <c r="M78" i="53" s="1"/>
  <c r="M79" i="53" a="1"/>
  <c r="M79" i="53" s="1"/>
  <c r="M81" i="53" a="1"/>
  <c r="M81" i="53" s="1"/>
  <c r="M82" i="53" a="1"/>
  <c r="M82" i="53" s="1"/>
  <c r="M83" i="53" a="1"/>
  <c r="M83" i="53" s="1"/>
  <c r="M84" i="53" a="1"/>
  <c r="M84" i="53" s="1"/>
  <c r="M85" i="53" a="1"/>
  <c r="M85" i="53" s="1"/>
  <c r="M86" i="53" a="1"/>
  <c r="M86" i="53" s="1"/>
  <c r="M87" i="53" a="1"/>
  <c r="M87" i="53" s="1"/>
  <c r="M88" i="53" a="1"/>
  <c r="M88" i="53" s="1"/>
  <c r="M89" i="53" a="1"/>
  <c r="M89" i="53" s="1"/>
  <c r="M91" i="53" a="1"/>
  <c r="M91" i="53" s="1"/>
  <c r="N65" i="53" a="1"/>
  <c r="N65" i="53" s="1"/>
  <c r="N66" i="53" a="1"/>
  <c r="N66" i="53" s="1"/>
  <c r="N68" i="53" a="1"/>
  <c r="N68" i="53" s="1"/>
  <c r="N69" i="53" a="1"/>
  <c r="N69" i="53" s="1"/>
  <c r="N70" i="53" a="1"/>
  <c r="N70" i="53" s="1"/>
  <c r="N71" i="53" a="1"/>
  <c r="N71" i="53" s="1"/>
  <c r="N72" i="53" a="1"/>
  <c r="N72" i="53" s="1"/>
  <c r="N73" i="53" a="1"/>
  <c r="N73" i="53" s="1"/>
  <c r="N75" i="53" a="1"/>
  <c r="N75" i="53" s="1"/>
  <c r="N76" i="53" a="1"/>
  <c r="N76" i="53" s="1"/>
  <c r="N77" i="53" a="1"/>
  <c r="N77" i="53" s="1"/>
  <c r="N78" i="53" a="1"/>
  <c r="N78" i="53" s="1"/>
  <c r="N79" i="53" a="1"/>
  <c r="N79" i="53" s="1"/>
  <c r="N81" i="53" a="1"/>
  <c r="N81" i="53" s="1"/>
  <c r="N82" i="53" a="1"/>
  <c r="N82" i="53" s="1"/>
  <c r="N83" i="53" a="1"/>
  <c r="N83" i="53" s="1"/>
  <c r="N84" i="53" a="1"/>
  <c r="N84" i="53" s="1"/>
  <c r="N85" i="53" a="1"/>
  <c r="N85" i="53" s="1"/>
  <c r="N86" i="53" a="1"/>
  <c r="N86" i="53" s="1"/>
  <c r="N87" i="53" a="1"/>
  <c r="N87" i="53" s="1"/>
  <c r="N88" i="53" a="1"/>
  <c r="N88" i="53" s="1"/>
  <c r="N89" i="53" a="1"/>
  <c r="N89" i="53" s="1"/>
  <c r="N91" i="53" a="1"/>
  <c r="N91" i="53" s="1"/>
  <c r="N107" i="53" a="1"/>
  <c r="N107" i="53" s="1"/>
  <c r="N108" i="53" a="1"/>
  <c r="N108" i="53" s="1"/>
  <c r="N110" i="53" a="1"/>
  <c r="N110" i="53" s="1"/>
  <c r="O65" i="53" a="1"/>
  <c r="O65" i="53" s="1"/>
  <c r="O66" i="53" a="1"/>
  <c r="O66" i="53" s="1"/>
  <c r="O68" i="53" a="1"/>
  <c r="O68" i="53" s="1"/>
  <c r="O69" i="53" a="1"/>
  <c r="O69" i="53" s="1"/>
  <c r="O70" i="53" a="1"/>
  <c r="O70" i="53" s="1"/>
  <c r="O71" i="53" a="1"/>
  <c r="O71" i="53" s="1"/>
  <c r="O72" i="53" a="1"/>
  <c r="O72" i="53" s="1"/>
  <c r="O73" i="53" a="1"/>
  <c r="O73" i="53" s="1"/>
  <c r="O75" i="53" a="1"/>
  <c r="O75" i="53" s="1"/>
  <c r="O76" i="53" a="1"/>
  <c r="O76" i="53" s="1"/>
  <c r="O77" i="53" a="1"/>
  <c r="O77" i="53" s="1"/>
  <c r="O78" i="53" a="1"/>
  <c r="O78" i="53" s="1"/>
  <c r="O79" i="53" a="1"/>
  <c r="O79" i="53" s="1"/>
  <c r="O81" i="53" a="1"/>
  <c r="O81" i="53" s="1"/>
  <c r="O82" i="53" a="1"/>
  <c r="O82" i="53" s="1"/>
  <c r="O83" i="53" a="1"/>
  <c r="O83" i="53" s="1"/>
  <c r="O84" i="53" a="1"/>
  <c r="O84" i="53" s="1"/>
  <c r="O85" i="53" a="1"/>
  <c r="O85" i="53" s="1"/>
  <c r="O86" i="53" a="1"/>
  <c r="O86" i="53" s="1"/>
  <c r="O87" i="53" a="1"/>
  <c r="O87" i="53" s="1"/>
  <c r="O88" i="53" a="1"/>
  <c r="O88" i="53" s="1"/>
  <c r="O89" i="53" a="1"/>
  <c r="O89" i="53" s="1"/>
  <c r="O91" i="53" a="1"/>
  <c r="O91" i="53" s="1"/>
  <c r="O107" i="53" a="1"/>
  <c r="O107" i="53" s="1"/>
  <c r="O108" i="53" a="1"/>
  <c r="O108" i="53" s="1"/>
  <c r="O110" i="53" a="1"/>
  <c r="O110" i="53" s="1"/>
  <c r="P65" i="53" a="1"/>
  <c r="P65" i="53" s="1"/>
  <c r="P66" i="53" a="1"/>
  <c r="P66" i="53" s="1"/>
  <c r="P68" i="53" a="1"/>
  <c r="P68" i="53" s="1"/>
  <c r="P69" i="53" a="1"/>
  <c r="P69" i="53" s="1"/>
  <c r="P70" i="53" a="1"/>
  <c r="P70" i="53" s="1"/>
  <c r="P71" i="53" a="1"/>
  <c r="P71" i="53" s="1"/>
  <c r="P72" i="53" a="1"/>
  <c r="P72" i="53" s="1"/>
  <c r="P73" i="53" a="1"/>
  <c r="P73" i="53" s="1"/>
  <c r="P75" i="53" a="1"/>
  <c r="P75" i="53" s="1"/>
  <c r="P76" i="53" a="1"/>
  <c r="P76" i="53" s="1"/>
  <c r="P77" i="53" a="1"/>
  <c r="P77" i="53" s="1"/>
  <c r="P78" i="53" a="1"/>
  <c r="P78" i="53" s="1"/>
  <c r="P79" i="53" a="1"/>
  <c r="P79" i="53" s="1"/>
  <c r="P81" i="53" a="1"/>
  <c r="P81" i="53" s="1"/>
  <c r="P82" i="53" a="1"/>
  <c r="P82" i="53" s="1"/>
  <c r="P83" i="53" a="1"/>
  <c r="P83" i="53" s="1"/>
  <c r="P84" i="53" a="1"/>
  <c r="P84" i="53" s="1"/>
  <c r="P85" i="53" a="1"/>
  <c r="P85" i="53" s="1"/>
  <c r="P86" i="53" a="1"/>
  <c r="P86" i="53" s="1"/>
  <c r="P87" i="53" a="1"/>
  <c r="P87" i="53" s="1"/>
  <c r="P88" i="53" a="1"/>
  <c r="P88" i="53" s="1"/>
  <c r="P89" i="53" a="1"/>
  <c r="P89" i="53" s="1"/>
  <c r="P91" i="53" a="1"/>
  <c r="P91" i="53" s="1"/>
  <c r="P107" i="53" a="1"/>
  <c r="P107" i="53" s="1"/>
  <c r="P108" i="53" a="1"/>
  <c r="P108" i="53" s="1"/>
  <c r="P110" i="53" a="1"/>
  <c r="P110" i="53" s="1"/>
  <c r="Q66" i="53" a="1"/>
  <c r="Q66" i="53" s="1"/>
  <c r="Q68" i="53" a="1"/>
  <c r="Q68" i="53" s="1"/>
  <c r="Q72" i="53" a="1"/>
  <c r="Q72" i="53" s="1"/>
  <c r="Q73" i="53" a="1"/>
  <c r="Q73" i="53" s="1"/>
  <c r="Q76" i="53" a="1"/>
  <c r="Q76" i="53" s="1"/>
  <c r="Q77" i="53" a="1"/>
  <c r="Q77" i="53" s="1"/>
  <c r="Q81" i="53" a="1"/>
  <c r="Q81" i="53" s="1"/>
  <c r="Q82" i="53" a="1"/>
  <c r="Q82" i="53" s="1"/>
  <c r="Q84" i="53" a="1"/>
  <c r="Q84" i="53" s="1"/>
  <c r="Q85" i="53" a="1"/>
  <c r="Q85" i="53" s="1"/>
  <c r="Q86" i="53" a="1"/>
  <c r="Q86" i="53" s="1"/>
  <c r="Q87" i="53" a="1"/>
  <c r="Q87" i="53" s="1"/>
  <c r="Q88" i="53" a="1"/>
  <c r="Q88" i="53" s="1"/>
  <c r="Q89" i="53" a="1"/>
  <c r="Q89" i="53" s="1"/>
  <c r="Q91" i="53" a="1"/>
  <c r="Q91" i="53" s="1"/>
  <c r="Q104" i="53" a="1"/>
  <c r="Q104" i="53" s="1"/>
  <c r="Q108" i="53" a="1"/>
  <c r="Q108" i="53" s="1"/>
  <c r="F130" i="53"/>
  <c r="Q110" i="53" a="1"/>
  <c r="Q110" i="53" s="1"/>
  <c r="Q64" i="53" a="1"/>
  <c r="Q64" i="53" s="1"/>
  <c r="P64" i="53" a="1"/>
  <c r="P64" i="53" s="1"/>
  <c r="O64" i="53" a="1"/>
  <c r="O64" i="53" s="1"/>
  <c r="N64" i="53" a="1"/>
  <c r="N64" i="53" s="1"/>
  <c r="M64" i="53" a="1"/>
  <c r="M64" i="53" s="1"/>
  <c r="Q63" i="53" a="1"/>
  <c r="Q63" i="53" s="1"/>
  <c r="P63" i="53" a="1"/>
  <c r="P63" i="53" s="1"/>
  <c r="O63" i="53" a="1"/>
  <c r="O63" i="53" s="1"/>
  <c r="N63" i="53" a="1"/>
  <c r="N63" i="53" s="1"/>
  <c r="M63" i="53" a="1"/>
  <c r="M63" i="53" s="1"/>
  <c r="Q61" i="53" a="1"/>
  <c r="Q61" i="53" s="1"/>
  <c r="P61" i="53" a="1"/>
  <c r="P61" i="53" s="1"/>
  <c r="O61" i="53" a="1"/>
  <c r="O61" i="53" s="1"/>
  <c r="N61" i="53" a="1"/>
  <c r="N61" i="53" s="1"/>
  <c r="M61" i="53" a="1"/>
  <c r="M61" i="53" s="1"/>
  <c r="Q60" i="53" a="1"/>
  <c r="Q60" i="53" s="1"/>
  <c r="P60" i="53" a="1"/>
  <c r="P60" i="53" s="1"/>
  <c r="O60" i="53" a="1"/>
  <c r="O60" i="53" s="1"/>
  <c r="N60" i="53" a="1"/>
  <c r="N60" i="53" s="1"/>
  <c r="M60" i="53" a="1"/>
  <c r="M60" i="53" s="1"/>
  <c r="Q59" i="53" a="1"/>
  <c r="Q59" i="53" s="1"/>
  <c r="P59" i="53" a="1"/>
  <c r="P59" i="53" s="1"/>
  <c r="O59" i="53" a="1"/>
  <c r="O59" i="53" s="1"/>
  <c r="N59" i="53" a="1"/>
  <c r="N59" i="53" s="1"/>
  <c r="M59" i="53" a="1"/>
  <c r="M59" i="53" s="1"/>
  <c r="Q58" i="53" a="1"/>
  <c r="Q58" i="53" s="1"/>
  <c r="P58" i="53" a="1"/>
  <c r="P58" i="53" s="1"/>
  <c r="O58" i="53" a="1"/>
  <c r="O58" i="53" s="1"/>
  <c r="N58" i="53" a="1"/>
  <c r="N58" i="53" s="1"/>
  <c r="M58" i="53" a="1"/>
  <c r="M58" i="53" s="1"/>
  <c r="Q57" i="53" a="1"/>
  <c r="Q57" i="53" s="1"/>
  <c r="P57" i="53" a="1"/>
  <c r="P57" i="53" s="1"/>
  <c r="O57" i="53" a="1"/>
  <c r="O57" i="53" s="1"/>
  <c r="N57" i="53" a="1"/>
  <c r="N57" i="53" s="1"/>
  <c r="M57" i="53" a="1"/>
  <c r="M57" i="53" s="1"/>
  <c r="Q56" i="53" a="1"/>
  <c r="Q56" i="53" s="1"/>
  <c r="P56" i="53" a="1"/>
  <c r="P56" i="53" s="1"/>
  <c r="O56" i="53" a="1"/>
  <c r="O56" i="53" s="1"/>
  <c r="N56" i="53" a="1"/>
  <c r="N56" i="53" s="1"/>
  <c r="M56" i="53" a="1"/>
  <c r="M56" i="53" s="1"/>
  <c r="Q55" i="53" a="1"/>
  <c r="Q55" i="53" s="1"/>
  <c r="P55" i="53" a="1"/>
  <c r="P55" i="53" s="1"/>
  <c r="O55" i="53" a="1"/>
  <c r="O55" i="53" s="1"/>
  <c r="N55" i="53" a="1"/>
  <c r="N55" i="53" s="1"/>
  <c r="M55" i="53" a="1"/>
  <c r="M55" i="53" s="1"/>
  <c r="Q54" i="53" a="1"/>
  <c r="Q54" i="53" s="1"/>
  <c r="P54" i="53" a="1"/>
  <c r="P54" i="53" s="1"/>
  <c r="O54" i="53" a="1"/>
  <c r="O54" i="53" s="1"/>
  <c r="N54" i="53" a="1"/>
  <c r="N54" i="53" s="1"/>
  <c r="M54" i="53" a="1"/>
  <c r="M54" i="53" s="1"/>
  <c r="Q53" i="53" a="1"/>
  <c r="Q53" i="53" s="1"/>
  <c r="P53" i="53" a="1"/>
  <c r="P53" i="53" s="1"/>
  <c r="O53" i="53" a="1"/>
  <c r="O53" i="53" s="1"/>
  <c r="N53" i="53" a="1"/>
  <c r="N53" i="53" s="1"/>
  <c r="M53" i="53" a="1"/>
  <c r="M53" i="53" s="1"/>
  <c r="Q52" i="53" a="1"/>
  <c r="Q52" i="53" s="1"/>
  <c r="P52" i="53" a="1"/>
  <c r="P52" i="53" s="1"/>
  <c r="O52" i="53" a="1"/>
  <c r="O52" i="53" s="1"/>
  <c r="N52" i="53" a="1"/>
  <c r="N52" i="53" s="1"/>
  <c r="M52" i="53" a="1"/>
  <c r="M52" i="53" s="1"/>
  <c r="Q51" i="53" a="1"/>
  <c r="Q51" i="53" s="1"/>
  <c r="P51" i="53" a="1"/>
  <c r="P51" i="53" s="1"/>
  <c r="O51" i="53" a="1"/>
  <c r="O51" i="53" s="1"/>
  <c r="N51" i="53" a="1"/>
  <c r="N51" i="53" s="1"/>
  <c r="M51" i="53" a="1"/>
  <c r="M51" i="53" s="1"/>
  <c r="Q50" i="53" a="1"/>
  <c r="Q50" i="53" s="1"/>
  <c r="P50" i="53" a="1"/>
  <c r="P50" i="53" s="1"/>
  <c r="O50" i="53" a="1"/>
  <c r="O50" i="53" s="1"/>
  <c r="N50" i="53" a="1"/>
  <c r="N50" i="53" s="1"/>
  <c r="M50" i="53" a="1"/>
  <c r="M50" i="53" s="1"/>
  <c r="Q49" i="53" a="1"/>
  <c r="Q49" i="53" s="1"/>
  <c r="P49" i="53" a="1"/>
  <c r="P49" i="53" s="1"/>
  <c r="O49" i="53" a="1"/>
  <c r="O49" i="53" s="1"/>
  <c r="N49" i="53" a="1"/>
  <c r="N49" i="53" s="1"/>
  <c r="M49" i="53" a="1"/>
  <c r="M49" i="53" s="1"/>
  <c r="Q48" i="53" a="1"/>
  <c r="Q48" i="53" s="1"/>
  <c r="P48" i="53" a="1"/>
  <c r="P48" i="53" s="1"/>
  <c r="O48" i="53" a="1"/>
  <c r="O48" i="53" s="1"/>
  <c r="N48" i="53" a="1"/>
  <c r="N48" i="53" s="1"/>
  <c r="M48" i="53" a="1"/>
  <c r="M48" i="53" s="1"/>
  <c r="Q47" i="53" a="1"/>
  <c r="Q47" i="53" s="1"/>
  <c r="P47" i="53" a="1"/>
  <c r="P47" i="53" s="1"/>
  <c r="O47" i="53" a="1"/>
  <c r="O47" i="53" s="1"/>
  <c r="N47" i="53" a="1"/>
  <c r="N47" i="53" s="1"/>
  <c r="M47" i="53" a="1"/>
  <c r="M47" i="53" s="1"/>
  <c r="Q46" i="53" a="1"/>
  <c r="Q46" i="53" s="1"/>
  <c r="P46" i="53" a="1"/>
  <c r="P46" i="53" s="1"/>
  <c r="O46" i="53" a="1"/>
  <c r="O46" i="53" s="1"/>
  <c r="N46" i="53" a="1"/>
  <c r="N46" i="53" s="1"/>
  <c r="M46" i="53" a="1"/>
  <c r="M46" i="53" s="1"/>
  <c r="Q45" i="53" a="1"/>
  <c r="Q45" i="53" s="1"/>
  <c r="P45" i="53" a="1"/>
  <c r="P45" i="53" s="1"/>
  <c r="O45" i="53" a="1"/>
  <c r="O45" i="53" s="1"/>
  <c r="N45" i="53" a="1"/>
  <c r="N45" i="53" s="1"/>
  <c r="M45" i="53" a="1"/>
  <c r="M45" i="53" s="1"/>
  <c r="Q44" i="53" a="1"/>
  <c r="Q44" i="53" s="1"/>
  <c r="P44" i="53" a="1"/>
  <c r="P44" i="53" s="1"/>
  <c r="O44" i="53" a="1"/>
  <c r="O44" i="53" s="1"/>
  <c r="N44" i="53" a="1"/>
  <c r="N44" i="53" s="1"/>
  <c r="M44" i="53" a="1"/>
  <c r="M44" i="53" s="1"/>
  <c r="Q42" i="53" a="1"/>
  <c r="Q42" i="53" s="1"/>
  <c r="P42" i="53" a="1"/>
  <c r="P42" i="53" s="1"/>
  <c r="O42" i="53" a="1"/>
  <c r="O42" i="53" s="1"/>
  <c r="N42" i="53" a="1"/>
  <c r="N42" i="53" s="1"/>
  <c r="M42" i="53" a="1"/>
  <c r="M42" i="53" s="1"/>
  <c r="Q41" i="53" a="1"/>
  <c r="Q41" i="53" s="1"/>
  <c r="P41" i="53" a="1"/>
  <c r="P41" i="53" s="1"/>
  <c r="O41" i="53" a="1"/>
  <c r="O41" i="53" s="1"/>
  <c r="N41" i="53" a="1"/>
  <c r="N41" i="53" s="1"/>
  <c r="M41" i="53" a="1"/>
  <c r="M41" i="53" s="1"/>
  <c r="Q40" i="53" a="1"/>
  <c r="Q40" i="53" s="1"/>
  <c r="P40" i="53" a="1"/>
  <c r="P40" i="53" s="1"/>
  <c r="O40" i="53" a="1"/>
  <c r="O40" i="53" s="1"/>
  <c r="N40" i="53" a="1"/>
  <c r="N40" i="53" s="1"/>
  <c r="M40" i="53" a="1"/>
  <c r="M40" i="53" s="1"/>
  <c r="Q39" i="53" a="1"/>
  <c r="Q39" i="53" s="1"/>
  <c r="P39" i="53" a="1"/>
  <c r="P39" i="53" s="1"/>
  <c r="O39" i="53" a="1"/>
  <c r="O39" i="53" s="1"/>
  <c r="N39" i="53" a="1"/>
  <c r="N39" i="53" s="1"/>
  <c r="M39" i="53" a="1"/>
  <c r="M39" i="53" s="1"/>
  <c r="Q38" i="53" a="1"/>
  <c r="Q38" i="53" s="1"/>
  <c r="P38" i="53" a="1"/>
  <c r="P38" i="53" s="1"/>
  <c r="O38" i="53" a="1"/>
  <c r="O38" i="53" s="1"/>
  <c r="N38" i="53" a="1"/>
  <c r="N38" i="53" s="1"/>
  <c r="M38" i="53" a="1"/>
  <c r="M38" i="53" s="1"/>
  <c r="Q37" i="53" a="1"/>
  <c r="Q37" i="53" s="1"/>
  <c r="P37" i="53" a="1"/>
  <c r="P37" i="53" s="1"/>
  <c r="O37" i="53" a="1"/>
  <c r="O37" i="53" s="1"/>
  <c r="N37" i="53" a="1"/>
  <c r="N37" i="53" s="1"/>
  <c r="M37" i="53" a="1"/>
  <c r="M37" i="53" s="1"/>
  <c r="Q36" i="53" a="1"/>
  <c r="Q36" i="53" s="1"/>
  <c r="P36" i="53" a="1"/>
  <c r="P36" i="53" s="1"/>
  <c r="O36" i="53" a="1"/>
  <c r="O36" i="53" s="1"/>
  <c r="N36" i="53" a="1"/>
  <c r="N36" i="53" s="1"/>
  <c r="M36" i="53" a="1"/>
  <c r="M36" i="53" s="1"/>
  <c r="Q35" i="53" a="1"/>
  <c r="Q35" i="53" s="1"/>
  <c r="P35" i="53" a="1"/>
  <c r="P35" i="53" s="1"/>
  <c r="O35" i="53" a="1"/>
  <c r="O35" i="53" s="1"/>
  <c r="N35" i="53" a="1"/>
  <c r="N35" i="53" s="1"/>
  <c r="M35" i="53" a="1"/>
  <c r="M35" i="53" s="1"/>
  <c r="Q34" i="53" a="1"/>
  <c r="Q34" i="53" s="1"/>
  <c r="P34" i="53" a="1"/>
  <c r="P34" i="53" s="1"/>
  <c r="O34" i="53" a="1"/>
  <c r="O34" i="53" s="1"/>
  <c r="N34" i="53" a="1"/>
  <c r="N34" i="53" s="1"/>
  <c r="M34" i="53" a="1"/>
  <c r="M34" i="53" s="1"/>
  <c r="Q33" i="53" a="1"/>
  <c r="Q33" i="53" s="1"/>
  <c r="P33" i="53" a="1"/>
  <c r="P33" i="53" s="1"/>
  <c r="O33" i="53" a="1"/>
  <c r="O33" i="53" s="1"/>
  <c r="N33" i="53" a="1"/>
  <c r="N33" i="53" s="1"/>
  <c r="M33" i="53" a="1"/>
  <c r="M33" i="53" s="1"/>
  <c r="Q32" i="53" a="1"/>
  <c r="Q32" i="53" s="1"/>
  <c r="P32" i="53" a="1"/>
  <c r="P32" i="53" s="1"/>
  <c r="O32" i="53" a="1"/>
  <c r="O32" i="53" s="1"/>
  <c r="N32" i="53" a="1"/>
  <c r="N32" i="53" s="1"/>
  <c r="M32" i="53" a="1"/>
  <c r="M32" i="53" s="1"/>
  <c r="Q31" i="53" a="1"/>
  <c r="Q31" i="53" s="1"/>
  <c r="P31" i="53" a="1"/>
  <c r="P31" i="53" s="1"/>
  <c r="O31" i="53" a="1"/>
  <c r="O31" i="53" s="1"/>
  <c r="N31" i="53" a="1"/>
  <c r="N31" i="53" s="1"/>
  <c r="M31" i="53" a="1"/>
  <c r="M31" i="53" s="1"/>
  <c r="Q30" i="53" a="1"/>
  <c r="Q30" i="53" s="1"/>
  <c r="P30" i="53" a="1"/>
  <c r="P30" i="53" s="1"/>
  <c r="O30" i="53" a="1"/>
  <c r="O30" i="53" s="1"/>
  <c r="N30" i="53" a="1"/>
  <c r="N30" i="53" s="1"/>
  <c r="M30" i="53" a="1"/>
  <c r="M30" i="53" s="1"/>
  <c r="Q28" i="53" a="1"/>
  <c r="Q28" i="53" s="1"/>
  <c r="P28" i="53" a="1"/>
  <c r="P28" i="53" s="1"/>
  <c r="O28" i="53" a="1"/>
  <c r="O28" i="53" s="1"/>
  <c r="N28" i="53" a="1"/>
  <c r="N28" i="53" s="1"/>
  <c r="M28" i="53" a="1"/>
  <c r="M28" i="53" s="1"/>
  <c r="Q27" i="53" a="1"/>
  <c r="Q27" i="53" s="1"/>
  <c r="P27" i="53" a="1"/>
  <c r="P27" i="53" s="1"/>
  <c r="O27" i="53" a="1"/>
  <c r="O27" i="53" s="1"/>
  <c r="N27" i="53" a="1"/>
  <c r="N27" i="53" s="1"/>
  <c r="M27" i="53" a="1"/>
  <c r="M27" i="53" s="1"/>
  <c r="Q26" i="53" a="1"/>
  <c r="Q26" i="53" s="1"/>
  <c r="P26" i="53" a="1"/>
  <c r="P26" i="53" s="1"/>
  <c r="O26" i="53" a="1"/>
  <c r="O26" i="53" s="1"/>
  <c r="N26" i="53" a="1"/>
  <c r="N26" i="53" s="1"/>
  <c r="M26" i="53" a="1"/>
  <c r="M26" i="53" s="1"/>
  <c r="Q25" i="53" a="1"/>
  <c r="Q25" i="53" s="1"/>
  <c r="P25" i="53" a="1"/>
  <c r="P25" i="53" s="1"/>
  <c r="O25" i="53" a="1"/>
  <c r="O25" i="53" s="1"/>
  <c r="N25" i="53" a="1"/>
  <c r="N25" i="53" s="1"/>
  <c r="M25" i="53" a="1"/>
  <c r="M25" i="53" s="1"/>
  <c r="Q24" i="53" a="1"/>
  <c r="Q24" i="53" s="1"/>
  <c r="P24" i="53" a="1"/>
  <c r="P24" i="53" s="1"/>
  <c r="O24" i="53" a="1"/>
  <c r="O24" i="53" s="1"/>
  <c r="N24" i="53" a="1"/>
  <c r="N24" i="53" s="1"/>
  <c r="M24" i="53" a="1"/>
  <c r="M24" i="53" s="1"/>
  <c r="Q23" i="53" a="1"/>
  <c r="Q23" i="53" s="1"/>
  <c r="P23" i="53" a="1"/>
  <c r="P23" i="53" s="1"/>
  <c r="O23" i="53" a="1"/>
  <c r="O23" i="53" s="1"/>
  <c r="N23" i="53" a="1"/>
  <c r="N23" i="53" s="1"/>
  <c r="M23" i="53" a="1"/>
  <c r="M23" i="53" s="1"/>
  <c r="Q22" i="53" a="1"/>
  <c r="Q22" i="53" s="1"/>
  <c r="P22" i="53" a="1"/>
  <c r="P22" i="53" s="1"/>
  <c r="O22" i="53" a="1"/>
  <c r="O22" i="53" s="1"/>
  <c r="N22" i="53" a="1"/>
  <c r="N22" i="53" s="1"/>
  <c r="M22" i="53" a="1"/>
  <c r="M22" i="53" s="1"/>
  <c r="Q21" i="53" a="1"/>
  <c r="Q21" i="53" s="1"/>
  <c r="P21" i="53" a="1"/>
  <c r="P21" i="53" s="1"/>
  <c r="O21" i="53" a="1"/>
  <c r="O21" i="53" s="1"/>
  <c r="N21" i="53" a="1"/>
  <c r="N21" i="53" s="1"/>
  <c r="M21" i="53" a="1"/>
  <c r="M21" i="53" s="1"/>
  <c r="Q20" i="53" a="1"/>
  <c r="Q20" i="53" s="1"/>
  <c r="P20" i="53" a="1"/>
  <c r="P20" i="53" s="1"/>
  <c r="O20" i="53" a="1"/>
  <c r="O20" i="53" s="1"/>
  <c r="N20" i="53" a="1"/>
  <c r="N20" i="53" s="1"/>
  <c r="M20" i="53" a="1"/>
  <c r="M20" i="53" s="1"/>
  <c r="Q19" i="53" a="1"/>
  <c r="Q19" i="53" s="1"/>
  <c r="P19" i="53" a="1"/>
  <c r="P19" i="53" s="1"/>
  <c r="O19" i="53" a="1"/>
  <c r="O19" i="53" s="1"/>
  <c r="N19" i="53" a="1"/>
  <c r="N19" i="53" s="1"/>
  <c r="M19" i="53" a="1"/>
  <c r="M19" i="53" s="1"/>
  <c r="Q18" i="53" a="1"/>
  <c r="Q18" i="53" s="1"/>
  <c r="P18" i="53" a="1"/>
  <c r="P18" i="53" s="1"/>
  <c r="O18" i="53" a="1"/>
  <c r="O18" i="53" s="1"/>
  <c r="N18" i="53" a="1"/>
  <c r="N18" i="53" s="1"/>
  <c r="M18" i="53" a="1"/>
  <c r="M18" i="53" s="1"/>
  <c r="Q17" i="53" a="1"/>
  <c r="Q17" i="53" s="1"/>
  <c r="P17" i="53" a="1"/>
  <c r="P17" i="53" s="1"/>
  <c r="O17" i="53" a="1"/>
  <c r="O17" i="53" s="1"/>
  <c r="N17" i="53" a="1"/>
  <c r="N17" i="53" s="1"/>
  <c r="M17" i="53" a="1"/>
  <c r="M17" i="53" s="1"/>
  <c r="Q16" i="53" a="1"/>
  <c r="Q16" i="53" s="1"/>
  <c r="P16" i="53" a="1"/>
  <c r="P16" i="53" s="1"/>
  <c r="O16" i="53" a="1"/>
  <c r="O16" i="53" s="1"/>
  <c r="N16" i="53" a="1"/>
  <c r="N16" i="53" s="1"/>
  <c r="M16" i="53" a="1"/>
  <c r="M16" i="53" s="1"/>
  <c r="Q15" i="53" a="1"/>
  <c r="Q15" i="53" s="1"/>
  <c r="P15" i="53" a="1"/>
  <c r="P15" i="53" s="1"/>
  <c r="O15" i="53" a="1"/>
  <c r="O15" i="53" s="1"/>
  <c r="N15" i="53" a="1"/>
  <c r="N15" i="53" s="1"/>
  <c r="M15" i="53" a="1"/>
  <c r="M15" i="53" s="1"/>
  <c r="Q14" i="53" a="1"/>
  <c r="Q14" i="53" s="1"/>
  <c r="P14" i="53" a="1"/>
  <c r="P14" i="53" s="1"/>
  <c r="O14" i="53" a="1"/>
  <c r="O14" i="53" s="1"/>
  <c r="N14" i="53" a="1"/>
  <c r="N14" i="53" s="1"/>
  <c r="M14" i="53" a="1"/>
  <c r="M14" i="53" s="1"/>
  <c r="Q13" i="53" a="1"/>
  <c r="Q13" i="53" s="1"/>
  <c r="P13" i="53" a="1"/>
  <c r="P13" i="53" s="1"/>
  <c r="O13" i="53" a="1"/>
  <c r="O13" i="53" s="1"/>
  <c r="N13" i="53" a="1"/>
  <c r="N13" i="53" s="1"/>
  <c r="M13" i="53" a="1"/>
  <c r="M13" i="53" s="1"/>
  <c r="Q12" i="53" a="1"/>
  <c r="Q12" i="53" s="1"/>
  <c r="P12" i="53" a="1"/>
  <c r="P12" i="53" s="1"/>
  <c r="O12" i="53" a="1"/>
  <c r="O12" i="53" s="1"/>
  <c r="N12" i="53" a="1"/>
  <c r="N12" i="53" s="1"/>
  <c r="M12" i="53" a="1"/>
  <c r="M12" i="53" s="1"/>
  <c r="M94" i="52" a="1"/>
  <c r="M94" i="52" s="1"/>
  <c r="M95" i="52" a="1"/>
  <c r="M95" i="52" s="1"/>
  <c r="M97" i="52" a="1"/>
  <c r="M97" i="52" s="1"/>
  <c r="N93" i="52" a="1"/>
  <c r="N93" i="52" s="1"/>
  <c r="N95" i="52" a="1"/>
  <c r="N95" i="52" s="1"/>
  <c r="N97" i="52" a="1"/>
  <c r="N97" i="52" s="1"/>
  <c r="O94" i="52" a="1"/>
  <c r="O94" i="52" s="1"/>
  <c r="O95" i="52" a="1"/>
  <c r="O95" i="52" s="1"/>
  <c r="O97" i="52" a="1"/>
  <c r="O97" i="52" s="1"/>
  <c r="P94" i="52" a="1"/>
  <c r="P94" i="52" s="1"/>
  <c r="P95" i="52" a="1"/>
  <c r="P95" i="52" s="1"/>
  <c r="P97" i="52" a="1"/>
  <c r="P97" i="52" s="1"/>
  <c r="Q94" i="52" a="1"/>
  <c r="Q94" i="52" s="1"/>
  <c r="Q95" i="52" a="1"/>
  <c r="Q95" i="52" s="1"/>
  <c r="Q97" i="52" a="1"/>
  <c r="Q97" i="52" s="1"/>
  <c r="Q92" i="52" a="1"/>
  <c r="Q92" i="52" s="1"/>
  <c r="P92" i="52" a="1"/>
  <c r="P92" i="52" s="1"/>
  <c r="O92" i="52" a="1"/>
  <c r="O92" i="52" s="1"/>
  <c r="N92" i="52" a="1"/>
  <c r="N92" i="52" s="1"/>
  <c r="M92" i="52" a="1"/>
  <c r="M92" i="52" s="1"/>
  <c r="O91" i="52" a="1"/>
  <c r="O91" i="52" s="1"/>
  <c r="N91" i="52" a="1"/>
  <c r="N91" i="52" s="1"/>
  <c r="M91" i="52" a="1"/>
  <c r="M91" i="52" s="1"/>
  <c r="O90" i="52" a="1"/>
  <c r="O90" i="52" s="1"/>
  <c r="N90" i="52" a="1"/>
  <c r="N90" i="52" s="1"/>
  <c r="M90" i="52" a="1"/>
  <c r="M90" i="52" s="1"/>
  <c r="Q88" i="52" a="1"/>
  <c r="Q88" i="52" s="1"/>
  <c r="P88" i="52" a="1"/>
  <c r="P88" i="52" s="1"/>
  <c r="O88" i="52" a="1"/>
  <c r="O88" i="52" s="1"/>
  <c r="N88" i="52" a="1"/>
  <c r="N88" i="52" s="1"/>
  <c r="M88" i="52" a="1"/>
  <c r="M88" i="52" s="1"/>
  <c r="Q87" i="52" a="1"/>
  <c r="Q87" i="52" s="1"/>
  <c r="P87" i="52" a="1"/>
  <c r="P87" i="52" s="1"/>
  <c r="O87" i="52" a="1"/>
  <c r="O87" i="52" s="1"/>
  <c r="N87" i="52" a="1"/>
  <c r="N87" i="52" s="1"/>
  <c r="M87" i="52" a="1"/>
  <c r="M87" i="52" s="1"/>
  <c r="Q85" i="52" a="1"/>
  <c r="Q85" i="52" s="1"/>
  <c r="P85" i="52" a="1"/>
  <c r="P85" i="52" s="1"/>
  <c r="O85" i="52" a="1"/>
  <c r="O85" i="52" s="1"/>
  <c r="N85" i="52" a="1"/>
  <c r="N85" i="52" s="1"/>
  <c r="M85" i="52" a="1"/>
  <c r="M85" i="52" s="1"/>
  <c r="Q84" i="52" a="1"/>
  <c r="Q84" i="52" s="1"/>
  <c r="P84" i="52" a="1"/>
  <c r="P84" i="52" s="1"/>
  <c r="O84" i="52" a="1"/>
  <c r="O84" i="52" s="1"/>
  <c r="N84" i="52" a="1"/>
  <c r="N84" i="52" s="1"/>
  <c r="M84" i="52" a="1"/>
  <c r="M84" i="52" s="1"/>
  <c r="Q83" i="52" a="1"/>
  <c r="Q83" i="52" s="1"/>
  <c r="P83" i="52" a="1"/>
  <c r="P83" i="52" s="1"/>
  <c r="O83" i="52" a="1"/>
  <c r="O83" i="52" s="1"/>
  <c r="N83" i="52" a="1"/>
  <c r="N83" i="52" s="1"/>
  <c r="M83" i="52" a="1"/>
  <c r="M83" i="52" s="1"/>
  <c r="Q82" i="52" a="1"/>
  <c r="Q82" i="52" s="1"/>
  <c r="P82" i="52" a="1"/>
  <c r="P82" i="52" s="1"/>
  <c r="O82" i="52" a="1"/>
  <c r="O82" i="52" s="1"/>
  <c r="N82" i="52" a="1"/>
  <c r="N82" i="52" s="1"/>
  <c r="M82" i="52" a="1"/>
  <c r="M82" i="52" s="1"/>
  <c r="Q80" i="52" a="1"/>
  <c r="Q80" i="52" s="1"/>
  <c r="P80" i="52" a="1"/>
  <c r="P80" i="52" s="1"/>
  <c r="O80" i="52" a="1"/>
  <c r="O80" i="52" s="1"/>
  <c r="N80" i="52" a="1"/>
  <c r="N80" i="52" s="1"/>
  <c r="M80" i="52" a="1"/>
  <c r="M80" i="52" s="1"/>
  <c r="Q78" i="52" a="1"/>
  <c r="Q78" i="52" s="1"/>
  <c r="P78" i="52" a="1"/>
  <c r="P78" i="52" s="1"/>
  <c r="O78" i="52" a="1"/>
  <c r="O78" i="52" s="1"/>
  <c r="N78" i="52" a="1"/>
  <c r="N78" i="52" s="1"/>
  <c r="M78" i="52" a="1"/>
  <c r="M78" i="52" s="1"/>
  <c r="Q77" i="52" a="1"/>
  <c r="Q77" i="52" s="1"/>
  <c r="P77" i="52" a="1"/>
  <c r="P77" i="52" s="1"/>
  <c r="O77" i="52" a="1"/>
  <c r="O77" i="52" s="1"/>
  <c r="N77" i="52" a="1"/>
  <c r="N77" i="52" s="1"/>
  <c r="M77" i="52" a="1"/>
  <c r="M77" i="52" s="1"/>
  <c r="Q75" i="52" a="1"/>
  <c r="Q75" i="52" s="1"/>
  <c r="P75" i="52" a="1"/>
  <c r="P75" i="52" s="1"/>
  <c r="O75" i="52" a="1"/>
  <c r="O75" i="52" s="1"/>
  <c r="N75" i="52" a="1"/>
  <c r="N75" i="52" s="1"/>
  <c r="M75" i="52" a="1"/>
  <c r="M75" i="52" s="1"/>
  <c r="Q74" i="52" a="1"/>
  <c r="Q74" i="52" s="1"/>
  <c r="P74" i="52" a="1"/>
  <c r="P74" i="52" s="1"/>
  <c r="O74" i="52" a="1"/>
  <c r="O74" i="52" s="1"/>
  <c r="N74" i="52" a="1"/>
  <c r="N74" i="52" s="1"/>
  <c r="M74" i="52" a="1"/>
  <c r="M74" i="52" s="1"/>
  <c r="Q73" i="52" a="1"/>
  <c r="Q73" i="52" s="1"/>
  <c r="P73" i="52" a="1"/>
  <c r="P73" i="52" s="1"/>
  <c r="O73" i="52" a="1"/>
  <c r="O73" i="52" s="1"/>
  <c r="N73" i="52" a="1"/>
  <c r="N73" i="52" s="1"/>
  <c r="M73" i="52" a="1"/>
  <c r="M73" i="52" s="1"/>
  <c r="P72" i="52" a="1"/>
  <c r="P72" i="52" s="1"/>
  <c r="O72" i="52" a="1"/>
  <c r="O72" i="52" s="1"/>
  <c r="N72" i="52" a="1"/>
  <c r="N72" i="52" s="1"/>
  <c r="M72" i="52" a="1"/>
  <c r="M72" i="52" s="1"/>
  <c r="Q71" i="52" a="1"/>
  <c r="Q71" i="52" s="1"/>
  <c r="P71" i="52" a="1"/>
  <c r="P71" i="52" s="1"/>
  <c r="O71" i="52" a="1"/>
  <c r="O71" i="52" s="1"/>
  <c r="N71" i="52" a="1"/>
  <c r="N71" i="52" s="1"/>
  <c r="M71" i="52" a="1"/>
  <c r="M71" i="52" s="1"/>
  <c r="Q69" i="52" a="1"/>
  <c r="Q69" i="52" s="1"/>
  <c r="P69" i="52" a="1"/>
  <c r="P69" i="52" s="1"/>
  <c r="O69" i="52" a="1"/>
  <c r="O69" i="52" s="1"/>
  <c r="N69" i="52" a="1"/>
  <c r="N69" i="52" s="1"/>
  <c r="M69" i="52" a="1"/>
  <c r="M69" i="52" s="1"/>
  <c r="Q68" i="52" a="1"/>
  <c r="Q68" i="52" s="1"/>
  <c r="P68" i="52" a="1"/>
  <c r="P68" i="52" s="1"/>
  <c r="O68" i="52" a="1"/>
  <c r="O68" i="52" s="1"/>
  <c r="N68" i="52" a="1"/>
  <c r="N68" i="52" s="1"/>
  <c r="M68" i="52" a="1"/>
  <c r="M68" i="52" s="1"/>
  <c r="Q67" i="52" a="1"/>
  <c r="Q67" i="52" s="1"/>
  <c r="P67" i="52" a="1"/>
  <c r="P67" i="52" s="1"/>
  <c r="O67" i="52" a="1"/>
  <c r="O67" i="52" s="1"/>
  <c r="N67" i="52" a="1"/>
  <c r="N67" i="52" s="1"/>
  <c r="M67" i="52" a="1"/>
  <c r="M67" i="52" s="1"/>
  <c r="P66" i="52" a="1"/>
  <c r="P66" i="52" s="1"/>
  <c r="O66" i="52" a="1"/>
  <c r="O66" i="52" s="1"/>
  <c r="N66" i="52" a="1"/>
  <c r="N66" i="52" s="1"/>
  <c r="M66" i="52" a="1"/>
  <c r="M66" i="52" s="1"/>
  <c r="Q63" i="52" a="1"/>
  <c r="Q63" i="52" s="1"/>
  <c r="P63" i="52" a="1"/>
  <c r="P63" i="52" s="1"/>
  <c r="O63" i="52" a="1"/>
  <c r="O63" i="52" s="1"/>
  <c r="N63" i="52" a="1"/>
  <c r="N63" i="52" s="1"/>
  <c r="M63" i="52" a="1"/>
  <c r="M63" i="52" s="1"/>
  <c r="Q61" i="52" a="1"/>
  <c r="Q61" i="52" s="1"/>
  <c r="P61" i="52" a="1"/>
  <c r="P61" i="52" s="1"/>
  <c r="O61" i="52" a="1"/>
  <c r="O61" i="52" s="1"/>
  <c r="N61" i="52" a="1"/>
  <c r="N61" i="52" s="1"/>
  <c r="M61" i="52" a="1"/>
  <c r="M61" i="52" s="1"/>
  <c r="Q60" i="52" a="1"/>
  <c r="Q60" i="52" s="1"/>
  <c r="P60" i="52" a="1"/>
  <c r="P60" i="52" s="1"/>
  <c r="O60" i="52" a="1"/>
  <c r="O60" i="52" s="1"/>
  <c r="N60" i="52" a="1"/>
  <c r="N60" i="52" s="1"/>
  <c r="M60" i="52" a="1"/>
  <c r="M60" i="52" s="1"/>
  <c r="Q59" i="52" a="1"/>
  <c r="Q59" i="52" s="1"/>
  <c r="P59" i="52" a="1"/>
  <c r="P59" i="52" s="1"/>
  <c r="O59" i="52" a="1"/>
  <c r="O59" i="52" s="1"/>
  <c r="N59" i="52" a="1"/>
  <c r="N59" i="52" s="1"/>
  <c r="M59" i="52" a="1"/>
  <c r="M59" i="52" s="1"/>
  <c r="Q58" i="52" a="1"/>
  <c r="Q58" i="52" s="1"/>
  <c r="P58" i="52" a="1"/>
  <c r="P58" i="52" s="1"/>
  <c r="O58" i="52" a="1"/>
  <c r="O58" i="52" s="1"/>
  <c r="N58" i="52" a="1"/>
  <c r="N58" i="52" s="1"/>
  <c r="M58" i="52" a="1"/>
  <c r="M58" i="52" s="1"/>
  <c r="Q57" i="52" a="1"/>
  <c r="Q57" i="52" s="1"/>
  <c r="P57" i="52" a="1"/>
  <c r="P57" i="52" s="1"/>
  <c r="O57" i="52" a="1"/>
  <c r="O57" i="52" s="1"/>
  <c r="N57" i="52" a="1"/>
  <c r="N57" i="52" s="1"/>
  <c r="M57" i="52" a="1"/>
  <c r="M57" i="52" s="1"/>
  <c r="Q56" i="52" a="1"/>
  <c r="Q56" i="52" s="1"/>
  <c r="P56" i="52" a="1"/>
  <c r="P56" i="52" s="1"/>
  <c r="O56" i="52" a="1"/>
  <c r="O56" i="52" s="1"/>
  <c r="N56" i="52" a="1"/>
  <c r="N56" i="52" s="1"/>
  <c r="M56" i="52" a="1"/>
  <c r="M56" i="52" s="1"/>
  <c r="Q55" i="52" a="1"/>
  <c r="Q55" i="52" s="1"/>
  <c r="P55" i="52" a="1"/>
  <c r="P55" i="52" s="1"/>
  <c r="O55" i="52" a="1"/>
  <c r="O55" i="52" s="1"/>
  <c r="N55" i="52" a="1"/>
  <c r="N55" i="52" s="1"/>
  <c r="M55" i="52" a="1"/>
  <c r="M55" i="52" s="1"/>
  <c r="Q54" i="52" a="1"/>
  <c r="Q54" i="52" s="1"/>
  <c r="P54" i="52" a="1"/>
  <c r="P54" i="52" s="1"/>
  <c r="O54" i="52" a="1"/>
  <c r="O54" i="52" s="1"/>
  <c r="N54" i="52" a="1"/>
  <c r="N54" i="52" s="1"/>
  <c r="M54" i="52" a="1"/>
  <c r="M54" i="52" s="1"/>
  <c r="Q53" i="52" a="1"/>
  <c r="Q53" i="52" s="1"/>
  <c r="P53" i="52" a="1"/>
  <c r="P53" i="52" s="1"/>
  <c r="O53" i="52" a="1"/>
  <c r="O53" i="52" s="1"/>
  <c r="N53" i="52" a="1"/>
  <c r="N53" i="52" s="1"/>
  <c r="M53" i="52" a="1"/>
  <c r="M53" i="52" s="1"/>
  <c r="Q52" i="52" a="1"/>
  <c r="Q52" i="52" s="1"/>
  <c r="P52" i="52" a="1"/>
  <c r="P52" i="52" s="1"/>
  <c r="O52" i="52" a="1"/>
  <c r="O52" i="52" s="1"/>
  <c r="N52" i="52" a="1"/>
  <c r="N52" i="52" s="1"/>
  <c r="M52" i="52" a="1"/>
  <c r="M52" i="52" s="1"/>
  <c r="Q50" i="52" a="1"/>
  <c r="Q50" i="52" s="1"/>
  <c r="P50" i="52" a="1"/>
  <c r="P50" i="52" s="1"/>
  <c r="O50" i="52" a="1"/>
  <c r="O50" i="52" s="1"/>
  <c r="N50" i="52" a="1"/>
  <c r="N50" i="52" s="1"/>
  <c r="M50" i="52" a="1"/>
  <c r="M50" i="52" s="1"/>
  <c r="Q49" i="52" a="1"/>
  <c r="Q49" i="52" s="1"/>
  <c r="P49" i="52" a="1"/>
  <c r="P49" i="52" s="1"/>
  <c r="O49" i="52" a="1"/>
  <c r="O49" i="52" s="1"/>
  <c r="N49" i="52" a="1"/>
  <c r="N49" i="52" s="1"/>
  <c r="M49" i="52" a="1"/>
  <c r="M49" i="52" s="1"/>
  <c r="Q48" i="52" a="1"/>
  <c r="Q48" i="52" s="1"/>
  <c r="P48" i="52" a="1"/>
  <c r="P48" i="52" s="1"/>
  <c r="O48" i="52" a="1"/>
  <c r="O48" i="52" s="1"/>
  <c r="N48" i="52" a="1"/>
  <c r="N48" i="52" s="1"/>
  <c r="M48" i="52" a="1"/>
  <c r="M48" i="52" s="1"/>
  <c r="Q47" i="52" a="1"/>
  <c r="Q47" i="52" s="1"/>
  <c r="P47" i="52" a="1"/>
  <c r="P47" i="52" s="1"/>
  <c r="O47" i="52" a="1"/>
  <c r="O47" i="52" s="1"/>
  <c r="N47" i="52" a="1"/>
  <c r="N47" i="52" s="1"/>
  <c r="M47" i="52" a="1"/>
  <c r="M47" i="52" s="1"/>
  <c r="Q46" i="52" a="1"/>
  <c r="Q46" i="52" s="1"/>
  <c r="P46" i="52" a="1"/>
  <c r="P46" i="52" s="1"/>
  <c r="O46" i="52" a="1"/>
  <c r="O46" i="52" s="1"/>
  <c r="N46" i="52" a="1"/>
  <c r="N46" i="52" s="1"/>
  <c r="M46" i="52" a="1"/>
  <c r="M46" i="52" s="1"/>
  <c r="Q74" i="53" l="1" a="1"/>
  <c r="Q74" i="53" s="1"/>
  <c r="F121" i="53"/>
  <c r="N67" i="53" a="1"/>
  <c r="N67" i="53" s="1"/>
  <c r="N120" i="53" s="1"/>
  <c r="C120" i="53"/>
  <c r="M74" i="53" a="1"/>
  <c r="M74" i="53" s="1"/>
  <c r="M121" i="53" s="1"/>
  <c r="B121" i="53"/>
  <c r="M29" i="54" a="1"/>
  <c r="M29" i="54" s="1"/>
  <c r="M117" i="54" s="1"/>
  <c r="B117" i="54"/>
  <c r="M43" i="54" a="1"/>
  <c r="M43" i="54" s="1"/>
  <c r="M118" i="54" s="1"/>
  <c r="B118" i="54"/>
  <c r="M67" i="54" a="1"/>
  <c r="M67" i="54" s="1"/>
  <c r="M120" i="54" s="1"/>
  <c r="B120" i="54"/>
  <c r="M99" i="54" a="1"/>
  <c r="M99" i="54" s="1"/>
  <c r="M127" i="54" s="1"/>
  <c r="B127" i="54"/>
  <c r="M109" i="54" a="1"/>
  <c r="M109" i="54" s="1"/>
  <c r="M130" i="54" s="1"/>
  <c r="B130" i="54"/>
  <c r="N29" i="54" a="1"/>
  <c r="N29" i="54" s="1"/>
  <c r="N117" i="54" s="1"/>
  <c r="C117" i="54"/>
  <c r="N43" i="54" a="1"/>
  <c r="N43" i="54" s="1"/>
  <c r="N118" i="54" s="1"/>
  <c r="C118" i="54"/>
  <c r="N67" i="54" a="1"/>
  <c r="N67" i="54" s="1"/>
  <c r="N120" i="54" s="1"/>
  <c r="C120" i="54"/>
  <c r="N99" i="54" a="1"/>
  <c r="N99" i="54" s="1"/>
  <c r="N127" i="54" s="1"/>
  <c r="C127" i="54"/>
  <c r="N109" i="54" a="1"/>
  <c r="N109" i="54" s="1"/>
  <c r="N130" i="54" s="1"/>
  <c r="C130" i="54"/>
  <c r="F123" i="53"/>
  <c r="N62" i="53" a="1"/>
  <c r="N62" i="53" s="1"/>
  <c r="N119" i="53" s="1"/>
  <c r="C119" i="53"/>
  <c r="Q102" i="53" a="1"/>
  <c r="Q102" i="53" s="1"/>
  <c r="O109" i="53" a="1"/>
  <c r="O109" i="53" s="1"/>
  <c r="D130" i="53"/>
  <c r="O74" i="53" a="1"/>
  <c r="O74" i="53" s="1"/>
  <c r="O121" i="53" s="1"/>
  <c r="D121" i="53"/>
  <c r="O29" i="54" a="1"/>
  <c r="O29" i="54" s="1"/>
  <c r="O117" i="54" s="1"/>
  <c r="D117" i="54"/>
  <c r="O43" i="54" a="1"/>
  <c r="O43" i="54" s="1"/>
  <c r="O118" i="54" s="1"/>
  <c r="D118" i="54"/>
  <c r="O67" i="54" a="1"/>
  <c r="O67" i="54" s="1"/>
  <c r="O120" i="54" s="1"/>
  <c r="D120" i="54"/>
  <c r="O99" i="54" a="1"/>
  <c r="O99" i="54" s="1"/>
  <c r="O127" i="54" s="1"/>
  <c r="D127" i="54"/>
  <c r="O109" i="54" a="1"/>
  <c r="O109" i="54" s="1"/>
  <c r="O130" i="54" s="1"/>
  <c r="D130" i="54"/>
  <c r="Q29" i="53" a="1"/>
  <c r="Q29" i="53" s="1"/>
  <c r="Q117" i="53" s="1"/>
  <c r="F117" i="53"/>
  <c r="O62" i="53" a="1"/>
  <c r="O62" i="53" s="1"/>
  <c r="O119" i="53" s="1"/>
  <c r="D119" i="53"/>
  <c r="N109" i="53" a="1"/>
  <c r="N109" i="53" s="1"/>
  <c r="N130" i="53" s="1"/>
  <c r="C130" i="53"/>
  <c r="N74" i="53" a="1"/>
  <c r="N74" i="53" s="1"/>
  <c r="N121" i="53" s="1"/>
  <c r="C121" i="53"/>
  <c r="P29" i="54" a="1"/>
  <c r="P29" i="54" s="1"/>
  <c r="P117" i="54" s="1"/>
  <c r="E117" i="54"/>
  <c r="P43" i="54" a="1"/>
  <c r="P43" i="54" s="1"/>
  <c r="P118" i="54" s="1"/>
  <c r="E118" i="54"/>
  <c r="P67" i="54" a="1"/>
  <c r="P67" i="54" s="1"/>
  <c r="P120" i="54" s="1"/>
  <c r="E120" i="54"/>
  <c r="P99" i="54" a="1"/>
  <c r="P99" i="54" s="1"/>
  <c r="P127" i="54" s="1"/>
  <c r="E127" i="54"/>
  <c r="P109" i="54" a="1"/>
  <c r="P109" i="54" s="1"/>
  <c r="P130" i="54" s="1"/>
  <c r="E130" i="54"/>
  <c r="P62" i="53" a="1"/>
  <c r="P62" i="53" s="1"/>
  <c r="P119" i="53" s="1"/>
  <c r="E119" i="53"/>
  <c r="Q80" i="53" a="1"/>
  <c r="Q80" i="53" s="1"/>
  <c r="F122" i="53"/>
  <c r="M80" i="53" a="1"/>
  <c r="M80" i="53" s="1"/>
  <c r="M122" i="53" s="1"/>
  <c r="B122" i="53"/>
  <c r="Q29" i="54" a="1"/>
  <c r="Q29" i="54" s="1"/>
  <c r="Q117" i="54" s="1"/>
  <c r="F117" i="54"/>
  <c r="Q43" i="54" a="1"/>
  <c r="Q43" i="54" s="1"/>
  <c r="Q118" i="54" s="1"/>
  <c r="F118" i="54"/>
  <c r="Q67" i="54" a="1"/>
  <c r="Q67" i="54" s="1"/>
  <c r="Q120" i="54" s="1"/>
  <c r="F120" i="54"/>
  <c r="Q99" i="54" a="1"/>
  <c r="Q99" i="54" s="1"/>
  <c r="Q127" i="54" s="1"/>
  <c r="F127" i="54"/>
  <c r="Q109" i="54" a="1"/>
  <c r="Q109" i="54" s="1"/>
  <c r="Q130" i="54" s="1"/>
  <c r="F130" i="54"/>
  <c r="Q62" i="53" a="1"/>
  <c r="Q62" i="53" s="1"/>
  <c r="F119" i="53"/>
  <c r="P80" i="53" a="1"/>
  <c r="P80" i="53" s="1"/>
  <c r="P122" i="53" s="1"/>
  <c r="E122" i="53"/>
  <c r="M62" i="54" a="1"/>
  <c r="M62" i="54" s="1"/>
  <c r="M119" i="54" s="1"/>
  <c r="B119" i="54"/>
  <c r="M74" i="54" a="1"/>
  <c r="M74" i="54" s="1"/>
  <c r="M121" i="54" s="1"/>
  <c r="B121" i="54"/>
  <c r="M80" i="54" a="1"/>
  <c r="M80" i="54" s="1"/>
  <c r="M122" i="54" s="1"/>
  <c r="B122" i="54"/>
  <c r="B131" i="54"/>
  <c r="M94" i="54" a="1"/>
  <c r="M94" i="54" s="1"/>
  <c r="M126" i="54" s="1"/>
  <c r="B126" i="54"/>
  <c r="M102" i="54" a="1"/>
  <c r="M102" i="54" s="1"/>
  <c r="M128" i="54" s="1"/>
  <c r="B128" i="54"/>
  <c r="M106" i="54" a="1"/>
  <c r="M106" i="54" s="1"/>
  <c r="M129" i="54" s="1"/>
  <c r="B129" i="54"/>
  <c r="B123" i="53"/>
  <c r="M29" i="53" a="1"/>
  <c r="M29" i="53" s="1"/>
  <c r="M117" i="53" s="1"/>
  <c r="B117" i="53"/>
  <c r="M43" i="53" a="1"/>
  <c r="M43" i="53" s="1"/>
  <c r="M118" i="53" s="1"/>
  <c r="B118" i="53"/>
  <c r="O80" i="53" a="1"/>
  <c r="O80" i="53" s="1"/>
  <c r="O122" i="53" s="1"/>
  <c r="D122" i="53"/>
  <c r="N62" i="54" a="1"/>
  <c r="N62" i="54" s="1"/>
  <c r="N119" i="54" s="1"/>
  <c r="C119" i="54"/>
  <c r="N74" i="54" a="1"/>
  <c r="N74" i="54" s="1"/>
  <c r="N121" i="54" s="1"/>
  <c r="C121" i="54"/>
  <c r="N80" i="54" a="1"/>
  <c r="N80" i="54" s="1"/>
  <c r="N122" i="54" s="1"/>
  <c r="C122" i="54"/>
  <c r="C131" i="54"/>
  <c r="N94" i="54" a="1"/>
  <c r="N94" i="54" s="1"/>
  <c r="N126" i="54" s="1"/>
  <c r="C126" i="54"/>
  <c r="N102" i="54" a="1"/>
  <c r="N102" i="54" s="1"/>
  <c r="N128" i="54" s="1"/>
  <c r="C128" i="54"/>
  <c r="N106" i="54" a="1"/>
  <c r="N106" i="54" s="1"/>
  <c r="N129" i="54" s="1"/>
  <c r="C129" i="54"/>
  <c r="P109" i="53" a="1"/>
  <c r="P109" i="53" s="1"/>
  <c r="P130" i="53" s="1"/>
  <c r="E130" i="53"/>
  <c r="P74" i="53" a="1"/>
  <c r="P74" i="53" s="1"/>
  <c r="P121" i="53" s="1"/>
  <c r="E121" i="53"/>
  <c r="C123" i="53"/>
  <c r="N29" i="53" a="1"/>
  <c r="N29" i="53" s="1"/>
  <c r="N117" i="53" s="1"/>
  <c r="C117" i="53"/>
  <c r="N43" i="53" a="1"/>
  <c r="N43" i="53" s="1"/>
  <c r="N118" i="53" s="1"/>
  <c r="C118" i="53"/>
  <c r="F120" i="53"/>
  <c r="N80" i="53" a="1"/>
  <c r="N80" i="53" s="1"/>
  <c r="N122" i="53" s="1"/>
  <c r="C122" i="53"/>
  <c r="M67" i="53" a="1"/>
  <c r="M67" i="53" s="1"/>
  <c r="M120" i="53" s="1"/>
  <c r="B120" i="53"/>
  <c r="O62" i="54" a="1"/>
  <c r="O62" i="54" s="1"/>
  <c r="O119" i="54" s="1"/>
  <c r="D119" i="54"/>
  <c r="O74" i="54" a="1"/>
  <c r="O74" i="54" s="1"/>
  <c r="O121" i="54" s="1"/>
  <c r="D121" i="54"/>
  <c r="O80" i="54" a="1"/>
  <c r="O80" i="54" s="1"/>
  <c r="O122" i="54" s="1"/>
  <c r="D122" i="54"/>
  <c r="O94" i="54" a="1"/>
  <c r="O94" i="54" s="1"/>
  <c r="O126" i="54" s="1"/>
  <c r="D126" i="54"/>
  <c r="O102" i="54" a="1"/>
  <c r="O102" i="54" s="1"/>
  <c r="O128" i="54" s="1"/>
  <c r="D128" i="54"/>
  <c r="O106" i="54" a="1"/>
  <c r="O106" i="54" s="1"/>
  <c r="O129" i="54" s="1"/>
  <c r="D129" i="54"/>
  <c r="M62" i="53" a="1"/>
  <c r="M62" i="53" s="1"/>
  <c r="M119" i="53" s="1"/>
  <c r="B119" i="53"/>
  <c r="D123" i="53"/>
  <c r="O29" i="53" a="1"/>
  <c r="O29" i="53" s="1"/>
  <c r="O117" i="53" s="1"/>
  <c r="D117" i="53"/>
  <c r="O43" i="53" a="1"/>
  <c r="O43" i="53" s="1"/>
  <c r="O118" i="53" s="1"/>
  <c r="D118" i="53"/>
  <c r="P67" i="53" a="1"/>
  <c r="P67" i="53" s="1"/>
  <c r="P120" i="53" s="1"/>
  <c r="E120" i="53"/>
  <c r="P62" i="54" a="1"/>
  <c r="P62" i="54" s="1"/>
  <c r="P119" i="54" s="1"/>
  <c r="E119" i="54"/>
  <c r="P74" i="54" a="1"/>
  <c r="P74" i="54" s="1"/>
  <c r="P121" i="54" s="1"/>
  <c r="E121" i="54"/>
  <c r="P80" i="54" a="1"/>
  <c r="P80" i="54" s="1"/>
  <c r="P122" i="54" s="1"/>
  <c r="E122" i="54"/>
  <c r="E131" i="54"/>
  <c r="P94" i="54" a="1"/>
  <c r="P94" i="54" s="1"/>
  <c r="P126" i="54" s="1"/>
  <c r="E126" i="54"/>
  <c r="P102" i="54" a="1"/>
  <c r="P102" i="54" s="1"/>
  <c r="P128" i="54" s="1"/>
  <c r="E128" i="54"/>
  <c r="P106" i="54" a="1"/>
  <c r="P106" i="54" s="1"/>
  <c r="P129" i="54" s="1"/>
  <c r="E129" i="54"/>
  <c r="Q43" i="53" a="1"/>
  <c r="Q43" i="53" s="1"/>
  <c r="Q118" i="53" s="1"/>
  <c r="F118" i="53"/>
  <c r="C123" i="54"/>
  <c r="E123" i="53"/>
  <c r="P29" i="53" a="1"/>
  <c r="P29" i="53" s="1"/>
  <c r="P117" i="53" s="1"/>
  <c r="E117" i="53"/>
  <c r="P43" i="53" a="1"/>
  <c r="P43" i="53" s="1"/>
  <c r="P118" i="53" s="1"/>
  <c r="E118" i="53"/>
  <c r="O67" i="53" a="1"/>
  <c r="O67" i="53" s="1"/>
  <c r="O120" i="53" s="1"/>
  <c r="D120" i="53"/>
  <c r="Q62" i="54" a="1"/>
  <c r="Q62" i="54" s="1"/>
  <c r="Q119" i="54" s="1"/>
  <c r="F119" i="54"/>
  <c r="Q74" i="54" a="1"/>
  <c r="Q74" i="54" s="1"/>
  <c r="Q121" i="54" s="1"/>
  <c r="F121" i="54"/>
  <c r="Q80" i="54" a="1"/>
  <c r="Q80" i="54" s="1"/>
  <c r="Q122" i="54" s="1"/>
  <c r="F122" i="54"/>
  <c r="F131" i="54"/>
  <c r="Q94" i="54" a="1"/>
  <c r="Q94" i="54" s="1"/>
  <c r="Q126" i="54" s="1"/>
  <c r="F126" i="54"/>
  <c r="Q102" i="54" a="1"/>
  <c r="Q102" i="54" s="1"/>
  <c r="Q128" i="54" s="1"/>
  <c r="F128" i="54"/>
  <c r="Q106" i="54" a="1"/>
  <c r="Q106" i="54" s="1"/>
  <c r="Q129" i="54" s="1"/>
  <c r="F129" i="54"/>
  <c r="O130" i="53"/>
  <c r="F112" i="53"/>
  <c r="M376" i="28" s="1"/>
  <c r="O11" i="54" a="1"/>
  <c r="O11" i="54" s="1"/>
  <c r="D112" i="54"/>
  <c r="K375" i="28" s="1"/>
  <c r="P11" i="54" a="1"/>
  <c r="P11" i="54" s="1"/>
  <c r="E112" i="54"/>
  <c r="L375" i="28" s="1"/>
  <c r="Q11" i="54" a="1"/>
  <c r="Q11" i="54" s="1"/>
  <c r="F112" i="54"/>
  <c r="M375" i="28" s="1"/>
  <c r="N11" i="54" a="1"/>
  <c r="N11" i="54" s="1"/>
  <c r="C112" i="54"/>
  <c r="J375" i="28" s="1"/>
  <c r="M90" i="54" a="1"/>
  <c r="M90" i="54" s="1"/>
  <c r="B113" i="54"/>
  <c r="M11" i="54" a="1"/>
  <c r="M11" i="54" s="1"/>
  <c r="B112" i="54"/>
  <c r="I375" i="28" s="1"/>
  <c r="B112" i="53"/>
  <c r="I376" i="28" s="1"/>
  <c r="N90" i="54" a="1"/>
  <c r="N90" i="54" s="1"/>
  <c r="C113" i="54"/>
  <c r="C112" i="53"/>
  <c r="J376" i="28" s="1"/>
  <c r="O90" i="54" a="1"/>
  <c r="O90" i="54" s="1"/>
  <c r="D113" i="54"/>
  <c r="B108" i="52"/>
  <c r="D112" i="53"/>
  <c r="K376" i="28" s="1"/>
  <c r="P90" i="54" a="1"/>
  <c r="P90" i="54" s="1"/>
  <c r="E113" i="54"/>
  <c r="E112" i="53"/>
  <c r="L376" i="28" s="1"/>
  <c r="Q90" i="54" a="1"/>
  <c r="Q90" i="54" s="1"/>
  <c r="F113" i="54"/>
  <c r="O90" i="53" a="1"/>
  <c r="O90" i="53" s="1"/>
  <c r="P90" i="53" a="1"/>
  <c r="P90" i="53" s="1"/>
  <c r="Q90" i="53" a="1"/>
  <c r="Q90" i="53" s="1"/>
  <c r="N90" i="53" a="1"/>
  <c r="N90" i="53" s="1"/>
  <c r="Q45" i="52" a="1"/>
  <c r="Q45" i="52" s="1"/>
  <c r="Q102" i="52" s="1"/>
  <c r="F102" i="52"/>
  <c r="O45" i="52" a="1"/>
  <c r="O45" i="52" s="1"/>
  <c r="O102" i="52" s="1"/>
  <c r="D102" i="52"/>
  <c r="O51" i="52" a="1"/>
  <c r="O51" i="52" s="1"/>
  <c r="O103" i="52" s="1"/>
  <c r="D103" i="52"/>
  <c r="O70" i="52" a="1"/>
  <c r="O70" i="52" s="1"/>
  <c r="O106" i="52" s="1"/>
  <c r="D106" i="52"/>
  <c r="O76" i="52" a="1"/>
  <c r="O76" i="52" s="1"/>
  <c r="O107" i="52" s="1"/>
  <c r="D107" i="52"/>
  <c r="O86" i="52" a="1"/>
  <c r="O86" i="52" s="1"/>
  <c r="O112" i="52" s="1"/>
  <c r="D112" i="52"/>
  <c r="Q96" i="52" a="1"/>
  <c r="Q96" i="52" s="1"/>
  <c r="Q115" i="52" s="1"/>
  <c r="F115" i="52"/>
  <c r="O96" i="52" a="1"/>
  <c r="O96" i="52" s="1"/>
  <c r="O115" i="52" s="1"/>
  <c r="D115" i="52"/>
  <c r="M96" i="52" a="1"/>
  <c r="M96" i="52" s="1"/>
  <c r="M115" i="52" s="1"/>
  <c r="B115" i="52"/>
  <c r="P70" i="52" a="1"/>
  <c r="P70" i="52" s="1"/>
  <c r="P106" i="52" s="1"/>
  <c r="E106" i="52"/>
  <c r="Q51" i="52" a="1"/>
  <c r="Q51" i="52" s="1"/>
  <c r="Q103" i="52" s="1"/>
  <c r="F103" i="52"/>
  <c r="M62" i="52" a="1"/>
  <c r="M62" i="52" s="1"/>
  <c r="M104" i="52" s="1"/>
  <c r="B104" i="52"/>
  <c r="M64" i="52" a="1"/>
  <c r="M64" i="52" s="1"/>
  <c r="M105" i="52" s="1"/>
  <c r="B105" i="52"/>
  <c r="M79" i="52" a="1"/>
  <c r="M79" i="52" s="1"/>
  <c r="B116" i="52"/>
  <c r="M81" i="52" a="1"/>
  <c r="M81" i="52" s="1"/>
  <c r="M111" i="52" s="1"/>
  <c r="B111" i="52"/>
  <c r="M89" i="52" a="1"/>
  <c r="M89" i="52" s="1"/>
  <c r="M113" i="52" s="1"/>
  <c r="B113" i="52"/>
  <c r="Q93" i="52" a="1"/>
  <c r="Q93" i="52" s="1"/>
  <c r="Q114" i="52" s="1"/>
  <c r="F114" i="52"/>
  <c r="O93" i="52" a="1"/>
  <c r="O93" i="52" s="1"/>
  <c r="O114" i="52" s="1"/>
  <c r="D114" i="52"/>
  <c r="M93" i="52" a="1"/>
  <c r="M93" i="52" s="1"/>
  <c r="M114" i="52" s="1"/>
  <c r="B114" i="52"/>
  <c r="P51" i="52" a="1"/>
  <c r="P51" i="52" s="1"/>
  <c r="P103" i="52" s="1"/>
  <c r="E103" i="52"/>
  <c r="Q76" i="52" a="1"/>
  <c r="Q76" i="52" s="1"/>
  <c r="Q107" i="52" s="1"/>
  <c r="F107" i="52"/>
  <c r="N62" i="52" a="1"/>
  <c r="N62" i="52" s="1"/>
  <c r="N104" i="52" s="1"/>
  <c r="C104" i="52"/>
  <c r="N64" i="52" a="1"/>
  <c r="N64" i="52" s="1"/>
  <c r="N105" i="52" s="1"/>
  <c r="C105" i="52"/>
  <c r="N79" i="52" a="1"/>
  <c r="N79" i="52" s="1"/>
  <c r="C116" i="52"/>
  <c r="N81" i="52" a="1"/>
  <c r="N81" i="52" s="1"/>
  <c r="N111" i="52" s="1"/>
  <c r="C111" i="52"/>
  <c r="N89" i="52" a="1"/>
  <c r="N89" i="52" s="1"/>
  <c r="N113" i="52" s="1"/>
  <c r="C113" i="52"/>
  <c r="P45" i="52" a="1"/>
  <c r="P45" i="52" s="1"/>
  <c r="P102" i="52" s="1"/>
  <c r="E102" i="52"/>
  <c r="P86" i="52" a="1"/>
  <c r="P86" i="52" s="1"/>
  <c r="P112" i="52" s="1"/>
  <c r="E112" i="52"/>
  <c r="Q70" i="52" a="1"/>
  <c r="Q70" i="52" s="1"/>
  <c r="F106" i="52"/>
  <c r="O62" i="52" a="1"/>
  <c r="O62" i="52" s="1"/>
  <c r="O104" i="52" s="1"/>
  <c r="D104" i="52"/>
  <c r="O64" i="52" a="1"/>
  <c r="O64" i="52" s="1"/>
  <c r="O105" i="52" s="1"/>
  <c r="D105" i="52"/>
  <c r="O79" i="52" a="1"/>
  <c r="O79" i="52" s="1"/>
  <c r="D116" i="52"/>
  <c r="O81" i="52" a="1"/>
  <c r="O81" i="52" s="1"/>
  <c r="O111" i="52" s="1"/>
  <c r="D111" i="52"/>
  <c r="O89" i="52" a="1"/>
  <c r="O89" i="52" s="1"/>
  <c r="O113" i="52" s="1"/>
  <c r="D113" i="52"/>
  <c r="P96" i="52" a="1"/>
  <c r="P96" i="52" s="1"/>
  <c r="P115" i="52" s="1"/>
  <c r="E115" i="52"/>
  <c r="N96" i="52" a="1"/>
  <c r="N96" i="52" s="1"/>
  <c r="N115" i="52" s="1"/>
  <c r="C115" i="52"/>
  <c r="E98" i="52"/>
  <c r="E108" i="52"/>
  <c r="P62" i="52" a="1"/>
  <c r="P62" i="52" s="1"/>
  <c r="P104" i="52" s="1"/>
  <c r="E104" i="52"/>
  <c r="P64" i="52" a="1"/>
  <c r="P64" i="52" s="1"/>
  <c r="P105" i="52" s="1"/>
  <c r="E105" i="52"/>
  <c r="P79" i="52" a="1"/>
  <c r="P79" i="52" s="1"/>
  <c r="E116" i="52"/>
  <c r="P81" i="52" a="1"/>
  <c r="P81" i="52" s="1"/>
  <c r="P111" i="52" s="1"/>
  <c r="E111" i="52"/>
  <c r="P89" i="52" a="1"/>
  <c r="P89" i="52" s="1"/>
  <c r="P113" i="52" s="1"/>
  <c r="E113" i="52"/>
  <c r="Q86" i="52" a="1"/>
  <c r="Q86" i="52" s="1"/>
  <c r="Q112" i="52" s="1"/>
  <c r="F112" i="52"/>
  <c r="C98" i="52"/>
  <c r="C108" i="52"/>
  <c r="Q62" i="52" a="1"/>
  <c r="Q62" i="52" s="1"/>
  <c r="Q104" i="52" s="1"/>
  <c r="F104" i="52"/>
  <c r="Q64" i="52" a="1"/>
  <c r="Q64" i="52" s="1"/>
  <c r="F105" i="52"/>
  <c r="Q79" i="52" a="1"/>
  <c r="Q79" i="52" s="1"/>
  <c r="F116" i="52"/>
  <c r="Q81" i="52" a="1"/>
  <c r="Q81" i="52" s="1"/>
  <c r="Q111" i="52" s="1"/>
  <c r="F111" i="52"/>
  <c r="Q89" i="52" a="1"/>
  <c r="Q89" i="52" s="1"/>
  <c r="Q113" i="52" s="1"/>
  <c r="F113" i="52"/>
  <c r="N94" i="52" a="1"/>
  <c r="N94" i="52" s="1"/>
  <c r="N114" i="52" s="1"/>
  <c r="C114" i="52"/>
  <c r="P76" i="52" a="1"/>
  <c r="P76" i="52" s="1"/>
  <c r="P107" i="52" s="1"/>
  <c r="E107" i="52"/>
  <c r="M45" i="52" a="1"/>
  <c r="M45" i="52" s="1"/>
  <c r="M102" i="52" s="1"/>
  <c r="B102" i="52"/>
  <c r="M51" i="52" a="1"/>
  <c r="M51" i="52" s="1"/>
  <c r="M103" i="52" s="1"/>
  <c r="B103" i="52"/>
  <c r="M70" i="52" a="1"/>
  <c r="M70" i="52" s="1"/>
  <c r="M106" i="52" s="1"/>
  <c r="B106" i="52"/>
  <c r="M76" i="52" a="1"/>
  <c r="M76" i="52" s="1"/>
  <c r="M107" i="52" s="1"/>
  <c r="B107" i="52"/>
  <c r="M86" i="52" a="1"/>
  <c r="M86" i="52" s="1"/>
  <c r="M112" i="52" s="1"/>
  <c r="B112" i="52"/>
  <c r="P93" i="52" a="1"/>
  <c r="P93" i="52" s="1"/>
  <c r="P114" i="52" s="1"/>
  <c r="E114" i="52"/>
  <c r="D98" i="52"/>
  <c r="D108" i="52"/>
  <c r="F108" i="52"/>
  <c r="F98" i="52"/>
  <c r="N45" i="52" a="1"/>
  <c r="N45" i="52" s="1"/>
  <c r="N102" i="52" s="1"/>
  <c r="C102" i="52"/>
  <c r="N51" i="52" a="1"/>
  <c r="N51" i="52" s="1"/>
  <c r="N103" i="52" s="1"/>
  <c r="C103" i="52"/>
  <c r="N70" i="52" a="1"/>
  <c r="N70" i="52" s="1"/>
  <c r="N106" i="52" s="1"/>
  <c r="C106" i="52"/>
  <c r="N76" i="52" a="1"/>
  <c r="N76" i="52" s="1"/>
  <c r="N107" i="52" s="1"/>
  <c r="C107" i="52"/>
  <c r="N86" i="52" a="1"/>
  <c r="N86" i="52" s="1"/>
  <c r="N112" i="52" s="1"/>
  <c r="C112" i="52"/>
  <c r="M11" i="53" a="1"/>
  <c r="M11" i="53" s="1"/>
  <c r="Q11" i="53" a="1"/>
  <c r="Q11" i="53" s="1"/>
  <c r="N11" i="53" a="1"/>
  <c r="N11" i="53" s="1"/>
  <c r="O11" i="53" a="1"/>
  <c r="O11" i="53" s="1"/>
  <c r="P11" i="53" a="1"/>
  <c r="P11" i="53" s="1"/>
  <c r="M90" i="53" a="1"/>
  <c r="M90" i="53" s="1"/>
  <c r="R77" i="54" a="1"/>
  <c r="R77" i="54" s="1"/>
  <c r="R103" i="53" a="1"/>
  <c r="R103" i="53" s="1"/>
  <c r="Q103" i="53" a="1"/>
  <c r="Q103" i="53" s="1"/>
  <c r="R83" i="53" a="1"/>
  <c r="R83" i="53" s="1"/>
  <c r="Q83" i="53" a="1"/>
  <c r="Q83" i="53" s="1"/>
  <c r="Q109" i="53" a="1"/>
  <c r="Q109" i="53" s="1"/>
  <c r="Q130" i="53" s="1"/>
  <c r="R79" i="53" a="1"/>
  <c r="R79" i="53" s="1"/>
  <c r="Q79" i="53" a="1"/>
  <c r="Q79" i="53" s="1"/>
  <c r="R69" i="53" a="1"/>
  <c r="R69" i="53" s="1"/>
  <c r="Q69" i="53" a="1"/>
  <c r="Q69" i="53" s="1"/>
  <c r="R71" i="53" a="1"/>
  <c r="R71" i="53" s="1"/>
  <c r="Q71" i="53" a="1"/>
  <c r="Q71" i="53" s="1"/>
  <c r="R70" i="53" a="1"/>
  <c r="R70" i="53" s="1"/>
  <c r="Q70" i="53" a="1"/>
  <c r="Q70" i="53" s="1"/>
  <c r="R78" i="53" a="1"/>
  <c r="R78" i="53" s="1"/>
  <c r="Q78" i="53" a="1"/>
  <c r="Q78" i="53" s="1"/>
  <c r="R107" i="53" a="1"/>
  <c r="R107" i="53" s="1"/>
  <c r="Q107" i="53" a="1"/>
  <c r="Q107" i="53" s="1"/>
  <c r="Q67" i="53" a="1"/>
  <c r="Q67" i="53" s="1"/>
  <c r="R75" i="53" a="1"/>
  <c r="R75" i="53" s="1"/>
  <c r="Q75" i="53" a="1"/>
  <c r="Q75" i="53" s="1"/>
  <c r="R65" i="53" a="1"/>
  <c r="R65" i="53" s="1"/>
  <c r="Q65" i="53" a="1"/>
  <c r="Q65" i="53" s="1"/>
  <c r="M12" i="54" a="1"/>
  <c r="M12" i="54" s="1"/>
  <c r="M42" i="52" a="1"/>
  <c r="M42" i="52" s="1"/>
  <c r="Q42" i="52" a="1"/>
  <c r="Q42" i="52" s="1"/>
  <c r="R66" i="52" a="1"/>
  <c r="R66" i="52" s="1"/>
  <c r="Q66" i="52" a="1"/>
  <c r="Q66" i="52" s="1"/>
  <c r="P42" i="52" a="1"/>
  <c r="P42" i="52" s="1"/>
  <c r="N42" i="52" a="1"/>
  <c r="N42" i="52" s="1"/>
  <c r="O42" i="52" a="1"/>
  <c r="O42" i="52" s="1"/>
  <c r="Q72" i="52" a="1"/>
  <c r="Q72" i="52" s="1"/>
  <c r="E36" i="59"/>
  <c r="P36" i="59" s="1"/>
  <c r="E99" i="57"/>
  <c r="P189" i="57" s="1"/>
  <c r="D81" i="57"/>
  <c r="Z81" i="57" s="1" a="1"/>
  <c r="Z81" i="57" s="1"/>
  <c r="C103" i="57"/>
  <c r="B101" i="57"/>
  <c r="F36" i="59"/>
  <c r="Q36" i="59" s="1"/>
  <c r="E30" i="57"/>
  <c r="AA30" i="57" s="1" a="1"/>
  <c r="AA30" i="57" s="1"/>
  <c r="B37" i="57"/>
  <c r="X37" i="57" s="1" a="1"/>
  <c r="X37" i="57" s="1"/>
  <c r="E38" i="57"/>
  <c r="AA38" i="57" s="1" a="1"/>
  <c r="AA38" i="57" s="1"/>
  <c r="F41" i="57"/>
  <c r="AB41" i="57" s="1" a="1"/>
  <c r="AB41" i="57" s="1"/>
  <c r="E106" i="57"/>
  <c r="AA106" i="57" s="1" a="1"/>
  <c r="AA106" i="57" s="1"/>
  <c r="D104" i="57"/>
  <c r="D80" i="57"/>
  <c r="Z80" i="57" s="1" a="1"/>
  <c r="Z80" i="57" s="1"/>
  <c r="B100" i="57"/>
  <c r="F74" i="57"/>
  <c r="AB74" i="57" s="1" a="1"/>
  <c r="AB74" i="57" s="1"/>
  <c r="B26" i="57"/>
  <c r="C29" i="57"/>
  <c r="Y29" i="57" s="1" a="1"/>
  <c r="Y29" i="57" s="1"/>
  <c r="F30" i="57"/>
  <c r="AB30" i="57" s="1" a="1"/>
  <c r="AB30" i="57" s="1"/>
  <c r="F38" i="57"/>
  <c r="AB38" i="57" s="1" a="1"/>
  <c r="AB38" i="57" s="1"/>
  <c r="B45" i="57"/>
  <c r="X45" i="57" s="1" a="1"/>
  <c r="X45" i="57" s="1"/>
  <c r="F76" i="57"/>
  <c r="AB76" i="57" s="1" a="1"/>
  <c r="AB76" i="57" s="1"/>
  <c r="F99" i="57"/>
  <c r="F58" i="57"/>
  <c r="AB58" i="57" s="1" a="1"/>
  <c r="AB58" i="57" s="1"/>
  <c r="B31" i="57"/>
  <c r="X31" i="57" s="1" a="1"/>
  <c r="X31" i="57" s="1"/>
  <c r="B39" i="57"/>
  <c r="X39" i="57" s="1" a="1"/>
  <c r="X39" i="57" s="1"/>
  <c r="E40" i="57"/>
  <c r="AA40" i="57" s="1" a="1"/>
  <c r="AA40" i="57" s="1"/>
  <c r="E70" i="57"/>
  <c r="AA70" i="57" s="1" a="1"/>
  <c r="AA70" i="57" s="1"/>
  <c r="F106" i="57"/>
  <c r="AB106" i="57" s="1" a="1"/>
  <c r="AB106" i="57" s="1"/>
  <c r="E104" i="57"/>
  <c r="E88" i="57"/>
  <c r="E80" i="57"/>
  <c r="AA80" i="57" s="1" a="1"/>
  <c r="AA80" i="57" s="1"/>
  <c r="C100" i="57"/>
  <c r="B106" i="57"/>
  <c r="X106" i="57" s="1" a="1"/>
  <c r="X106" i="57" s="1"/>
  <c r="F36" i="57"/>
  <c r="AB36" i="57" s="1" a="1"/>
  <c r="AB36" i="57" s="1"/>
  <c r="F40" i="57"/>
  <c r="AB40" i="57" s="1" a="1"/>
  <c r="AB40" i="57" s="1"/>
  <c r="F43" i="57"/>
  <c r="AB43" i="57" s="1" a="1"/>
  <c r="AB43" i="57" s="1"/>
  <c r="E48" i="57"/>
  <c r="AA48" i="57" s="1" a="1"/>
  <c r="AA48" i="57" s="1"/>
  <c r="B58" i="57"/>
  <c r="X58" i="57" s="1" a="1"/>
  <c r="X58" i="57" s="1"/>
  <c r="F70" i="57"/>
  <c r="AB70" i="57" s="1" a="1"/>
  <c r="AB70" i="57" s="1"/>
  <c r="R86" i="53" a="1"/>
  <c r="R86" i="53" s="1"/>
  <c r="F81" i="57"/>
  <c r="AB81" i="57" s="1" a="1"/>
  <c r="AB81" i="57" s="1"/>
  <c r="E103" i="57"/>
  <c r="D101" i="57"/>
  <c r="R41" i="54" a="1"/>
  <c r="R41" i="54" s="1"/>
  <c r="R73" i="54" a="1"/>
  <c r="R73" i="54" s="1"/>
  <c r="C37" i="59"/>
  <c r="N37" i="59" s="1"/>
  <c r="B46" i="59"/>
  <c r="M46" i="59" s="1"/>
  <c r="D34" i="57"/>
  <c r="Z34" i="57" s="1" a="1"/>
  <c r="Z34" i="57" s="1"/>
  <c r="C46" i="59"/>
  <c r="N46" i="59" s="1"/>
  <c r="F37" i="57"/>
  <c r="AB37" i="57" s="1" a="1"/>
  <c r="AB37" i="57" s="1"/>
  <c r="B41" i="57"/>
  <c r="X41" i="57" s="1" a="1"/>
  <c r="X41" i="57" s="1"/>
  <c r="E42" i="57"/>
  <c r="AA42" i="57" s="1" a="1"/>
  <c r="AA42" i="57" s="1"/>
  <c r="F48" i="57"/>
  <c r="AB48" i="57" s="1" a="1"/>
  <c r="AB48" i="57" s="1"/>
  <c r="E56" i="57"/>
  <c r="AA56" i="57" s="1" a="1"/>
  <c r="AA56" i="57" s="1"/>
  <c r="R82" i="53" a="1"/>
  <c r="R82" i="53" s="1"/>
  <c r="R89" i="53" a="1"/>
  <c r="R89" i="53" s="1"/>
  <c r="F88" i="57"/>
  <c r="F80" i="57"/>
  <c r="AB80" i="57" s="1" a="1"/>
  <c r="AB80" i="57" s="1"/>
  <c r="E102" i="57"/>
  <c r="D100" i="57"/>
  <c r="C106" i="57"/>
  <c r="Y106" i="57" s="1" a="1"/>
  <c r="Y106" i="57" s="1"/>
  <c r="B104" i="57"/>
  <c r="B88" i="57"/>
  <c r="B80" i="57"/>
  <c r="X80" i="57" s="1" a="1"/>
  <c r="X80" i="57" s="1"/>
  <c r="D37" i="59"/>
  <c r="O37" i="59" s="1"/>
  <c r="D46" i="59"/>
  <c r="O46" i="59" s="1"/>
  <c r="D28" i="57"/>
  <c r="Z28" i="57" s="1" a="1"/>
  <c r="Z28" i="57" s="1"/>
  <c r="F42" i="57"/>
  <c r="AB42" i="57" s="1" a="1"/>
  <c r="AB42" i="57" s="1"/>
  <c r="E50" i="57"/>
  <c r="AA50" i="57" s="1" a="1"/>
  <c r="AA50" i="57" s="1"/>
  <c r="F56" i="57"/>
  <c r="AB56" i="57" s="1" a="1"/>
  <c r="AB56" i="57" s="1"/>
  <c r="F103" i="57"/>
  <c r="F28" i="57"/>
  <c r="AB28" i="57" s="1" a="1"/>
  <c r="AB28" i="57" s="1"/>
  <c r="B43" i="57"/>
  <c r="X43" i="57" s="1" a="1"/>
  <c r="X43" i="57" s="1"/>
  <c r="B37" i="59"/>
  <c r="M37" i="59" s="1"/>
  <c r="B36" i="59"/>
  <c r="M36" i="59" s="1"/>
  <c r="E37" i="59"/>
  <c r="P37" i="59" s="1"/>
  <c r="C36" i="59"/>
  <c r="N36" i="59" s="1"/>
  <c r="F34" i="57"/>
  <c r="AB34" i="57" s="1" a="1"/>
  <c r="AB34" i="57" s="1"/>
  <c r="D36" i="59"/>
  <c r="O36" i="59" s="1"/>
  <c r="E46" i="59"/>
  <c r="P46" i="59" s="1"/>
  <c r="F31" i="57"/>
  <c r="AB31" i="57" s="1" a="1"/>
  <c r="AB31" i="57" s="1"/>
  <c r="B35" i="57"/>
  <c r="X35" i="57" s="1" a="1"/>
  <c r="X35" i="57" s="1"/>
  <c r="E36" i="57"/>
  <c r="AA36" i="57" s="1" a="1"/>
  <c r="AA36" i="57" s="1"/>
  <c r="F39" i="57"/>
  <c r="AB39" i="57" s="1" a="1"/>
  <c r="AB39" i="57" s="1"/>
  <c r="F50" i="57"/>
  <c r="AB50" i="57" s="1" a="1"/>
  <c r="AB50" i="57" s="1"/>
  <c r="F53" i="57"/>
  <c r="AB53" i="57" s="1" a="1"/>
  <c r="AB53" i="57" s="1"/>
  <c r="E74" i="57"/>
  <c r="AA74" i="57" s="1" a="1"/>
  <c r="AA74" i="57" s="1"/>
  <c r="F102" i="57"/>
  <c r="E100" i="57"/>
  <c r="C104" i="57"/>
  <c r="B102" i="57"/>
  <c r="B98" i="52"/>
  <c r="R94" i="52" a="1"/>
  <c r="R94" i="52" s="1"/>
  <c r="F61" i="57"/>
  <c r="F46" i="59"/>
  <c r="Q46" i="59" s="1"/>
  <c r="F52" i="57"/>
  <c r="F37" i="59"/>
  <c r="Q37" i="59" s="1"/>
  <c r="R97" i="52" a="1"/>
  <c r="R97" i="52" s="1"/>
  <c r="R95" i="52" a="1"/>
  <c r="R95" i="52" s="1"/>
  <c r="F136" i="53"/>
  <c r="B122" i="52"/>
  <c r="B123" i="52" s="1"/>
  <c r="F127" i="52"/>
  <c r="R92" i="52" a="1"/>
  <c r="R92" i="52" s="1"/>
  <c r="C136" i="53"/>
  <c r="R20" i="53" a="1"/>
  <c r="R20" i="53" s="1"/>
  <c r="C141" i="54"/>
  <c r="C127" i="52"/>
  <c r="R32" i="53" a="1"/>
  <c r="R32" i="53" s="1"/>
  <c r="D136" i="53"/>
  <c r="B136" i="54"/>
  <c r="B137" i="54" s="1"/>
  <c r="B111" i="54"/>
  <c r="D141" i="54"/>
  <c r="E136" i="53"/>
  <c r="C136" i="54"/>
  <c r="C111" i="54"/>
  <c r="E141" i="54"/>
  <c r="D136" i="54"/>
  <c r="D111" i="54"/>
  <c r="F141" i="54"/>
  <c r="E136" i="54"/>
  <c r="E111" i="54"/>
  <c r="F105" i="57"/>
  <c r="F136" i="54"/>
  <c r="F111" i="54"/>
  <c r="D105" i="57"/>
  <c r="C122" i="52"/>
  <c r="B127" i="52"/>
  <c r="F122" i="52"/>
  <c r="D127" i="52"/>
  <c r="E127" i="52"/>
  <c r="B136" i="53"/>
  <c r="B137" i="53" s="1"/>
  <c r="B105" i="57"/>
  <c r="B141" i="54"/>
  <c r="B142" i="54" s="1"/>
  <c r="D122" i="52"/>
  <c r="E122" i="52"/>
  <c r="R91" i="53" a="1"/>
  <c r="R91" i="53" s="1"/>
  <c r="R85" i="53" a="1"/>
  <c r="R85" i="53" s="1"/>
  <c r="R24" i="53" a="1"/>
  <c r="R24" i="53" s="1"/>
  <c r="R34" i="53" a="1"/>
  <c r="R34" i="53" s="1"/>
  <c r="R110" i="53" a="1"/>
  <c r="R110" i="53" s="1"/>
  <c r="S83" i="53" a="1"/>
  <c r="S83" i="53" s="1"/>
  <c r="R36" i="53" a="1"/>
  <c r="R36" i="53" s="1"/>
  <c r="R77" i="53" a="1"/>
  <c r="R77" i="53" s="1"/>
  <c r="R66" i="53" a="1"/>
  <c r="R66" i="53" s="1"/>
  <c r="R22" i="53" a="1"/>
  <c r="R22" i="53" s="1"/>
  <c r="R45" i="53" a="1"/>
  <c r="R45" i="53" s="1"/>
  <c r="R81" i="53" a="1"/>
  <c r="R81" i="53" s="1"/>
  <c r="R73" i="53" a="1"/>
  <c r="R73" i="53" s="1"/>
  <c r="S103" i="53" a="1"/>
  <c r="S103" i="53" s="1"/>
  <c r="S79" i="53" a="1"/>
  <c r="S79" i="53" s="1"/>
  <c r="S71" i="53" a="1"/>
  <c r="S71" i="53" s="1"/>
  <c r="S69" i="53" a="1"/>
  <c r="S69" i="53" s="1"/>
  <c r="D31" i="57"/>
  <c r="D35" i="57"/>
  <c r="D41" i="57"/>
  <c r="D53" i="57"/>
  <c r="C54" i="57"/>
  <c r="B55" i="57"/>
  <c r="X55" i="57" s="1" a="1"/>
  <c r="X55" i="57" s="1"/>
  <c r="E57" i="57"/>
  <c r="D58" i="57"/>
  <c r="B59" i="57"/>
  <c r="X59" i="57" s="1" a="1"/>
  <c r="X59" i="57" s="1"/>
  <c r="C62" i="57"/>
  <c r="C69" i="57"/>
  <c r="B70" i="57"/>
  <c r="X70" i="57" s="1" a="1"/>
  <c r="X70" i="57" s="1"/>
  <c r="B74" i="57"/>
  <c r="X74" i="57" s="1" a="1"/>
  <c r="X74" i="57" s="1"/>
  <c r="F75" i="57"/>
  <c r="E76" i="57"/>
  <c r="D99" i="57"/>
  <c r="O189" i="57" s="1"/>
  <c r="C102" i="57"/>
  <c r="N192" i="57" s="1"/>
  <c r="R31" i="54" a="1"/>
  <c r="R31" i="54" s="1"/>
  <c r="R71" i="54" a="1"/>
  <c r="R71" i="54" s="1"/>
  <c r="D61" i="57"/>
  <c r="D29" i="57"/>
  <c r="B30" i="57"/>
  <c r="X30" i="57" s="1" a="1"/>
  <c r="X30" i="57" s="1"/>
  <c r="D37" i="57"/>
  <c r="D43" i="57"/>
  <c r="D45" i="57"/>
  <c r="E101" i="57"/>
  <c r="P191" i="57" s="1"/>
  <c r="E51" i="57"/>
  <c r="D52" i="57"/>
  <c r="B61" i="57"/>
  <c r="X61" i="57" s="1" a="1"/>
  <c r="X61" i="57" s="1"/>
  <c r="D26" i="57"/>
  <c r="C27" i="57"/>
  <c r="B28" i="57"/>
  <c r="X28" i="57" s="1" a="1"/>
  <c r="X28" i="57" s="1"/>
  <c r="F29" i="57"/>
  <c r="D30" i="57"/>
  <c r="C33" i="57"/>
  <c r="B34" i="57"/>
  <c r="X34" i="57" s="1" a="1"/>
  <c r="X34" i="57" s="1"/>
  <c r="F35" i="57"/>
  <c r="B36" i="57"/>
  <c r="X36" i="57" s="1" a="1"/>
  <c r="X36" i="57" s="1"/>
  <c r="B38" i="57"/>
  <c r="X38" i="57" s="1" a="1"/>
  <c r="X38" i="57" s="1"/>
  <c r="B40" i="57"/>
  <c r="X40" i="57" s="1" a="1"/>
  <c r="X40" i="57" s="1"/>
  <c r="B42" i="57"/>
  <c r="X42" i="57" s="1" a="1"/>
  <c r="X42" i="57" s="1"/>
  <c r="F45" i="57"/>
  <c r="B48" i="57"/>
  <c r="X48" i="57" s="1" a="1"/>
  <c r="X48" i="57" s="1"/>
  <c r="B50" i="57"/>
  <c r="X50" i="57" s="1" a="1"/>
  <c r="X50" i="57" s="1"/>
  <c r="E54" i="57"/>
  <c r="D55" i="57"/>
  <c r="C56" i="57"/>
  <c r="D59" i="57"/>
  <c r="E62" i="57"/>
  <c r="E69" i="57"/>
  <c r="D70" i="57"/>
  <c r="D74" i="57"/>
  <c r="B75" i="57"/>
  <c r="X75" i="57" s="1" a="1"/>
  <c r="X75" i="57" s="1"/>
  <c r="C78" i="57"/>
  <c r="S65" i="53" a="1"/>
  <c r="S65" i="53" s="1"/>
  <c r="R87" i="53" a="1"/>
  <c r="R87" i="53" s="1"/>
  <c r="F101" i="57"/>
  <c r="Q191" i="57" s="1"/>
  <c r="E105" i="57"/>
  <c r="E81" i="57"/>
  <c r="D103" i="57"/>
  <c r="O193" i="57" s="1"/>
  <c r="C101" i="57"/>
  <c r="N191" i="57" s="1"/>
  <c r="B99" i="57"/>
  <c r="B81" i="57"/>
  <c r="X81" i="57" s="1" a="1"/>
  <c r="X81" i="57" s="1"/>
  <c r="R27" i="54" a="1"/>
  <c r="R27" i="54" s="1"/>
  <c r="R79" i="54" a="1"/>
  <c r="R79" i="54" s="1"/>
  <c r="B29" i="57"/>
  <c r="X29" i="57" s="1" a="1"/>
  <c r="X29" i="57" s="1"/>
  <c r="D36" i="57"/>
  <c r="C51" i="57"/>
  <c r="B52" i="57"/>
  <c r="X52" i="57" s="1" a="1"/>
  <c r="X52" i="57" s="1"/>
  <c r="D39" i="57"/>
  <c r="R35" i="54" a="1"/>
  <c r="R35" i="54" s="1"/>
  <c r="R63" i="54" a="1"/>
  <c r="R63" i="54" s="1"/>
  <c r="D51" i="57"/>
  <c r="C52" i="57"/>
  <c r="C26" i="57"/>
  <c r="B27" i="57"/>
  <c r="E29" i="57"/>
  <c r="C30" i="57"/>
  <c r="R16" i="53" a="1"/>
  <c r="R16" i="53" s="1"/>
  <c r="B33" i="57"/>
  <c r="X33" i="57" s="1" a="1"/>
  <c r="X33" i="57" s="1"/>
  <c r="E35" i="57"/>
  <c r="E37" i="57"/>
  <c r="E39" i="57"/>
  <c r="E41" i="57"/>
  <c r="E43" i="57"/>
  <c r="E45" i="57"/>
  <c r="E53" i="57"/>
  <c r="D54" i="57"/>
  <c r="C55" i="57"/>
  <c r="B56" i="57"/>
  <c r="X56" i="57" s="1" a="1"/>
  <c r="X56" i="57" s="1"/>
  <c r="F57" i="57"/>
  <c r="E58" i="57"/>
  <c r="C59" i="57"/>
  <c r="D62" i="57"/>
  <c r="D69" i="57"/>
  <c r="C70" i="57"/>
  <c r="C74" i="57"/>
  <c r="B78" i="57"/>
  <c r="X78" i="57" s="1" a="1"/>
  <c r="X78" i="57" s="1"/>
  <c r="G88" i="57"/>
  <c r="R178" i="57" s="1"/>
  <c r="F51" i="57"/>
  <c r="E52" i="57"/>
  <c r="C61" i="57"/>
  <c r="E26" i="57"/>
  <c r="D27" i="57"/>
  <c r="C28" i="57"/>
  <c r="C31" i="57"/>
  <c r="D33" i="57"/>
  <c r="C34" i="57"/>
  <c r="C36" i="57"/>
  <c r="C38" i="57"/>
  <c r="C40" i="57"/>
  <c r="C42" i="57"/>
  <c r="C48" i="57"/>
  <c r="C50" i="57"/>
  <c r="F54" i="57"/>
  <c r="E55" i="57"/>
  <c r="D56" i="57"/>
  <c r="B57" i="57"/>
  <c r="X57" i="57" s="1" a="1"/>
  <c r="X57" i="57" s="1"/>
  <c r="E59" i="57"/>
  <c r="F62" i="57"/>
  <c r="F69" i="57"/>
  <c r="C75" i="57"/>
  <c r="B76" i="57"/>
  <c r="X76" i="57" s="1" a="1"/>
  <c r="X76" i="57" s="1"/>
  <c r="D78" i="57"/>
  <c r="F100" i="57"/>
  <c r="Q190" i="57" s="1"/>
  <c r="D102" i="57"/>
  <c r="O192" i="57" s="1"/>
  <c r="C88" i="57"/>
  <c r="N178" i="57" s="1"/>
  <c r="R23" i="54" a="1"/>
  <c r="R23" i="54" s="1"/>
  <c r="F26" i="57"/>
  <c r="E27" i="57"/>
  <c r="D40" i="57"/>
  <c r="D48" i="57"/>
  <c r="D50" i="57"/>
  <c r="B53" i="57"/>
  <c r="F55" i="57"/>
  <c r="C57" i="57"/>
  <c r="F59" i="57"/>
  <c r="D75" i="57"/>
  <c r="C76" i="57"/>
  <c r="E78" i="57"/>
  <c r="S73" i="53" a="1"/>
  <c r="S73" i="53" s="1"/>
  <c r="C105" i="57"/>
  <c r="C99" i="57"/>
  <c r="N189" i="57" s="1"/>
  <c r="C81" i="57"/>
  <c r="B103" i="57"/>
  <c r="R19" i="54" a="1"/>
  <c r="R19" i="54" s="1"/>
  <c r="R69" i="54" a="1"/>
  <c r="R69" i="54" s="1"/>
  <c r="E33" i="57"/>
  <c r="D38" i="57"/>
  <c r="D42" i="57"/>
  <c r="B51" i="57"/>
  <c r="X51" i="57" s="1" a="1"/>
  <c r="X51" i="57" s="1"/>
  <c r="E61" i="57"/>
  <c r="F27" i="57"/>
  <c r="E28" i="57"/>
  <c r="E31" i="57"/>
  <c r="F33" i="57"/>
  <c r="E34" i="57"/>
  <c r="C35" i="57"/>
  <c r="C37" i="57"/>
  <c r="C39" i="57"/>
  <c r="C41" i="57"/>
  <c r="C43" i="57"/>
  <c r="C45" i="57"/>
  <c r="C53" i="57"/>
  <c r="B54" i="57"/>
  <c r="X54" i="57" s="1" a="1"/>
  <c r="X54" i="57" s="1"/>
  <c r="D57" i="57"/>
  <c r="C58" i="57"/>
  <c r="B62" i="57"/>
  <c r="X62" i="57" s="1" a="1"/>
  <c r="X62" i="57" s="1"/>
  <c r="B69" i="57"/>
  <c r="X69" i="57" s="1" a="1"/>
  <c r="X69" i="57" s="1"/>
  <c r="E75" i="57"/>
  <c r="D76" i="57"/>
  <c r="F78" i="57"/>
  <c r="F104" i="57"/>
  <c r="Q194" i="57" s="1"/>
  <c r="D106" i="57"/>
  <c r="D88" i="57"/>
  <c r="O178" i="57" s="1"/>
  <c r="C80" i="57"/>
  <c r="R15" i="54" a="1"/>
  <c r="R15" i="54" s="1"/>
  <c r="R37" i="54" a="1"/>
  <c r="R37" i="54" s="1"/>
  <c r="R13" i="54" a="1"/>
  <c r="R13" i="54" s="1"/>
  <c r="R17" i="54" a="1"/>
  <c r="R17" i="54" s="1"/>
  <c r="R21" i="54" a="1"/>
  <c r="R21" i="54" s="1"/>
  <c r="R25" i="54" a="1"/>
  <c r="R25" i="54" s="1"/>
  <c r="R45" i="54" a="1"/>
  <c r="R45" i="54" s="1"/>
  <c r="R49" i="54" a="1"/>
  <c r="R49" i="54" s="1"/>
  <c r="R53" i="54" a="1"/>
  <c r="R53" i="54" s="1"/>
  <c r="R57" i="54" a="1"/>
  <c r="R57" i="54" s="1"/>
  <c r="R61" i="54" a="1"/>
  <c r="R61" i="54" s="1"/>
  <c r="R82" i="54" a="1"/>
  <c r="R82" i="54" s="1"/>
  <c r="R36" i="54" a="1"/>
  <c r="R36" i="54" s="1"/>
  <c r="R47" i="54" a="1"/>
  <c r="R47" i="54" s="1"/>
  <c r="R51" i="54" a="1"/>
  <c r="R51" i="54" s="1"/>
  <c r="R55" i="54" a="1"/>
  <c r="R55" i="54" s="1"/>
  <c r="R59" i="54" a="1"/>
  <c r="R59" i="54" s="1"/>
  <c r="R103" i="54" a="1"/>
  <c r="R103" i="54" s="1"/>
  <c r="R38" i="54" a="1"/>
  <c r="R38" i="54" s="1"/>
  <c r="R46" i="54" a="1"/>
  <c r="R46" i="54" s="1"/>
  <c r="R50" i="54" a="1"/>
  <c r="R50" i="54" s="1"/>
  <c r="R54" i="54" a="1"/>
  <c r="R54" i="54" s="1"/>
  <c r="R58" i="54" a="1"/>
  <c r="R58" i="54" s="1"/>
  <c r="R64" i="54" a="1"/>
  <c r="R64" i="54" s="1"/>
  <c r="R44" i="54" a="1"/>
  <c r="R44" i="54" s="1"/>
  <c r="R48" i="54" a="1"/>
  <c r="R48" i="54" s="1"/>
  <c r="R52" i="54" a="1"/>
  <c r="R52" i="54" s="1"/>
  <c r="R56" i="54" a="1"/>
  <c r="R56" i="54" s="1"/>
  <c r="R60" i="54" a="1"/>
  <c r="R60" i="54" s="1"/>
  <c r="R42" i="54" a="1"/>
  <c r="R42" i="54" s="1"/>
  <c r="R12" i="54" a="1"/>
  <c r="R12" i="54" s="1"/>
  <c r="R14" i="54" a="1"/>
  <c r="R14" i="54" s="1"/>
  <c r="R16" i="54" a="1"/>
  <c r="R16" i="54" s="1"/>
  <c r="R18" i="54" a="1"/>
  <c r="R18" i="54" s="1"/>
  <c r="R24" i="54" a="1"/>
  <c r="R24" i="54" s="1"/>
  <c r="R26" i="54" a="1"/>
  <c r="R26" i="54" s="1"/>
  <c r="R32" i="54" a="1"/>
  <c r="R32" i="54" s="1"/>
  <c r="R34" i="54" a="1"/>
  <c r="R34" i="54" s="1"/>
  <c r="R40" i="54" a="1"/>
  <c r="R40" i="54" s="1"/>
  <c r="S71" i="54" a="1"/>
  <c r="S71" i="54" s="1"/>
  <c r="S77" i="54" a="1"/>
  <c r="S77" i="54" s="1"/>
  <c r="R84" i="54" a="1"/>
  <c r="R84" i="54" s="1"/>
  <c r="R107" i="54" a="1"/>
  <c r="R107" i="54" s="1"/>
  <c r="S73" i="54" a="1"/>
  <c r="S73" i="54" s="1"/>
  <c r="R68" i="54" a="1"/>
  <c r="R68" i="54" s="1"/>
  <c r="R70" i="54" a="1"/>
  <c r="R70" i="54" s="1"/>
  <c r="R72" i="54" a="1"/>
  <c r="R72" i="54" s="1"/>
  <c r="R76" i="54" a="1"/>
  <c r="R76" i="54" s="1"/>
  <c r="R78" i="54" a="1"/>
  <c r="R78" i="54" s="1"/>
  <c r="R81" i="54" a="1"/>
  <c r="R81" i="54" s="1"/>
  <c r="R97" i="54" a="1"/>
  <c r="R97" i="54" s="1"/>
  <c r="R101" i="54" a="1"/>
  <c r="R101" i="54" s="1"/>
  <c r="R105" i="54" a="1"/>
  <c r="R105" i="54" s="1"/>
  <c r="R88" i="54" a="1"/>
  <c r="R88" i="54" s="1"/>
  <c r="R92" i="54" a="1"/>
  <c r="R92" i="54" s="1"/>
  <c r="R83" i="54" a="1"/>
  <c r="R83" i="54" s="1"/>
  <c r="R85" i="54" a="1"/>
  <c r="R85" i="54" s="1"/>
  <c r="R87" i="54" a="1"/>
  <c r="R87" i="54" s="1"/>
  <c r="R89" i="54" a="1"/>
  <c r="R89" i="54" s="1"/>
  <c r="R91" i="54" a="1"/>
  <c r="R91" i="54" s="1"/>
  <c r="R93" i="54" a="1"/>
  <c r="R93" i="54" s="1"/>
  <c r="R95" i="54" a="1"/>
  <c r="R95" i="54" s="1"/>
  <c r="R96" i="54" a="1"/>
  <c r="R96" i="54" s="1"/>
  <c r="R98" i="54" a="1"/>
  <c r="R98" i="54" s="1"/>
  <c r="R100" i="54" a="1"/>
  <c r="R100" i="54" s="1"/>
  <c r="R104" i="54" a="1"/>
  <c r="R104" i="54" s="1"/>
  <c r="R108" i="54" a="1"/>
  <c r="R108" i="54" s="1"/>
  <c r="R110" i="54" a="1"/>
  <c r="R110" i="54" s="1"/>
  <c r="R108" i="53" a="1"/>
  <c r="R108" i="53" s="1"/>
  <c r="R68" i="53" a="1"/>
  <c r="R68" i="53" s="1"/>
  <c r="R12" i="53" a="1"/>
  <c r="R12" i="53" s="1"/>
  <c r="S16" i="53" a="1"/>
  <c r="S16" i="53" s="1"/>
  <c r="R18" i="53" a="1"/>
  <c r="R18" i="53" s="1"/>
  <c r="S20" i="53" a="1"/>
  <c r="S20" i="53" s="1"/>
  <c r="S24" i="53" a="1"/>
  <c r="S24" i="53" s="1"/>
  <c r="S36" i="53" a="1"/>
  <c r="S36" i="53" s="1"/>
  <c r="R39" i="53" a="1"/>
  <c r="R39" i="53" s="1"/>
  <c r="R64" i="53" a="1"/>
  <c r="R64" i="53" s="1"/>
  <c r="R41" i="53" a="1"/>
  <c r="R41" i="53" s="1"/>
  <c r="S66" i="53" a="1"/>
  <c r="S66" i="53" s="1"/>
  <c r="R88" i="53" a="1"/>
  <c r="R88" i="53" s="1"/>
  <c r="R76" i="53" a="1"/>
  <c r="R76" i="53" s="1"/>
  <c r="R37" i="53" a="1"/>
  <c r="R37" i="53" s="1"/>
  <c r="S82" i="53" a="1"/>
  <c r="S82" i="53" s="1"/>
  <c r="R104" i="53" a="1"/>
  <c r="R104" i="53" s="1"/>
  <c r="R84" i="53" a="1"/>
  <c r="R84" i="53" s="1"/>
  <c r="R72" i="53" a="1"/>
  <c r="R72" i="53" s="1"/>
  <c r="R14" i="53" a="1"/>
  <c r="R14" i="53" s="1"/>
  <c r="S22" i="53" a="1"/>
  <c r="S22" i="53" s="1"/>
  <c r="S86" i="53" a="1"/>
  <c r="S86" i="53" s="1"/>
  <c r="S70" i="53" a="1"/>
  <c r="S70" i="53" s="1"/>
  <c r="S78" i="53" a="1"/>
  <c r="S78" i="53" s="1"/>
  <c r="R17" i="53" a="1"/>
  <c r="R17" i="53" s="1"/>
  <c r="R15" i="53" a="1"/>
  <c r="R15" i="53" s="1"/>
  <c r="R19" i="53" a="1"/>
  <c r="R19" i="53" s="1"/>
  <c r="R13" i="53" a="1"/>
  <c r="R13" i="53" s="1"/>
  <c r="R21" i="53" a="1"/>
  <c r="R21" i="53" s="1"/>
  <c r="R23" i="53" a="1"/>
  <c r="R23" i="53" s="1"/>
  <c r="R25" i="53" a="1"/>
  <c r="R25" i="53" s="1"/>
  <c r="R27" i="53" a="1"/>
  <c r="R27" i="53" s="1"/>
  <c r="R31" i="53" a="1"/>
  <c r="R31" i="53" s="1"/>
  <c r="R33" i="53" a="1"/>
  <c r="R33" i="53" s="1"/>
  <c r="R35" i="53" a="1"/>
  <c r="R35" i="53" s="1"/>
  <c r="R49" i="53" a="1"/>
  <c r="R49" i="53" s="1"/>
  <c r="R38" i="53" a="1"/>
  <c r="R38" i="53" s="1"/>
  <c r="R51" i="53" a="1"/>
  <c r="R51" i="53" s="1"/>
  <c r="R53" i="53" a="1"/>
  <c r="R53" i="53" s="1"/>
  <c r="R55" i="53" a="1"/>
  <c r="R55" i="53" s="1"/>
  <c r="R57" i="53" a="1"/>
  <c r="R57" i="53" s="1"/>
  <c r="R59" i="53" a="1"/>
  <c r="R59" i="53" s="1"/>
  <c r="R61" i="53" a="1"/>
  <c r="R61" i="53" s="1"/>
  <c r="R40" i="53" a="1"/>
  <c r="R40" i="53" s="1"/>
  <c r="R42" i="53" a="1"/>
  <c r="R42" i="53" s="1"/>
  <c r="R44" i="53" a="1"/>
  <c r="R44" i="53" s="1"/>
  <c r="R46" i="53" a="1"/>
  <c r="R46" i="53" s="1"/>
  <c r="R48" i="53" a="1"/>
  <c r="R48" i="53" s="1"/>
  <c r="R63" i="53" a="1"/>
  <c r="R63" i="53" s="1"/>
  <c r="R50" i="53" a="1"/>
  <c r="R50" i="53" s="1"/>
  <c r="R52" i="53" a="1"/>
  <c r="R52" i="53" s="1"/>
  <c r="R54" i="53" a="1"/>
  <c r="R54" i="53" s="1"/>
  <c r="R56" i="53" a="1"/>
  <c r="R56" i="53" s="1"/>
  <c r="R58" i="53" a="1"/>
  <c r="R58" i="53" s="1"/>
  <c r="R88" i="52" a="1"/>
  <c r="R88" i="52" s="1"/>
  <c r="R50" i="52" a="1"/>
  <c r="R50" i="52" s="1"/>
  <c r="R54" i="52" a="1"/>
  <c r="R54" i="52" s="1"/>
  <c r="R58" i="52" a="1"/>
  <c r="R58" i="52" s="1"/>
  <c r="R67" i="52" a="1"/>
  <c r="R67" i="52" s="1"/>
  <c r="R48" i="52" a="1"/>
  <c r="R48" i="52" s="1"/>
  <c r="R46" i="52" a="1"/>
  <c r="R46" i="52" s="1"/>
  <c r="R47" i="52" a="1"/>
  <c r="R47" i="52" s="1"/>
  <c r="R52" i="52" a="1"/>
  <c r="R52" i="52" s="1"/>
  <c r="R56" i="52" a="1"/>
  <c r="R56" i="52" s="1"/>
  <c r="R60" i="52" a="1"/>
  <c r="R60" i="52" s="1"/>
  <c r="R75" i="52" a="1"/>
  <c r="R75" i="52" s="1"/>
  <c r="R69" i="52" a="1"/>
  <c r="R69" i="52" s="1"/>
  <c r="R73" i="52" a="1"/>
  <c r="R73" i="52" s="1"/>
  <c r="R77" i="52" a="1"/>
  <c r="R77" i="52" s="1"/>
  <c r="R49" i="52" a="1"/>
  <c r="R49" i="52" s="1"/>
  <c r="R53" i="52" a="1"/>
  <c r="R53" i="52" s="1"/>
  <c r="R55" i="52" a="1"/>
  <c r="R55" i="52" s="1"/>
  <c r="R57" i="52" a="1"/>
  <c r="R57" i="52" s="1"/>
  <c r="R59" i="52" a="1"/>
  <c r="R59" i="52" s="1"/>
  <c r="R61" i="52" a="1"/>
  <c r="R61" i="52" s="1"/>
  <c r="R63" i="52" a="1"/>
  <c r="R63" i="52" s="1"/>
  <c r="R82" i="52" a="1"/>
  <c r="R82" i="52" s="1"/>
  <c r="R87" i="52" a="1"/>
  <c r="R87" i="52" s="1"/>
  <c r="R91" i="52" a="1"/>
  <c r="R91" i="52" s="1"/>
  <c r="R80" i="52" a="1"/>
  <c r="R80" i="52" s="1"/>
  <c r="R85" i="52" a="1"/>
  <c r="R85" i="52" s="1"/>
  <c r="R68" i="52" a="1"/>
  <c r="R68" i="52" s="1"/>
  <c r="R74" i="52" a="1"/>
  <c r="R74" i="52" s="1"/>
  <c r="R78" i="52" a="1"/>
  <c r="R78" i="52" s="1"/>
  <c r="R84" i="52" a="1"/>
  <c r="R84" i="52" s="1"/>
  <c r="Q122" i="53" l="1"/>
  <c r="Q119" i="53"/>
  <c r="P111" i="54"/>
  <c r="N111" i="54"/>
  <c r="Q121" i="53"/>
  <c r="M113" i="54"/>
  <c r="M131" i="54"/>
  <c r="J285" i="28" s="1"/>
  <c r="R43" i="53" a="1"/>
  <c r="R43" i="53" s="1"/>
  <c r="G118" i="53"/>
  <c r="R80" i="53" a="1"/>
  <c r="R80" i="53" s="1"/>
  <c r="R122" i="53" s="1"/>
  <c r="G122" i="53"/>
  <c r="S74" i="53" a="1"/>
  <c r="S74" i="53" s="1"/>
  <c r="R102" i="54" a="1"/>
  <c r="R102" i="54" s="1"/>
  <c r="R128" i="54" s="1"/>
  <c r="G128" i="54"/>
  <c r="R99" i="54" a="1"/>
  <c r="R99" i="54" s="1"/>
  <c r="R127" i="54" s="1"/>
  <c r="G127" i="54"/>
  <c r="R74" i="54" a="1"/>
  <c r="R74" i="54" s="1"/>
  <c r="G121" i="54"/>
  <c r="R62" i="53" a="1"/>
  <c r="R62" i="53" s="1"/>
  <c r="R119" i="53" s="1"/>
  <c r="G119" i="53"/>
  <c r="R109" i="54" a="1"/>
  <c r="R109" i="54" s="1"/>
  <c r="R130" i="54" s="1"/>
  <c r="G130" i="54"/>
  <c r="R106" i="54" a="1"/>
  <c r="R106" i="54" s="1"/>
  <c r="R129" i="54" s="1"/>
  <c r="G129" i="54"/>
  <c r="R102" i="53" a="1"/>
  <c r="R102" i="53" s="1"/>
  <c r="Q120" i="53"/>
  <c r="O113" i="54"/>
  <c r="O131" i="54"/>
  <c r="L285" i="28" s="1"/>
  <c r="N112" i="54"/>
  <c r="K268" i="28" s="1"/>
  <c r="N123" i="54"/>
  <c r="G120" i="53"/>
  <c r="G123" i="53"/>
  <c r="R62" i="54" a="1"/>
  <c r="R62" i="54" s="1"/>
  <c r="G119" i="54"/>
  <c r="Q123" i="54"/>
  <c r="R29" i="54" a="1"/>
  <c r="R29" i="54" s="1"/>
  <c r="G117" i="54"/>
  <c r="S109" i="53" a="1"/>
  <c r="S109" i="53" s="1"/>
  <c r="Q113" i="54"/>
  <c r="Q131" i="54"/>
  <c r="N285" i="28" s="1"/>
  <c r="N113" i="54"/>
  <c r="N131" i="54"/>
  <c r="K285" i="28" s="1"/>
  <c r="R29" i="53" a="1"/>
  <c r="R29" i="53" s="1"/>
  <c r="G117" i="53"/>
  <c r="R43" i="54" a="1"/>
  <c r="R43" i="54" s="1"/>
  <c r="R118" i="54" s="1"/>
  <c r="G118" i="54"/>
  <c r="P112" i="54"/>
  <c r="M268" i="28" s="1"/>
  <c r="P123" i="54"/>
  <c r="R109" i="53" a="1"/>
  <c r="R109" i="53" s="1"/>
  <c r="R130" i="53" s="1"/>
  <c r="G130" i="53"/>
  <c r="R94" i="54" a="1"/>
  <c r="R94" i="54" s="1"/>
  <c r="R126" i="54" s="1"/>
  <c r="G126" i="54"/>
  <c r="R80" i="54" a="1"/>
  <c r="R80" i="54" s="1"/>
  <c r="R122" i="54" s="1"/>
  <c r="G122" i="54"/>
  <c r="R74" i="53" a="1"/>
  <c r="R74" i="53" s="1"/>
  <c r="R121" i="53" s="1"/>
  <c r="G121" i="53"/>
  <c r="P113" i="54"/>
  <c r="P114" i="54" s="1"/>
  <c r="P131" i="54"/>
  <c r="M285" i="28" s="1"/>
  <c r="M123" i="54"/>
  <c r="O112" i="54"/>
  <c r="L268" i="28" s="1"/>
  <c r="O123" i="54"/>
  <c r="R67" i="54" a="1"/>
  <c r="R67" i="54" s="1"/>
  <c r="R120" i="54" s="1"/>
  <c r="G120" i="54"/>
  <c r="S102" i="53" a="1"/>
  <c r="S102" i="53" s="1"/>
  <c r="G131" i="54"/>
  <c r="G123" i="54"/>
  <c r="N112" i="53"/>
  <c r="K269" i="28" s="1"/>
  <c r="N123" i="53"/>
  <c r="Q123" i="53"/>
  <c r="P112" i="53"/>
  <c r="M269" i="28" s="1"/>
  <c r="P123" i="53"/>
  <c r="M112" i="53"/>
  <c r="J269" i="28" s="1"/>
  <c r="M123" i="53"/>
  <c r="O112" i="53"/>
  <c r="L269" i="28" s="1"/>
  <c r="O123" i="53"/>
  <c r="O111" i="54"/>
  <c r="M111" i="54"/>
  <c r="R90" i="54" a="1"/>
  <c r="R90" i="54" s="1"/>
  <c r="G113" i="54"/>
  <c r="S11" i="54" a="1"/>
  <c r="S11" i="54" s="1"/>
  <c r="B114" i="54"/>
  <c r="G112" i="53"/>
  <c r="N376" i="28" s="1"/>
  <c r="F114" i="54"/>
  <c r="C114" i="54"/>
  <c r="Q111" i="54"/>
  <c r="Q112" i="54"/>
  <c r="E114" i="54"/>
  <c r="D114" i="54"/>
  <c r="R11" i="54" a="1"/>
  <c r="R11" i="54" s="1"/>
  <c r="G112" i="54"/>
  <c r="N375" i="28" s="1"/>
  <c r="M112" i="54"/>
  <c r="P116" i="52"/>
  <c r="Q112" i="53"/>
  <c r="M98" i="52"/>
  <c r="M108" i="52"/>
  <c r="I419" i="28" s="1"/>
  <c r="R64" i="52" a="1"/>
  <c r="R64" i="52" s="1"/>
  <c r="R105" i="52" s="1"/>
  <c r="G105" i="52"/>
  <c r="Q106" i="52"/>
  <c r="N116" i="52"/>
  <c r="M116" i="52"/>
  <c r="R51" i="52" a="1"/>
  <c r="R51" i="52" s="1"/>
  <c r="R103" i="52" s="1"/>
  <c r="G103" i="52"/>
  <c r="G111" i="52"/>
  <c r="O108" i="52"/>
  <c r="K419" i="28" s="1"/>
  <c r="O98" i="52"/>
  <c r="R70" i="52" a="1"/>
  <c r="R70" i="52" s="1"/>
  <c r="G106" i="52"/>
  <c r="R62" i="52" a="1"/>
  <c r="R62" i="52" s="1"/>
  <c r="R104" i="52" s="1"/>
  <c r="G104" i="52"/>
  <c r="R89" i="52" a="1"/>
  <c r="R89" i="52" s="1"/>
  <c r="G113" i="52"/>
  <c r="R93" i="52" a="1"/>
  <c r="R93" i="52" s="1"/>
  <c r="R114" i="52" s="1"/>
  <c r="G114" i="52"/>
  <c r="N98" i="52"/>
  <c r="N108" i="52"/>
  <c r="J419" i="28" s="1"/>
  <c r="R86" i="52" a="1"/>
  <c r="R86" i="52" s="1"/>
  <c r="R112" i="52" s="1"/>
  <c r="G112" i="52"/>
  <c r="P108" i="52"/>
  <c r="L419" i="28" s="1"/>
  <c r="P98" i="52"/>
  <c r="R45" i="52" a="1"/>
  <c r="R45" i="52" s="1"/>
  <c r="R102" i="52" s="1"/>
  <c r="G102" i="52"/>
  <c r="G115" i="52"/>
  <c r="Q116" i="52"/>
  <c r="O116" i="52"/>
  <c r="S94" i="52" a="1"/>
  <c r="S94" i="52" s="1"/>
  <c r="R76" i="52" a="1"/>
  <c r="R76" i="52" s="1"/>
  <c r="R107" i="52" s="1"/>
  <c r="G107" i="52"/>
  <c r="R42" i="52" a="1"/>
  <c r="R42" i="52" s="1"/>
  <c r="G108" i="52"/>
  <c r="G98" i="52"/>
  <c r="G100" i="52" s="1"/>
  <c r="R79" i="52" a="1"/>
  <c r="R79" i="52" s="1"/>
  <c r="G116" i="52"/>
  <c r="Q108" i="52"/>
  <c r="M419" i="28" s="1"/>
  <c r="Q98" i="52"/>
  <c r="Q105" i="52"/>
  <c r="R11" i="53" a="1"/>
  <c r="R11" i="53" s="1"/>
  <c r="S75" i="53" a="1"/>
  <c r="S75" i="53" s="1"/>
  <c r="S107" i="53" a="1"/>
  <c r="S107" i="53" s="1"/>
  <c r="S92" i="52" a="1"/>
  <c r="S92" i="52" s="1"/>
  <c r="AA99" i="57" a="1"/>
  <c r="AA99" i="57" s="1"/>
  <c r="S27" i="54" a="1"/>
  <c r="S27" i="54" s="1"/>
  <c r="AB102" i="57" a="1"/>
  <c r="AB102" i="57" s="1"/>
  <c r="Q192" i="57"/>
  <c r="Z100" i="57" a="1"/>
  <c r="Z100" i="57" s="1"/>
  <c r="O190" i="57"/>
  <c r="AA103" i="57" a="1"/>
  <c r="AA103" i="57" s="1"/>
  <c r="P193" i="57"/>
  <c r="AA88" i="57" a="1"/>
  <c r="AA88" i="57" s="1"/>
  <c r="P178" i="57"/>
  <c r="X102" i="57" a="1"/>
  <c r="X102" i="57" s="1"/>
  <c r="M192" i="57"/>
  <c r="AB103" i="57" a="1"/>
  <c r="AB103" i="57" s="1"/>
  <c r="Q193" i="57"/>
  <c r="X88" i="57" a="1"/>
  <c r="X88" i="57" s="1"/>
  <c r="M178" i="57"/>
  <c r="AA102" i="57" a="1"/>
  <c r="AA102" i="57" s="1"/>
  <c r="P192" i="57"/>
  <c r="AA104" i="57" a="1"/>
  <c r="AA104" i="57" s="1"/>
  <c r="P194" i="57"/>
  <c r="AB99" i="57" a="1"/>
  <c r="AB99" i="57" s="1"/>
  <c r="Q189" i="57"/>
  <c r="X100" i="57" a="1"/>
  <c r="X100" i="57" s="1"/>
  <c r="M190" i="57"/>
  <c r="X103" i="57" a="1"/>
  <c r="X103" i="57" s="1"/>
  <c r="M193" i="57"/>
  <c r="Y104" i="57" a="1"/>
  <c r="Y104" i="57" s="1"/>
  <c r="N194" i="57"/>
  <c r="X104" i="57" a="1"/>
  <c r="X104" i="57" s="1"/>
  <c r="M194" i="57"/>
  <c r="Y100" i="57" a="1"/>
  <c r="Y100" i="57" s="1"/>
  <c r="N190" i="57"/>
  <c r="X101" i="57" a="1"/>
  <c r="X101" i="57" s="1"/>
  <c r="M191" i="57"/>
  <c r="X99" i="57" a="1"/>
  <c r="X99" i="57" s="1"/>
  <c r="M189" i="57"/>
  <c r="AA100" i="57" a="1"/>
  <c r="AA100" i="57" s="1"/>
  <c r="P190" i="57"/>
  <c r="AB88" i="57" a="1"/>
  <c r="AB88" i="57" s="1"/>
  <c r="Q178" i="57"/>
  <c r="Z101" i="57" a="1"/>
  <c r="Z101" i="57" s="1"/>
  <c r="O191" i="57"/>
  <c r="Z104" i="57" a="1"/>
  <c r="Z104" i="57" s="1"/>
  <c r="O194" i="57"/>
  <c r="Y103" i="57" a="1"/>
  <c r="Y103" i="57" s="1"/>
  <c r="N193" i="57"/>
  <c r="R90" i="53" a="1"/>
  <c r="R90" i="53" s="1"/>
  <c r="R26" i="53" a="1"/>
  <c r="R26" i="53" s="1"/>
  <c r="R67" i="53" a="1"/>
  <c r="R67" i="53" s="1"/>
  <c r="R120" i="53" s="1"/>
  <c r="S60" i="53" a="1"/>
  <c r="S60" i="53" s="1"/>
  <c r="R60" i="53" a="1"/>
  <c r="R60" i="53" s="1"/>
  <c r="S39" i="54" a="1"/>
  <c r="S39" i="54" s="1"/>
  <c r="R39" i="54" a="1"/>
  <c r="R39" i="54" s="1"/>
  <c r="S30" i="53" a="1"/>
  <c r="S30" i="53" s="1"/>
  <c r="R30" i="53" a="1"/>
  <c r="R30" i="53" s="1"/>
  <c r="G101" i="57"/>
  <c r="R86" i="54" a="1"/>
  <c r="R86" i="54" s="1"/>
  <c r="G35" i="57"/>
  <c r="AC35" i="57" s="1" a="1"/>
  <c r="AC35" i="57" s="1"/>
  <c r="R20" i="54" a="1"/>
  <c r="R20" i="54" s="1"/>
  <c r="S75" i="54" a="1"/>
  <c r="S75" i="54" s="1"/>
  <c r="R75" i="54" a="1"/>
  <c r="R75" i="54" s="1"/>
  <c r="S28" i="53" a="1"/>
  <c r="S28" i="53" s="1"/>
  <c r="R28" i="53" a="1"/>
  <c r="R28" i="53" s="1"/>
  <c r="S47" i="53" a="1"/>
  <c r="S47" i="53" s="1"/>
  <c r="R47" i="53" a="1"/>
  <c r="R47" i="53" s="1"/>
  <c r="G81" i="57"/>
  <c r="AC81" i="57" s="1" a="1"/>
  <c r="AC81" i="57" s="1"/>
  <c r="R66" i="54" a="1"/>
  <c r="R66" i="54" s="1"/>
  <c r="G37" i="57"/>
  <c r="AC37" i="57" s="1" a="1"/>
  <c r="AC37" i="57" s="1"/>
  <c r="R22" i="54" a="1"/>
  <c r="R22" i="54" s="1"/>
  <c r="T41" i="54" a="1"/>
  <c r="T41" i="54" s="1"/>
  <c r="S41" i="54" a="1"/>
  <c r="S41" i="54" s="1"/>
  <c r="S33" i="54" a="1"/>
  <c r="S33" i="54" s="1"/>
  <c r="R33" i="54" a="1"/>
  <c r="R33" i="54" s="1"/>
  <c r="G80" i="57"/>
  <c r="AC80" i="57" s="1" a="1"/>
  <c r="AC80" i="57" s="1"/>
  <c r="R65" i="54" a="1"/>
  <c r="R65" i="54" s="1"/>
  <c r="G45" i="57"/>
  <c r="AC45" i="57" s="1" a="1"/>
  <c r="AC45" i="57" s="1"/>
  <c r="R30" i="54" a="1"/>
  <c r="R30" i="54" s="1"/>
  <c r="G43" i="57"/>
  <c r="AC43" i="57" s="1" a="1"/>
  <c r="AC43" i="57" s="1"/>
  <c r="R28" i="54" a="1"/>
  <c r="R28" i="54" s="1"/>
  <c r="R71" i="52" a="1"/>
  <c r="R71" i="52" s="1"/>
  <c r="R81" i="52" a="1"/>
  <c r="R81" i="52" s="1"/>
  <c r="R96" i="52" a="1"/>
  <c r="R96" i="52" s="1"/>
  <c r="R115" i="52" s="1"/>
  <c r="S83" i="52" a="1"/>
  <c r="S83" i="52" s="1"/>
  <c r="R83" i="52" a="1"/>
  <c r="R83" i="52" s="1"/>
  <c r="R72" i="52" a="1"/>
  <c r="R72" i="52" s="1"/>
  <c r="R90" i="52" a="1"/>
  <c r="R90" i="52" s="1"/>
  <c r="X26" i="57" a="1"/>
  <c r="X26" i="57" s="1"/>
  <c r="S31" i="54" a="1"/>
  <c r="S31" i="54" s="1"/>
  <c r="S63" i="54" a="1"/>
  <c r="S63" i="54" s="1"/>
  <c r="G39" i="57"/>
  <c r="AC39" i="57" s="1" a="1"/>
  <c r="AC39" i="57" s="1"/>
  <c r="C137" i="53"/>
  <c r="D137" i="53" s="1"/>
  <c r="S23" i="54" a="1"/>
  <c r="S23" i="54" s="1"/>
  <c r="S32" i="53" a="1"/>
  <c r="S32" i="53" s="1"/>
  <c r="G41" i="57"/>
  <c r="AC41" i="57" s="1" a="1"/>
  <c r="AC41" i="57" s="1"/>
  <c r="G100" i="57"/>
  <c r="G106" i="57"/>
  <c r="AC106" i="57" s="1" a="1"/>
  <c r="AC106" i="57" s="1"/>
  <c r="S79" i="54" a="1"/>
  <c r="S79" i="54" s="1"/>
  <c r="S110" i="53" a="1"/>
  <c r="S110" i="53" s="1"/>
  <c r="F128" i="57"/>
  <c r="AA105" i="57" a="1"/>
  <c r="AA105" i="57" s="1"/>
  <c r="C142" i="54"/>
  <c r="D142" i="54" s="1"/>
  <c r="S37" i="54" a="1"/>
  <c r="S37" i="54" s="1"/>
  <c r="G75" i="57"/>
  <c r="AC75" i="57" s="1" a="1"/>
  <c r="AC75" i="57" s="1"/>
  <c r="S89" i="53" a="1"/>
  <c r="S89" i="53" s="1"/>
  <c r="S45" i="53" a="1"/>
  <c r="S45" i="53" s="1"/>
  <c r="G104" i="57"/>
  <c r="Y105" i="57" a="1"/>
  <c r="Y105" i="57" s="1"/>
  <c r="X105" i="57" a="1"/>
  <c r="X105" i="57" s="1"/>
  <c r="X128" i="57"/>
  <c r="AB128" i="57"/>
  <c r="D136" i="57"/>
  <c r="C130" i="57"/>
  <c r="N130" i="57" s="1"/>
  <c r="C136" i="57"/>
  <c r="E136" i="57"/>
  <c r="G28" i="57"/>
  <c r="AC28" i="57" s="1" a="1"/>
  <c r="AC28" i="57" s="1"/>
  <c r="G78" i="57"/>
  <c r="AC78" i="57" s="1" a="1"/>
  <c r="AC78" i="57" s="1"/>
  <c r="S19" i="54" a="1"/>
  <c r="S19" i="54" s="1"/>
  <c r="G50" i="57"/>
  <c r="AC50" i="57" s="1" a="1"/>
  <c r="AC50" i="57" s="1"/>
  <c r="G42" i="57"/>
  <c r="G46" i="59"/>
  <c r="R46" i="59" s="1"/>
  <c r="G38" i="57"/>
  <c r="AC38" i="57" s="1" a="1"/>
  <c r="AC38" i="57" s="1"/>
  <c r="G54" i="57"/>
  <c r="AC54" i="57" s="1" a="1"/>
  <c r="AC54" i="57" s="1"/>
  <c r="S12" i="53" a="1"/>
  <c r="S12" i="53" s="1"/>
  <c r="G57" i="57"/>
  <c r="AC57" i="57" s="1" a="1"/>
  <c r="AC57" i="57" s="1"/>
  <c r="G48" i="57"/>
  <c r="AC48" i="57" s="1" a="1"/>
  <c r="AC48" i="57" s="1"/>
  <c r="G37" i="59"/>
  <c r="R37" i="59" s="1"/>
  <c r="F130" i="57"/>
  <c r="G99" i="57"/>
  <c r="T60" i="53" a="1"/>
  <c r="T60" i="53" s="1"/>
  <c r="G36" i="57"/>
  <c r="AC36" i="57" s="1" a="1"/>
  <c r="AC36" i="57" s="1"/>
  <c r="C128" i="57"/>
  <c r="T22" i="53" a="1"/>
  <c r="T22" i="53" s="1"/>
  <c r="G56" i="57"/>
  <c r="AC56" i="57" s="1" a="1"/>
  <c r="AC56" i="57" s="1"/>
  <c r="G33" i="57"/>
  <c r="AC33" i="57" s="1" a="1"/>
  <c r="AC33" i="57" s="1"/>
  <c r="S91" i="53" a="1"/>
  <c r="S91" i="53" s="1"/>
  <c r="F136" i="57"/>
  <c r="AA26" i="57" a="1"/>
  <c r="AA26" i="57" s="1"/>
  <c r="E126" i="57"/>
  <c r="Z26" i="57" a="1"/>
  <c r="Z26" i="57" s="1"/>
  <c r="D126" i="57"/>
  <c r="D130" i="57"/>
  <c r="AA31" i="57" a="1"/>
  <c r="AA31" i="57" s="1"/>
  <c r="Y31" i="57" a="1"/>
  <c r="Y31" i="57" s="1"/>
  <c r="E130" i="57"/>
  <c r="Y26" i="57" a="1"/>
  <c r="Y26" i="57" s="1"/>
  <c r="C126" i="57"/>
  <c r="D128" i="57"/>
  <c r="AB26" i="57" a="1"/>
  <c r="AB26" i="57" s="1"/>
  <c r="F126" i="57"/>
  <c r="E128" i="57"/>
  <c r="Z31" i="57" a="1"/>
  <c r="Z31" i="57" s="1"/>
  <c r="X53" i="57" a="1"/>
  <c r="X53" i="57" s="1"/>
  <c r="X130" i="57" s="1"/>
  <c r="B130" i="57"/>
  <c r="X27" i="57" a="1"/>
  <c r="X27" i="57" s="1"/>
  <c r="B126" i="57"/>
  <c r="B128" i="57"/>
  <c r="B136" i="57"/>
  <c r="Z50" i="57" a="1"/>
  <c r="Z50" i="57" s="1"/>
  <c r="AA101" i="57" a="1"/>
  <c r="AA101" i="57" s="1"/>
  <c r="AA57" i="57" a="1"/>
  <c r="AA57" i="57" s="1"/>
  <c r="Z88" i="57" a="1"/>
  <c r="Z88" i="57" s="1"/>
  <c r="Y41" i="57" a="1"/>
  <c r="Y41" i="57" s="1"/>
  <c r="AB27" i="57" a="1"/>
  <c r="AB27" i="57" s="1"/>
  <c r="AA78" i="57" a="1"/>
  <c r="AA78" i="57" s="1"/>
  <c r="AA27" i="57" a="1"/>
  <c r="AA27" i="57" s="1"/>
  <c r="Y75" i="57" a="1"/>
  <c r="Y75" i="57" s="1"/>
  <c r="Y50" i="57" a="1"/>
  <c r="Y50" i="57" s="1"/>
  <c r="AC88" i="57" a="1"/>
  <c r="AC88" i="57" s="1"/>
  <c r="Y74" i="57" a="1"/>
  <c r="Y74" i="57" s="1"/>
  <c r="Y59" i="57" a="1"/>
  <c r="Y59" i="57" s="1"/>
  <c r="Y55" i="57" a="1"/>
  <c r="Y55" i="57" s="1"/>
  <c r="AA43" i="57" a="1"/>
  <c r="AA43" i="57" s="1"/>
  <c r="Y51" i="57" a="1"/>
  <c r="Y51" i="57" s="1"/>
  <c r="AA81" i="57" a="1"/>
  <c r="AA81" i="57" s="1"/>
  <c r="Z74" i="57" a="1"/>
  <c r="Z74" i="57" s="1"/>
  <c r="Z59" i="57" a="1"/>
  <c r="Z59" i="57" s="1"/>
  <c r="Y33" i="57" a="1"/>
  <c r="Y33" i="57" s="1"/>
  <c r="Y102" i="57" a="1"/>
  <c r="Y102" i="57" s="1"/>
  <c r="AB75" i="57" a="1"/>
  <c r="AB75" i="57" s="1"/>
  <c r="AB61" i="57" a="1"/>
  <c r="AB61" i="57" s="1"/>
  <c r="Y36" i="57" a="1"/>
  <c r="Y36" i="57" s="1"/>
  <c r="AA34" i="57" a="1"/>
  <c r="AA34" i="57" s="1"/>
  <c r="Z106" i="57" a="1"/>
  <c r="Z106" i="57" s="1"/>
  <c r="Z38" i="57" a="1"/>
  <c r="Z38" i="57" s="1"/>
  <c r="Y57" i="57" a="1"/>
  <c r="Y57" i="57" s="1"/>
  <c r="Z48" i="57" a="1"/>
  <c r="Z48" i="57" s="1"/>
  <c r="Y40" i="57" a="1"/>
  <c r="Y40" i="57" s="1"/>
  <c r="Y30" i="57" a="1"/>
  <c r="Y30" i="57" s="1"/>
  <c r="Z45" i="57" a="1"/>
  <c r="Z45" i="57" s="1"/>
  <c r="Z29" i="57" a="1"/>
  <c r="Z29" i="57" s="1"/>
  <c r="Y62" i="57" a="1"/>
  <c r="Y62" i="57" s="1"/>
  <c r="Z35" i="57" a="1"/>
  <c r="Z35" i="57" s="1"/>
  <c r="Z105" i="57" a="1"/>
  <c r="Z105" i="57" s="1"/>
  <c r="AB59" i="57" a="1"/>
  <c r="AB59" i="57" s="1"/>
  <c r="AB29" i="57" a="1"/>
  <c r="AB29" i="57" s="1"/>
  <c r="Z41" i="57" a="1"/>
  <c r="Z41" i="57" s="1"/>
  <c r="AB104" i="57" a="1"/>
  <c r="AB104" i="57" s="1"/>
  <c r="Y53" i="57" a="1"/>
  <c r="Y53" i="57" s="1"/>
  <c r="AB33" i="57" a="1"/>
  <c r="AB33" i="57" s="1"/>
  <c r="Y76" i="57" a="1"/>
  <c r="Y76" i="57" s="1"/>
  <c r="AB69" i="57" a="1"/>
  <c r="AB69" i="57" s="1"/>
  <c r="Z56" i="57" a="1"/>
  <c r="Z56" i="57" s="1"/>
  <c r="Y48" i="57" a="1"/>
  <c r="Y48" i="57" s="1"/>
  <c r="Y34" i="57" a="1"/>
  <c r="Y34" i="57" s="1"/>
  <c r="Y61" i="57" a="1"/>
  <c r="Y61" i="57" s="1"/>
  <c r="Y70" i="57" a="1"/>
  <c r="Y70" i="57" s="1"/>
  <c r="AA58" i="57" a="1"/>
  <c r="AA58" i="57" s="1"/>
  <c r="Z54" i="57" a="1"/>
  <c r="Z54" i="57" s="1"/>
  <c r="AA41" i="57" a="1"/>
  <c r="AA41" i="57" s="1"/>
  <c r="AA35" i="57" a="1"/>
  <c r="AA35" i="57" s="1"/>
  <c r="Z39" i="57" a="1"/>
  <c r="Z39" i="57" s="1"/>
  <c r="Z36" i="57" a="1"/>
  <c r="Z36" i="57" s="1"/>
  <c r="Z70" i="57" a="1"/>
  <c r="Z70" i="57" s="1"/>
  <c r="Y56" i="57" a="1"/>
  <c r="Y56" i="57" s="1"/>
  <c r="Y69" i="57" a="1"/>
  <c r="Y69" i="57" s="1"/>
  <c r="Y39" i="57" a="1"/>
  <c r="Y39" i="57" s="1"/>
  <c r="AA61" i="57" a="1"/>
  <c r="AA61" i="57" s="1"/>
  <c r="Y81" i="57" a="1"/>
  <c r="Y81" i="57" s="1"/>
  <c r="AB78" i="57" a="1"/>
  <c r="AB78" i="57" s="1"/>
  <c r="AB55" i="57" a="1"/>
  <c r="AB55" i="57" s="1"/>
  <c r="Y28" i="57" a="1"/>
  <c r="Y28" i="57" s="1"/>
  <c r="AA29" i="57" a="1"/>
  <c r="AA29" i="57" s="1"/>
  <c r="Y52" i="57" a="1"/>
  <c r="Y52" i="57" s="1"/>
  <c r="Y27" i="57" a="1"/>
  <c r="Y27" i="57" s="1"/>
  <c r="Z52" i="57" a="1"/>
  <c r="Z52" i="57" s="1"/>
  <c r="Z43" i="57" a="1"/>
  <c r="Z43" i="57" s="1"/>
  <c r="Z61" i="57" a="1"/>
  <c r="Z61" i="57" s="1"/>
  <c r="Y54" i="57" a="1"/>
  <c r="Y54" i="57" s="1"/>
  <c r="Y80" i="57" a="1"/>
  <c r="Y80" i="57" s="1"/>
  <c r="AA37" i="57" a="1"/>
  <c r="AA37" i="57" s="1"/>
  <c r="Y58" i="57" a="1"/>
  <c r="Y58" i="57" s="1"/>
  <c r="AA33" i="57" a="1"/>
  <c r="AA33" i="57" s="1"/>
  <c r="Y99" i="57" a="1"/>
  <c r="Y99" i="57" s="1"/>
  <c r="Z75" i="57" a="1"/>
  <c r="Z75" i="57" s="1"/>
  <c r="Z78" i="57" a="1"/>
  <c r="Z78" i="57" s="1"/>
  <c r="AB62" i="57" a="1"/>
  <c r="AB62" i="57" s="1"/>
  <c r="AA55" i="57" a="1"/>
  <c r="AA55" i="57" s="1"/>
  <c r="Y38" i="57" a="1"/>
  <c r="Y38" i="57" s="1"/>
  <c r="Z33" i="57" a="1"/>
  <c r="Z33" i="57" s="1"/>
  <c r="AA52" i="57" a="1"/>
  <c r="AA52" i="57" s="1"/>
  <c r="Z69" i="57" a="1"/>
  <c r="Z69" i="57" s="1"/>
  <c r="AB57" i="57" a="1"/>
  <c r="AB57" i="57" s="1"/>
  <c r="AA53" i="57" a="1"/>
  <c r="AA53" i="57" s="1"/>
  <c r="AA39" i="57" a="1"/>
  <c r="AA39" i="57" s="1"/>
  <c r="Y101" i="57" a="1"/>
  <c r="Y101" i="57" s="1"/>
  <c r="AB101" i="57" a="1"/>
  <c r="AB101" i="57" s="1"/>
  <c r="Y78" i="57" a="1"/>
  <c r="Y78" i="57" s="1"/>
  <c r="AA69" i="57" a="1"/>
  <c r="AA69" i="57" s="1"/>
  <c r="Z55" i="57" a="1"/>
  <c r="Z55" i="57" s="1"/>
  <c r="AB45" i="57" a="1"/>
  <c r="AB45" i="57" s="1"/>
  <c r="Z99" i="57" a="1"/>
  <c r="Z99" i="57" s="1"/>
  <c r="AB52" i="57" a="1"/>
  <c r="AB52" i="57" s="1"/>
  <c r="Z76" i="57" a="1"/>
  <c r="Z76" i="57" s="1"/>
  <c r="Y37" i="57" a="1"/>
  <c r="Y37" i="57" s="1"/>
  <c r="Z40" i="57" a="1"/>
  <c r="Z40" i="57" s="1"/>
  <c r="Y88" i="57" a="1"/>
  <c r="Y88" i="57" s="1"/>
  <c r="Z27" i="57" a="1"/>
  <c r="Z27" i="57" s="1"/>
  <c r="Z51" i="57" a="1"/>
  <c r="Z51" i="57" s="1"/>
  <c r="AB35" i="57" a="1"/>
  <c r="AB35" i="57" s="1"/>
  <c r="Z30" i="57" a="1"/>
  <c r="Z30" i="57" s="1"/>
  <c r="AA51" i="57" a="1"/>
  <c r="AA51" i="57" s="1"/>
  <c r="Z37" i="57" a="1"/>
  <c r="Z37" i="57" s="1"/>
  <c r="Z58" i="57" a="1"/>
  <c r="Z58" i="57" s="1"/>
  <c r="Z53" i="57" a="1"/>
  <c r="Z53" i="57" s="1"/>
  <c r="AB100" i="57" a="1"/>
  <c r="AB100" i="57" s="1"/>
  <c r="Y45" i="57" a="1"/>
  <c r="Y45" i="57" s="1"/>
  <c r="AA75" i="57" a="1"/>
  <c r="AA75" i="57" s="1"/>
  <c r="Z57" i="57" a="1"/>
  <c r="Z57" i="57" s="1"/>
  <c r="Y43" i="57" a="1"/>
  <c r="Y43" i="57" s="1"/>
  <c r="Y35" i="57" a="1"/>
  <c r="Y35" i="57" s="1"/>
  <c r="AA28" i="57" a="1"/>
  <c r="AA28" i="57" s="1"/>
  <c r="Z42" i="57" a="1"/>
  <c r="Z42" i="57" s="1"/>
  <c r="Z102" i="57" a="1"/>
  <c r="Z102" i="57" s="1"/>
  <c r="AA59" i="57" a="1"/>
  <c r="AA59" i="57" s="1"/>
  <c r="AB54" i="57" a="1"/>
  <c r="AB54" i="57" s="1"/>
  <c r="Y42" i="57" a="1"/>
  <c r="Y42" i="57" s="1"/>
  <c r="AB51" i="57" a="1"/>
  <c r="AB51" i="57" s="1"/>
  <c r="Z62" i="57" a="1"/>
  <c r="Z62" i="57" s="1"/>
  <c r="AA45" i="57" a="1"/>
  <c r="AA45" i="57" s="1"/>
  <c r="Z103" i="57" a="1"/>
  <c r="Z103" i="57" s="1"/>
  <c r="AA62" i="57" a="1"/>
  <c r="AA62" i="57" s="1"/>
  <c r="AA54" i="57" a="1"/>
  <c r="AA54" i="57" s="1"/>
  <c r="AA76" i="57" a="1"/>
  <c r="AA76" i="57" s="1"/>
  <c r="AB105" i="57" a="1"/>
  <c r="AB105" i="57" s="1"/>
  <c r="S93" i="52" a="1"/>
  <c r="S93" i="52" s="1"/>
  <c r="S97" i="52" a="1"/>
  <c r="S97" i="52" s="1"/>
  <c r="G51" i="57"/>
  <c r="G36" i="59"/>
  <c r="R36" i="59" s="1"/>
  <c r="S95" i="52" a="1"/>
  <c r="S95" i="52" s="1"/>
  <c r="G127" i="52"/>
  <c r="G136" i="53"/>
  <c r="S13" i="54" a="1"/>
  <c r="S13" i="54" s="1"/>
  <c r="B128" i="52"/>
  <c r="C137" i="54"/>
  <c r="G105" i="57"/>
  <c r="G141" i="54"/>
  <c r="G52" i="57"/>
  <c r="G76" i="57"/>
  <c r="S17" i="54" a="1"/>
  <c r="S17" i="54" s="1"/>
  <c r="C123" i="52"/>
  <c r="C124" i="52" s="1"/>
  <c r="J192" i="28" s="1"/>
  <c r="G40" i="57"/>
  <c r="T20" i="53" a="1"/>
  <c r="T20" i="53" s="1"/>
  <c r="G53" i="57"/>
  <c r="G136" i="54"/>
  <c r="G111" i="54"/>
  <c r="C143" i="54"/>
  <c r="K218" i="28" s="1"/>
  <c r="G122" i="52"/>
  <c r="G70" i="57"/>
  <c r="S15" i="54" a="1"/>
  <c r="S15" i="54" s="1"/>
  <c r="S69" i="54" a="1"/>
  <c r="S69" i="54" s="1"/>
  <c r="S85" i="53" a="1"/>
  <c r="S85" i="53" s="1"/>
  <c r="G26" i="57"/>
  <c r="S77" i="53" a="1"/>
  <c r="S77" i="53" s="1"/>
  <c r="T107" i="53" a="1"/>
  <c r="T107" i="53" s="1"/>
  <c r="G62" i="57"/>
  <c r="T36" i="53" a="1"/>
  <c r="T36" i="53" s="1"/>
  <c r="S81" i="53" a="1"/>
  <c r="S81" i="53" s="1"/>
  <c r="T83" i="53" a="1"/>
  <c r="T83" i="53" s="1"/>
  <c r="T103" i="53" a="1"/>
  <c r="T103" i="53" s="1"/>
  <c r="G55" i="57"/>
  <c r="S41" i="53" a="1"/>
  <c r="S41" i="53" s="1"/>
  <c r="G102" i="57"/>
  <c r="R192" i="57" s="1"/>
  <c r="S87" i="53" a="1"/>
  <c r="S87" i="53" s="1"/>
  <c r="T75" i="53" a="1"/>
  <c r="T75" i="53" s="1"/>
  <c r="T65" i="53" a="1"/>
  <c r="T65" i="53" s="1"/>
  <c r="T71" i="53" a="1"/>
  <c r="T71" i="53" s="1"/>
  <c r="G61" i="57"/>
  <c r="G30" i="57"/>
  <c r="T89" i="53" a="1"/>
  <c r="T89" i="53" s="1"/>
  <c r="G27" i="57"/>
  <c r="T30" i="53" a="1"/>
  <c r="T30" i="53" s="1"/>
  <c r="T79" i="53" a="1"/>
  <c r="T79" i="53" s="1"/>
  <c r="G58" i="57"/>
  <c r="G69" i="57"/>
  <c r="G74" i="57"/>
  <c r="S39" i="53" a="1"/>
  <c r="S39" i="53" s="1"/>
  <c r="G59" i="57"/>
  <c r="G34" i="57"/>
  <c r="T24" i="53" a="1"/>
  <c r="T24" i="53" s="1"/>
  <c r="G29" i="57"/>
  <c r="G103" i="57"/>
  <c r="R193" i="57" s="1"/>
  <c r="H88" i="57"/>
  <c r="S178" i="57" s="1"/>
  <c r="T73" i="53" a="1"/>
  <c r="T73" i="53" s="1"/>
  <c r="G31" i="57"/>
  <c r="T69" i="53" a="1"/>
  <c r="T69" i="53" s="1"/>
  <c r="S55" i="54" a="1"/>
  <c r="S55" i="54" s="1"/>
  <c r="S53" i="54" a="1"/>
  <c r="S53" i="54" s="1"/>
  <c r="S36" i="54" a="1"/>
  <c r="S36" i="54" s="1"/>
  <c r="S51" i="54" a="1"/>
  <c r="S51" i="54" s="1"/>
  <c r="S49" i="54" a="1"/>
  <c r="S49" i="54" s="1"/>
  <c r="S61" i="54" a="1"/>
  <c r="S61" i="54" s="1"/>
  <c r="S45" i="54" a="1"/>
  <c r="S45" i="54" s="1"/>
  <c r="S59" i="54" a="1"/>
  <c r="S59" i="54" s="1"/>
  <c r="S57" i="54" a="1"/>
  <c r="S57" i="54" s="1"/>
  <c r="S96" i="54" a="1"/>
  <c r="S96" i="54" s="1"/>
  <c r="S97" i="54" a="1"/>
  <c r="S97" i="54" s="1"/>
  <c r="T77" i="54" a="1"/>
  <c r="T77" i="54" s="1"/>
  <c r="S56" i="54" a="1"/>
  <c r="S56" i="54" s="1"/>
  <c r="S64" i="54" a="1"/>
  <c r="S64" i="54" s="1"/>
  <c r="S58" i="54" a="1"/>
  <c r="S58" i="54" s="1"/>
  <c r="S50" i="54" a="1"/>
  <c r="S50" i="54" s="1"/>
  <c r="S110" i="54" a="1"/>
  <c r="S110" i="54" s="1"/>
  <c r="S95" i="54" a="1"/>
  <c r="S95" i="54" s="1"/>
  <c r="S87" i="54" a="1"/>
  <c r="S87" i="54" s="1"/>
  <c r="S78" i="54" a="1"/>
  <c r="S78" i="54" s="1"/>
  <c r="S70" i="54" a="1"/>
  <c r="S70" i="54" s="1"/>
  <c r="S107" i="54" a="1"/>
  <c r="S107" i="54" s="1"/>
  <c r="S84" i="54" a="1"/>
  <c r="S84" i="54" s="1"/>
  <c r="S32" i="54" a="1"/>
  <c r="S32" i="54" s="1"/>
  <c r="S38" i="54" a="1"/>
  <c r="S38" i="54" s="1"/>
  <c r="T63" i="54" a="1"/>
  <c r="T63" i="54" s="1"/>
  <c r="S18" i="54" a="1"/>
  <c r="S18" i="54" s="1"/>
  <c r="S48" i="54" a="1"/>
  <c r="S48" i="54" s="1"/>
  <c r="T31" i="54" a="1"/>
  <c r="T31" i="54" s="1"/>
  <c r="S108" i="54" a="1"/>
  <c r="S108" i="54" s="1"/>
  <c r="S100" i="54" a="1"/>
  <c r="S100" i="54" s="1"/>
  <c r="S93" i="54" a="1"/>
  <c r="S93" i="54" s="1"/>
  <c r="S85" i="54" a="1"/>
  <c r="S85" i="54" s="1"/>
  <c r="S92" i="54" a="1"/>
  <c r="S92" i="54" s="1"/>
  <c r="S88" i="54" a="1"/>
  <c r="S88" i="54" s="1"/>
  <c r="S101" i="54" a="1"/>
  <c r="S101" i="54" s="1"/>
  <c r="S81" i="54" a="1"/>
  <c r="S81" i="54" s="1"/>
  <c r="S76" i="54" a="1"/>
  <c r="S76" i="54" s="1"/>
  <c r="S68" i="54" a="1"/>
  <c r="S68" i="54" s="1"/>
  <c r="T71" i="54" a="1"/>
  <c r="T71" i="54" s="1"/>
  <c r="T79" i="54" a="1"/>
  <c r="T79" i="54" s="1"/>
  <c r="S40" i="54" a="1"/>
  <c r="S40" i="54" s="1"/>
  <c r="S14" i="54" a="1"/>
  <c r="S14" i="54" s="1"/>
  <c r="S52" i="54" a="1"/>
  <c r="S52" i="54" s="1"/>
  <c r="S44" i="54" a="1"/>
  <c r="S44" i="54" s="1"/>
  <c r="U41" i="54" a="1"/>
  <c r="U41" i="54" s="1"/>
  <c r="T27" i="54" a="1"/>
  <c r="T27" i="54" s="1"/>
  <c r="S54" i="54" a="1"/>
  <c r="S54" i="54" s="1"/>
  <c r="S46" i="54" a="1"/>
  <c r="S46" i="54" s="1"/>
  <c r="S103" i="54" a="1"/>
  <c r="S103" i="54" s="1"/>
  <c r="S104" i="54" a="1"/>
  <c r="S104" i="54" s="1"/>
  <c r="S105" i="54" a="1"/>
  <c r="S105" i="54" s="1"/>
  <c r="S72" i="54" a="1"/>
  <c r="S72" i="54" s="1"/>
  <c r="S34" i="54" a="1"/>
  <c r="S34" i="54" s="1"/>
  <c r="S42" i="54" a="1"/>
  <c r="S42" i="54" s="1"/>
  <c r="S98" i="54" a="1"/>
  <c r="S98" i="54" s="1"/>
  <c r="S83" i="54" a="1"/>
  <c r="S83" i="54" s="1"/>
  <c r="T73" i="54" a="1"/>
  <c r="T73" i="54" s="1"/>
  <c r="T75" i="54" a="1"/>
  <c r="T75" i="54" s="1"/>
  <c r="H123" i="54"/>
  <c r="T33" i="54" a="1"/>
  <c r="T33" i="54" s="1"/>
  <c r="T78" i="53" a="1"/>
  <c r="T78" i="53" s="1"/>
  <c r="S14" i="53" a="1"/>
  <c r="S14" i="53" s="1"/>
  <c r="S84" i="53" a="1"/>
  <c r="S84" i="53" s="1"/>
  <c r="S104" i="53" a="1"/>
  <c r="S104" i="53" s="1"/>
  <c r="S76" i="53" a="1"/>
  <c r="S76" i="53" s="1"/>
  <c r="S64" i="53" a="1"/>
  <c r="S64" i="53" s="1"/>
  <c r="S18" i="53" a="1"/>
  <c r="S18" i="53" s="1"/>
  <c r="S68" i="53" a="1"/>
  <c r="S68" i="53" s="1"/>
  <c r="T110" i="53" a="1"/>
  <c r="T110" i="53" s="1"/>
  <c r="T70" i="53" a="1"/>
  <c r="T70" i="53" s="1"/>
  <c r="S72" i="53" a="1"/>
  <c r="S72" i="53" s="1"/>
  <c r="T82" i="53" a="1"/>
  <c r="T82" i="53" s="1"/>
  <c r="S88" i="53" a="1"/>
  <c r="S88" i="53" s="1"/>
  <c r="T66" i="53" a="1"/>
  <c r="T66" i="53" s="1"/>
  <c r="T86" i="53" a="1"/>
  <c r="T86" i="53" s="1"/>
  <c r="S37" i="53" a="1"/>
  <c r="S37" i="53" s="1"/>
  <c r="S108" i="53" a="1"/>
  <c r="S108" i="53" s="1"/>
  <c r="S44" i="53" a="1"/>
  <c r="S44" i="53" s="1"/>
  <c r="S58" i="53" a="1"/>
  <c r="S58" i="53" s="1"/>
  <c r="S50" i="53" a="1"/>
  <c r="S50" i="53" s="1"/>
  <c r="S61" i="53" a="1"/>
  <c r="S61" i="53" s="1"/>
  <c r="S57" i="53" a="1"/>
  <c r="S57" i="53" s="1"/>
  <c r="S53" i="53" a="1"/>
  <c r="S53" i="53" s="1"/>
  <c r="S38" i="53" a="1"/>
  <c r="S38" i="53" s="1"/>
  <c r="T45" i="53" a="1"/>
  <c r="T45" i="53" s="1"/>
  <c r="S33" i="53" a="1"/>
  <c r="S33" i="53" s="1"/>
  <c r="S25" i="53" a="1"/>
  <c r="S25" i="53" s="1"/>
  <c r="S21" i="53" a="1"/>
  <c r="S21" i="53" s="1"/>
  <c r="S13" i="53" a="1"/>
  <c r="S13" i="53" s="1"/>
  <c r="S19" i="53" a="1"/>
  <c r="S19" i="53" s="1"/>
  <c r="S17" i="53" a="1"/>
  <c r="S17" i="53" s="1"/>
  <c r="S52" i="53" a="1"/>
  <c r="S52" i="53" s="1"/>
  <c r="S42" i="53" a="1"/>
  <c r="S42" i="53" s="1"/>
  <c r="S56" i="53" a="1"/>
  <c r="S56" i="53" s="1"/>
  <c r="S63" i="53" a="1"/>
  <c r="S63" i="53" s="1"/>
  <c r="S48" i="53" a="1"/>
  <c r="S48" i="53" s="1"/>
  <c r="S40" i="53" a="1"/>
  <c r="S40" i="53" s="1"/>
  <c r="S54" i="53" a="1"/>
  <c r="S54" i="53" s="1"/>
  <c r="S46" i="53" a="1"/>
  <c r="S46" i="53" s="1"/>
  <c r="S59" i="53" a="1"/>
  <c r="S59" i="53" s="1"/>
  <c r="S55" i="53" a="1"/>
  <c r="S55" i="53" s="1"/>
  <c r="S51" i="53" a="1"/>
  <c r="S51" i="53" s="1"/>
  <c r="S49" i="53" a="1"/>
  <c r="S49" i="53" s="1"/>
  <c r="T47" i="53" a="1"/>
  <c r="T47" i="53" s="1"/>
  <c r="S35" i="53" a="1"/>
  <c r="S35" i="53" s="1"/>
  <c r="S31" i="53" a="1"/>
  <c r="S31" i="53" s="1"/>
  <c r="S27" i="53" a="1"/>
  <c r="S27" i="53" s="1"/>
  <c r="S23" i="53" a="1"/>
  <c r="S23" i="53" s="1"/>
  <c r="S15" i="53" a="1"/>
  <c r="S15" i="53" s="1"/>
  <c r="S88" i="52" a="1"/>
  <c r="S88" i="52" s="1"/>
  <c r="S75" i="52" a="1"/>
  <c r="S75" i="52" s="1"/>
  <c r="S47" i="52" a="1"/>
  <c r="S47" i="52" s="1"/>
  <c r="S67" i="52" a="1"/>
  <c r="S67" i="52" s="1"/>
  <c r="S78" i="52" a="1"/>
  <c r="S78" i="52" s="1"/>
  <c r="S85" i="52" a="1"/>
  <c r="S85" i="52" s="1"/>
  <c r="S91" i="52" a="1"/>
  <c r="S91" i="52" s="1"/>
  <c r="S87" i="52" a="1"/>
  <c r="S87" i="52" s="1"/>
  <c r="S66" i="52" a="1"/>
  <c r="S66" i="52" s="1"/>
  <c r="S57" i="52" a="1"/>
  <c r="S57" i="52" s="1"/>
  <c r="S49" i="52" a="1"/>
  <c r="S49" i="52" s="1"/>
  <c r="S84" i="52" a="1"/>
  <c r="S84" i="52" s="1"/>
  <c r="S59" i="52" a="1"/>
  <c r="S59" i="52" s="1"/>
  <c r="S73" i="52" a="1"/>
  <c r="S73" i="52" s="1"/>
  <c r="S56" i="52" a="1"/>
  <c r="S56" i="52" s="1"/>
  <c r="S48" i="52" a="1"/>
  <c r="S48" i="52" s="1"/>
  <c r="S50" i="52" a="1"/>
  <c r="S50" i="52" s="1"/>
  <c r="S68" i="52" a="1"/>
  <c r="S68" i="52" s="1"/>
  <c r="S63" i="52" a="1"/>
  <c r="S63" i="52" s="1"/>
  <c r="S55" i="52" a="1"/>
  <c r="S55" i="52" s="1"/>
  <c r="S77" i="52" a="1"/>
  <c r="S77" i="52" s="1"/>
  <c r="S69" i="52" a="1"/>
  <c r="S69" i="52" s="1"/>
  <c r="S60" i="52" a="1"/>
  <c r="S60" i="52" s="1"/>
  <c r="S52" i="52" a="1"/>
  <c r="S52" i="52" s="1"/>
  <c r="S46" i="52" a="1"/>
  <c r="S46" i="52" s="1"/>
  <c r="S54" i="52" a="1"/>
  <c r="S54" i="52" s="1"/>
  <c r="T92" i="52" a="1"/>
  <c r="T92" i="52" s="1"/>
  <c r="S58" i="52" a="1"/>
  <c r="S58" i="52" s="1"/>
  <c r="S74" i="52" a="1"/>
  <c r="S74" i="52" s="1"/>
  <c r="S80" i="52" a="1"/>
  <c r="S80" i="52" s="1"/>
  <c r="S82" i="52" a="1"/>
  <c r="S82" i="52" s="1"/>
  <c r="S61" i="52" a="1"/>
  <c r="S61" i="52" s="1"/>
  <c r="S53" i="52" a="1"/>
  <c r="S53" i="52" s="1"/>
  <c r="N114" i="54" l="1"/>
  <c r="S130" i="53"/>
  <c r="O114" i="54"/>
  <c r="M130" i="57"/>
  <c r="R118" i="53"/>
  <c r="R117" i="53"/>
  <c r="S102" i="54" a="1"/>
  <c r="S102" i="54" s="1"/>
  <c r="S128" i="54" s="1"/>
  <c r="H128" i="54"/>
  <c r="H131" i="54"/>
  <c r="S62" i="53" a="1"/>
  <c r="S62" i="53" s="1"/>
  <c r="S119" i="53" s="1"/>
  <c r="H119" i="53"/>
  <c r="T109" i="53" a="1"/>
  <c r="T109" i="53" s="1"/>
  <c r="T130" i="53" s="1"/>
  <c r="I130" i="53"/>
  <c r="S99" i="54" a="1"/>
  <c r="S99" i="54" s="1"/>
  <c r="S127" i="54" s="1"/>
  <c r="H127" i="54"/>
  <c r="S29" i="53" a="1"/>
  <c r="S29" i="53" s="1"/>
  <c r="H117" i="53"/>
  <c r="T102" i="53" a="1"/>
  <c r="T102" i="53" s="1"/>
  <c r="S74" i="54" a="1"/>
  <c r="S74" i="54" s="1"/>
  <c r="S121" i="54" s="1"/>
  <c r="H121" i="54"/>
  <c r="S94" i="54" a="1"/>
  <c r="S94" i="54" s="1"/>
  <c r="S126" i="54" s="1"/>
  <c r="H126" i="54"/>
  <c r="S67" i="54" a="1"/>
  <c r="S67" i="54" s="1"/>
  <c r="S120" i="54" s="1"/>
  <c r="H120" i="54"/>
  <c r="S43" i="54" a="1"/>
  <c r="S43" i="54" s="1"/>
  <c r="H118" i="54"/>
  <c r="H121" i="53"/>
  <c r="S106" i="54" a="1"/>
  <c r="S106" i="54" s="1"/>
  <c r="S129" i="54" s="1"/>
  <c r="H129" i="54"/>
  <c r="S109" i="54" a="1"/>
  <c r="S109" i="54" s="1"/>
  <c r="S130" i="54" s="1"/>
  <c r="H130" i="54"/>
  <c r="R123" i="54"/>
  <c r="H130" i="53"/>
  <c r="S43" i="53" a="1"/>
  <c r="S43" i="53" s="1"/>
  <c r="S118" i="53" s="1"/>
  <c r="H118" i="53"/>
  <c r="S80" i="53" a="1"/>
  <c r="S80" i="53" s="1"/>
  <c r="S122" i="53" s="1"/>
  <c r="H122" i="53"/>
  <c r="S80" i="54" a="1"/>
  <c r="S80" i="54" s="1"/>
  <c r="H122" i="54"/>
  <c r="S29" i="54" a="1"/>
  <c r="S29" i="54" s="1"/>
  <c r="H117" i="54"/>
  <c r="H120" i="53"/>
  <c r="R113" i="54"/>
  <c r="R131" i="54"/>
  <c r="O285" i="28" s="1"/>
  <c r="R117" i="54"/>
  <c r="R121" i="54"/>
  <c r="N269" i="28"/>
  <c r="H123" i="53"/>
  <c r="T74" i="53" a="1"/>
  <c r="T74" i="53" s="1"/>
  <c r="S62" i="54" a="1"/>
  <c r="S62" i="54" s="1"/>
  <c r="H119" i="54"/>
  <c r="S121" i="53"/>
  <c r="R119" i="54"/>
  <c r="R123" i="53"/>
  <c r="H112" i="54"/>
  <c r="O375" i="28" s="1"/>
  <c r="M114" i="54"/>
  <c r="J268" i="28"/>
  <c r="Q114" i="54"/>
  <c r="N268" i="28"/>
  <c r="H112" i="53"/>
  <c r="O376" i="28" s="1"/>
  <c r="S90" i="54" a="1"/>
  <c r="S90" i="54" s="1"/>
  <c r="H113" i="54"/>
  <c r="R112" i="54"/>
  <c r="O268" i="28" s="1"/>
  <c r="G114" i="54"/>
  <c r="T11" i="54" a="1"/>
  <c r="T11" i="54" s="1"/>
  <c r="S90" i="53" a="1"/>
  <c r="S90" i="53" s="1"/>
  <c r="T90" i="53" a="1"/>
  <c r="T90" i="53" s="1"/>
  <c r="R112" i="53"/>
  <c r="O269" i="28" s="1"/>
  <c r="R111" i="52"/>
  <c r="S79" i="52" a="1"/>
  <c r="S79" i="52" s="1"/>
  <c r="H116" i="52"/>
  <c r="S76" i="52" a="1"/>
  <c r="S76" i="52" s="1"/>
  <c r="S107" i="52" s="1"/>
  <c r="H107" i="52"/>
  <c r="S89" i="52" a="1"/>
  <c r="S89" i="52" s="1"/>
  <c r="H113" i="52"/>
  <c r="S70" i="52" a="1"/>
  <c r="S70" i="52" s="1"/>
  <c r="H106" i="52"/>
  <c r="S96" i="52" a="1"/>
  <c r="S96" i="52" s="1"/>
  <c r="S115" i="52" s="1"/>
  <c r="H115" i="52"/>
  <c r="S64" i="52" a="1"/>
  <c r="S64" i="52" s="1"/>
  <c r="S105" i="52" s="1"/>
  <c r="H105" i="52"/>
  <c r="S42" i="52" a="1"/>
  <c r="S42" i="52" s="1"/>
  <c r="H108" i="52"/>
  <c r="H98" i="52"/>
  <c r="S51" i="52" a="1"/>
  <c r="S51" i="52" s="1"/>
  <c r="S103" i="52" s="1"/>
  <c r="H103" i="52"/>
  <c r="S114" i="52"/>
  <c r="H111" i="52"/>
  <c r="R116" i="52"/>
  <c r="R106" i="52"/>
  <c r="S45" i="52" a="1"/>
  <c r="S45" i="52" s="1"/>
  <c r="S102" i="52" s="1"/>
  <c r="H102" i="52"/>
  <c r="S86" i="52" a="1"/>
  <c r="S86" i="52" s="1"/>
  <c r="S112" i="52" s="1"/>
  <c r="H112" i="52"/>
  <c r="S62" i="52" a="1"/>
  <c r="S62" i="52" s="1"/>
  <c r="S104" i="52" s="1"/>
  <c r="H104" i="52"/>
  <c r="T12" i="53" a="1"/>
  <c r="T12" i="53" s="1"/>
  <c r="R108" i="52"/>
  <c r="N419" i="28" s="1"/>
  <c r="R98" i="52"/>
  <c r="T94" i="52" a="1"/>
  <c r="T94" i="52" s="1"/>
  <c r="H114" i="52"/>
  <c r="R113" i="52"/>
  <c r="S11" i="53" a="1"/>
  <c r="S11" i="53" s="1"/>
  <c r="U60" i="53" a="1"/>
  <c r="U60" i="53" s="1"/>
  <c r="U22" i="53" a="1"/>
  <c r="U22" i="53" s="1"/>
  <c r="T19" i="54" a="1"/>
  <c r="T19" i="54" s="1"/>
  <c r="L28" i="75"/>
  <c r="P28" i="75"/>
  <c r="Q136" i="57"/>
  <c r="P36" i="75"/>
  <c r="T23" i="54" a="1"/>
  <c r="T23" i="54" s="1"/>
  <c r="P136" i="57"/>
  <c r="O36" i="75"/>
  <c r="N136" i="57"/>
  <c r="M36" i="75"/>
  <c r="O136" i="57"/>
  <c r="N36" i="75"/>
  <c r="C138" i="53"/>
  <c r="J178" i="28" s="1"/>
  <c r="R111" i="54"/>
  <c r="AA136" i="57"/>
  <c r="X136" i="57"/>
  <c r="M136" i="57" s="1"/>
  <c r="T83" i="52" a="1"/>
  <c r="T83" i="52" s="1"/>
  <c r="U24" i="53" a="1"/>
  <c r="U24" i="53" s="1"/>
  <c r="T37" i="54" a="1"/>
  <c r="T37" i="54" s="1"/>
  <c r="AC100" i="57" a="1"/>
  <c r="AC100" i="57" s="1"/>
  <c r="R190" i="57"/>
  <c r="AC101" i="57" a="1"/>
  <c r="AC101" i="57" s="1"/>
  <c r="R191" i="57"/>
  <c r="AC99" i="57" a="1"/>
  <c r="AC99" i="57" s="1"/>
  <c r="R189" i="57"/>
  <c r="AC104" i="57" a="1"/>
  <c r="AC104" i="57" s="1"/>
  <c r="R194" i="57"/>
  <c r="T35" i="54" a="1"/>
  <c r="T35" i="54" s="1"/>
  <c r="S35" i="54" a="1"/>
  <c r="S35" i="54" s="1"/>
  <c r="H104" i="57"/>
  <c r="S89" i="54" a="1"/>
  <c r="S89" i="54" s="1"/>
  <c r="H41" i="57"/>
  <c r="AD41" i="57" s="1" a="1"/>
  <c r="AD41" i="57" s="1"/>
  <c r="S26" i="54" a="1"/>
  <c r="S26" i="54" s="1"/>
  <c r="U16" i="53" a="1"/>
  <c r="U16" i="53" s="1"/>
  <c r="T16" i="53" a="1"/>
  <c r="T16" i="53" s="1"/>
  <c r="T25" i="54" a="1"/>
  <c r="T25" i="54" s="1"/>
  <c r="S25" i="54" a="1"/>
  <c r="S25" i="54" s="1"/>
  <c r="H75" i="57"/>
  <c r="AD75" i="57" s="1" a="1"/>
  <c r="AD75" i="57" s="1"/>
  <c r="S60" i="54" a="1"/>
  <c r="S60" i="54" s="1"/>
  <c r="H27" i="57"/>
  <c r="AD27" i="57" s="1" a="1"/>
  <c r="AD27" i="57" s="1"/>
  <c r="S12" i="54" a="1"/>
  <c r="S12" i="54" s="1"/>
  <c r="H35" i="57"/>
  <c r="AD35" i="57" s="1" a="1"/>
  <c r="AD35" i="57" s="1"/>
  <c r="S20" i="54" a="1"/>
  <c r="S20" i="54" s="1"/>
  <c r="H37" i="57"/>
  <c r="AD37" i="57" s="1" a="1"/>
  <c r="AD37" i="57" s="1"/>
  <c r="S22" i="54" a="1"/>
  <c r="S22" i="54" s="1"/>
  <c r="H81" i="57"/>
  <c r="AD81" i="57" s="1" a="1"/>
  <c r="AD81" i="57" s="1"/>
  <c r="S66" i="54" a="1"/>
  <c r="S66" i="54" s="1"/>
  <c r="H31" i="57"/>
  <c r="AD31" i="57" s="1" a="1"/>
  <c r="AD31" i="57" s="1"/>
  <c r="S16" i="54" a="1"/>
  <c r="S16" i="54" s="1"/>
  <c r="U39" i="54" a="1"/>
  <c r="U39" i="54" s="1"/>
  <c r="T39" i="54" a="1"/>
  <c r="T39" i="54" s="1"/>
  <c r="S67" i="53" a="1"/>
  <c r="S67" i="53" s="1"/>
  <c r="S120" i="53" s="1"/>
  <c r="T21" i="54" a="1"/>
  <c r="T21" i="54" s="1"/>
  <c r="S21" i="54" a="1"/>
  <c r="S21" i="54" s="1"/>
  <c r="S34" i="53" a="1"/>
  <c r="S34" i="53" s="1"/>
  <c r="H43" i="57"/>
  <c r="AD43" i="57" s="1" a="1"/>
  <c r="AD43" i="57" s="1"/>
  <c r="S28" i="54" a="1"/>
  <c r="S28" i="54" s="1"/>
  <c r="H45" i="57"/>
  <c r="AD45" i="57" s="1" a="1"/>
  <c r="AD45" i="57" s="1"/>
  <c r="S30" i="54" a="1"/>
  <c r="S30" i="54" s="1"/>
  <c r="H101" i="57"/>
  <c r="S191" i="57" s="1"/>
  <c r="S86" i="54" a="1"/>
  <c r="S86" i="54" s="1"/>
  <c r="H80" i="57"/>
  <c r="AD80" i="57" s="1" a="1"/>
  <c r="AD80" i="57" s="1"/>
  <c r="S65" i="54" a="1"/>
  <c r="S65" i="54" s="1"/>
  <c r="H62" i="57"/>
  <c r="AD62" i="57" s="1" a="1"/>
  <c r="AD62" i="57" s="1"/>
  <c r="S47" i="54" a="1"/>
  <c r="S47" i="54" s="1"/>
  <c r="H39" i="57"/>
  <c r="AD39" i="57" s="1" a="1"/>
  <c r="AD39" i="57" s="1"/>
  <c r="S24" i="54" a="1"/>
  <c r="S24" i="54" s="1"/>
  <c r="T39" i="53" a="1"/>
  <c r="T39" i="53" s="1"/>
  <c r="H106" i="57"/>
  <c r="AD106" i="57" s="1" a="1"/>
  <c r="AD106" i="57" s="1"/>
  <c r="S91" i="54" a="1"/>
  <c r="S91" i="54" s="1"/>
  <c r="T32" i="53" a="1"/>
  <c r="T32" i="53" s="1"/>
  <c r="S26" i="53" a="1"/>
  <c r="S26" i="53" s="1"/>
  <c r="T82" i="54" a="1"/>
  <c r="T82" i="54" s="1"/>
  <c r="S82" i="54" a="1"/>
  <c r="S82" i="54" s="1"/>
  <c r="S81" i="52" a="1"/>
  <c r="S81" i="52" s="1"/>
  <c r="S111" i="52" s="1"/>
  <c r="S72" i="52" a="1"/>
  <c r="S72" i="52" s="1"/>
  <c r="S71" i="52" a="1"/>
  <c r="S71" i="52" s="1"/>
  <c r="S90" i="52" a="1"/>
  <c r="S90" i="52" s="1"/>
  <c r="U83" i="52" a="1"/>
  <c r="U83" i="52" s="1"/>
  <c r="G128" i="57"/>
  <c r="Q128" i="57"/>
  <c r="U36" i="53" a="1"/>
  <c r="U36" i="53" s="1"/>
  <c r="T17" i="54" a="1"/>
  <c r="T17" i="54" s="1"/>
  <c r="AC42" i="57" a="1"/>
  <c r="AC42" i="57" s="1"/>
  <c r="AC128" i="57" s="1"/>
  <c r="U30" i="53" a="1"/>
  <c r="U30" i="53" s="1"/>
  <c r="AB130" i="57"/>
  <c r="Q130" i="57" s="1"/>
  <c r="AB136" i="57"/>
  <c r="Z136" i="57"/>
  <c r="AA128" i="57"/>
  <c r="P128" i="57" s="1"/>
  <c r="Z128" i="57"/>
  <c r="O128" i="57" s="1"/>
  <c r="AA130" i="57"/>
  <c r="P130" i="57" s="1"/>
  <c r="T13" i="54" a="1"/>
  <c r="T13" i="54" s="1"/>
  <c r="T15" i="54" a="1"/>
  <c r="T15" i="54" s="1"/>
  <c r="U20" i="53" a="1"/>
  <c r="U20" i="53" s="1"/>
  <c r="H100" i="57"/>
  <c r="Y136" i="57"/>
  <c r="M128" i="57"/>
  <c r="AB126" i="57"/>
  <c r="P26" i="75" s="1"/>
  <c r="Y130" i="57"/>
  <c r="Y128" i="57"/>
  <c r="N128" i="57" s="1"/>
  <c r="Z126" i="57"/>
  <c r="N26" i="75" s="1"/>
  <c r="X126" i="57"/>
  <c r="L26" i="75" s="1"/>
  <c r="Y126" i="57"/>
  <c r="M26" i="75" s="1"/>
  <c r="AA126" i="57"/>
  <c r="O26" i="75" s="1"/>
  <c r="Z130" i="57"/>
  <c r="O130" i="57" s="1"/>
  <c r="H42" i="57"/>
  <c r="H76" i="57"/>
  <c r="AD76" i="57" s="1" a="1"/>
  <c r="AD76" i="57" s="1"/>
  <c r="H46" i="59"/>
  <c r="S46" i="59" s="1"/>
  <c r="H37" i="59"/>
  <c r="S37" i="59" s="1"/>
  <c r="H53" i="57"/>
  <c r="AD53" i="57" s="1" a="1"/>
  <c r="AD53" i="57" s="1"/>
  <c r="H28" i="57"/>
  <c r="AD28" i="57" s="1" a="1"/>
  <c r="AD28" i="57" s="1"/>
  <c r="H48" i="57"/>
  <c r="AD48" i="57" s="1" a="1"/>
  <c r="AD48" i="57" s="1"/>
  <c r="T69" i="54" a="1"/>
  <c r="T69" i="54" s="1"/>
  <c r="H36" i="57"/>
  <c r="AD36" i="57" s="1" a="1"/>
  <c r="AD36" i="57" s="1"/>
  <c r="H54" i="57"/>
  <c r="AD54" i="57" s="1" a="1"/>
  <c r="AD54" i="57" s="1"/>
  <c r="H50" i="57"/>
  <c r="AD50" i="57" s="1" a="1"/>
  <c r="AD50" i="57" s="1"/>
  <c r="H30" i="57"/>
  <c r="AD30" i="57" s="1" a="1"/>
  <c r="AD30" i="57" s="1"/>
  <c r="H38" i="57"/>
  <c r="AD38" i="57" s="1" a="1"/>
  <c r="AD38" i="57" s="1"/>
  <c r="H70" i="57"/>
  <c r="AD70" i="57" s="1" a="1"/>
  <c r="AD70" i="57" s="1"/>
  <c r="H78" i="57"/>
  <c r="AD78" i="57" s="1" a="1"/>
  <c r="AD78" i="57" s="1"/>
  <c r="H34" i="57"/>
  <c r="AD34" i="57" s="1" a="1"/>
  <c r="AD34" i="57" s="1"/>
  <c r="H40" i="57"/>
  <c r="AD40" i="57" s="1" a="1"/>
  <c r="AD40" i="57" s="1"/>
  <c r="G136" i="57"/>
  <c r="H56" i="57"/>
  <c r="AD56" i="57" s="1" a="1"/>
  <c r="AD56" i="57" s="1"/>
  <c r="T91" i="53" a="1"/>
  <c r="T91" i="53" s="1"/>
  <c r="AC31" i="57" a="1"/>
  <c r="AC31" i="57" s="1"/>
  <c r="AC26" i="57" a="1"/>
  <c r="AC26" i="57" s="1"/>
  <c r="G126" i="57"/>
  <c r="G130" i="57"/>
  <c r="AC102" i="57" a="1"/>
  <c r="AC102" i="57" s="1"/>
  <c r="AC52" i="57" a="1"/>
  <c r="AC52" i="57" s="1"/>
  <c r="AC40" i="57" a="1"/>
  <c r="AC40" i="57" s="1"/>
  <c r="AC29" i="57" a="1"/>
  <c r="AC29" i="57" s="1"/>
  <c r="AC34" i="57" a="1"/>
  <c r="AC34" i="57" s="1"/>
  <c r="AC55" i="57" a="1"/>
  <c r="AC55" i="57" s="1"/>
  <c r="AC105" i="57" a="1"/>
  <c r="AC105" i="57" s="1"/>
  <c r="AC58" i="57" a="1"/>
  <c r="AC58" i="57" s="1"/>
  <c r="AC30" i="57" a="1"/>
  <c r="AC30" i="57" s="1"/>
  <c r="AC62" i="57" a="1"/>
  <c r="AC62" i="57" s="1"/>
  <c r="AC70" i="57" a="1"/>
  <c r="AC70" i="57" s="1"/>
  <c r="AC27" i="57" a="1"/>
  <c r="AC27" i="57" s="1"/>
  <c r="AC59" i="57" a="1"/>
  <c r="AC59" i="57" s="1"/>
  <c r="AC61" i="57" a="1"/>
  <c r="AC61" i="57" s="1"/>
  <c r="AD88" i="57" a="1"/>
  <c r="AD88" i="57" s="1"/>
  <c r="AC74" i="57" a="1"/>
  <c r="AC74" i="57" s="1"/>
  <c r="AC76" i="57" a="1"/>
  <c r="AC76" i="57" s="1"/>
  <c r="AC103" i="57" a="1"/>
  <c r="AC103" i="57" s="1"/>
  <c r="AC69" i="57" a="1"/>
  <c r="AC69" i="57" s="1"/>
  <c r="AC53" i="57" a="1"/>
  <c r="AC53" i="57" s="1"/>
  <c r="AC51" i="57" a="1"/>
  <c r="AC51" i="57" s="1"/>
  <c r="T97" i="52" a="1"/>
  <c r="T97" i="52" s="1"/>
  <c r="T95" i="52" a="1"/>
  <c r="T95" i="52" s="1"/>
  <c r="H51" i="57"/>
  <c r="H36" i="59"/>
  <c r="S36" i="59" s="1"/>
  <c r="D123" i="52"/>
  <c r="E142" i="54"/>
  <c r="D143" i="54"/>
  <c r="L218" i="28" s="1"/>
  <c r="H26" i="57"/>
  <c r="H136" i="53"/>
  <c r="H111" i="54"/>
  <c r="D138" i="53"/>
  <c r="K178" i="28" s="1"/>
  <c r="E137" i="53"/>
  <c r="H136" i="54"/>
  <c r="H127" i="52"/>
  <c r="D137" i="54"/>
  <c r="C138" i="54"/>
  <c r="J177" i="28" s="1"/>
  <c r="H122" i="52"/>
  <c r="H29" i="57"/>
  <c r="H52" i="57"/>
  <c r="H69" i="57"/>
  <c r="H105" i="57"/>
  <c r="H141" i="54"/>
  <c r="C128" i="52"/>
  <c r="H100" i="52"/>
  <c r="H58" i="57"/>
  <c r="T85" i="53" a="1"/>
  <c r="T85" i="53" s="1"/>
  <c r="U107" i="53" a="1"/>
  <c r="U107" i="53" s="1"/>
  <c r="T81" i="53" a="1"/>
  <c r="T81" i="53" s="1"/>
  <c r="H57" i="57"/>
  <c r="AD57" i="57" s="1" a="1"/>
  <c r="AD57" i="57" s="1"/>
  <c r="U83" i="53" a="1"/>
  <c r="U83" i="53" s="1"/>
  <c r="T77" i="53" a="1"/>
  <c r="T77" i="53" s="1"/>
  <c r="U89" i="53" a="1"/>
  <c r="U89" i="53" s="1"/>
  <c r="H61" i="57"/>
  <c r="AD61" i="57" s="1" a="1"/>
  <c r="AD61" i="57" s="1"/>
  <c r="H33" i="57"/>
  <c r="AD33" i="57" s="1" a="1"/>
  <c r="AD33" i="57" s="1"/>
  <c r="U71" i="53" a="1"/>
  <c r="U71" i="53" s="1"/>
  <c r="H102" i="57"/>
  <c r="S192" i="57" s="1"/>
  <c r="T87" i="53" a="1"/>
  <c r="T87" i="53" s="1"/>
  <c r="H59" i="57"/>
  <c r="H55" i="57"/>
  <c r="H103" i="57"/>
  <c r="S193" i="57" s="1"/>
  <c r="H74" i="57"/>
  <c r="AD74" i="57" s="1" a="1"/>
  <c r="AD74" i="57" s="1"/>
  <c r="U79" i="53" a="1"/>
  <c r="U79" i="53" s="1"/>
  <c r="U65" i="53" a="1"/>
  <c r="U65" i="53" s="1"/>
  <c r="U103" i="53" a="1"/>
  <c r="U103" i="53" s="1"/>
  <c r="H99" i="57"/>
  <c r="U69" i="53" a="1"/>
  <c r="U69" i="53" s="1"/>
  <c r="I88" i="57"/>
  <c r="T178" i="57" s="1"/>
  <c r="U73" i="53" a="1"/>
  <c r="U73" i="53" s="1"/>
  <c r="U75" i="53" a="1"/>
  <c r="U75" i="53" s="1"/>
  <c r="T53" i="54" a="1"/>
  <c r="T53" i="54" s="1"/>
  <c r="T45" i="54" a="1"/>
  <c r="T45" i="54" s="1"/>
  <c r="T51" i="54" a="1"/>
  <c r="T51" i="54" s="1"/>
  <c r="T55" i="54" a="1"/>
  <c r="T55" i="54" s="1"/>
  <c r="T57" i="54" a="1"/>
  <c r="T57" i="54" s="1"/>
  <c r="T59" i="54" a="1"/>
  <c r="T59" i="54" s="1"/>
  <c r="T61" i="54" a="1"/>
  <c r="T61" i="54" s="1"/>
  <c r="T49" i="54" a="1"/>
  <c r="T49" i="54" s="1"/>
  <c r="T105" i="54" a="1"/>
  <c r="T105" i="54" s="1"/>
  <c r="T46" i="54" a="1"/>
  <c r="T46" i="54" s="1"/>
  <c r="T40" i="54" a="1"/>
  <c r="T40" i="54" s="1"/>
  <c r="T101" i="54" a="1"/>
  <c r="T101" i="54" s="1"/>
  <c r="U31" i="54" a="1"/>
  <c r="U31" i="54" s="1"/>
  <c r="T18" i="54" a="1"/>
  <c r="T18" i="54" s="1"/>
  <c r="T84" i="54" a="1"/>
  <c r="T84" i="54" s="1"/>
  <c r="T104" i="54" a="1"/>
  <c r="T104" i="54" s="1"/>
  <c r="T85" i="54" a="1"/>
  <c r="T85" i="54" s="1"/>
  <c r="T100" i="54" a="1"/>
  <c r="T100" i="54" s="1"/>
  <c r="T87" i="54" a="1"/>
  <c r="T87" i="54" s="1"/>
  <c r="I123" i="54"/>
  <c r="U37" i="54" a="1"/>
  <c r="U37" i="54" s="1"/>
  <c r="V41" i="54" a="1"/>
  <c r="V41" i="54" s="1"/>
  <c r="T52" i="54" a="1"/>
  <c r="T52" i="54" s="1"/>
  <c r="U71" i="54" a="1"/>
  <c r="U71" i="54" s="1"/>
  <c r="T76" i="54" a="1"/>
  <c r="T76" i="54" s="1"/>
  <c r="T88" i="54" a="1"/>
  <c r="T88" i="54" s="1"/>
  <c r="U25" i="54" a="1"/>
  <c r="U25" i="54" s="1"/>
  <c r="T32" i="54" a="1"/>
  <c r="T32" i="54" s="1"/>
  <c r="T70" i="54" a="1"/>
  <c r="T70" i="54" s="1"/>
  <c r="V39" i="54" a="1"/>
  <c r="V39" i="54" s="1"/>
  <c r="T58" i="54" a="1"/>
  <c r="T58" i="54" s="1"/>
  <c r="U23" i="54" a="1"/>
  <c r="U23" i="54" s="1"/>
  <c r="U21" i="54" a="1"/>
  <c r="U21" i="54" s="1"/>
  <c r="T26" i="54" a="1"/>
  <c r="T26" i="54" s="1"/>
  <c r="U33" i="54" a="1"/>
  <c r="U33" i="54" s="1"/>
  <c r="U75" i="54" a="1"/>
  <c r="U75" i="54" s="1"/>
  <c r="U73" i="54" a="1"/>
  <c r="U73" i="54" s="1"/>
  <c r="U19" i="54" a="1"/>
  <c r="U19" i="54" s="1"/>
  <c r="T42" i="54" a="1"/>
  <c r="T42" i="54" s="1"/>
  <c r="T34" i="54" a="1"/>
  <c r="T34" i="54" s="1"/>
  <c r="T72" i="54" a="1"/>
  <c r="T72" i="54" s="1"/>
  <c r="T103" i="54" a="1"/>
  <c r="T103" i="54" s="1"/>
  <c r="T54" i="54" a="1"/>
  <c r="T54" i="54" s="1"/>
  <c r="U27" i="54" a="1"/>
  <c r="U27" i="54" s="1"/>
  <c r="T44" i="54" a="1"/>
  <c r="T44" i="54" s="1"/>
  <c r="T14" i="54" a="1"/>
  <c r="T14" i="54" s="1"/>
  <c r="U79" i="54" a="1"/>
  <c r="U79" i="54" s="1"/>
  <c r="T68" i="54" a="1"/>
  <c r="T68" i="54" s="1"/>
  <c r="T92" i="54" a="1"/>
  <c r="T92" i="54" s="1"/>
  <c r="T48" i="54" a="1"/>
  <c r="T48" i="54" s="1"/>
  <c r="U63" i="54" a="1"/>
  <c r="U63" i="54" s="1"/>
  <c r="T38" i="54" a="1"/>
  <c r="T38" i="54" s="1"/>
  <c r="T107" i="54" a="1"/>
  <c r="T107" i="54" s="1"/>
  <c r="T78" i="54" a="1"/>
  <c r="T78" i="54" s="1"/>
  <c r="T50" i="54" a="1"/>
  <c r="T50" i="54" s="1"/>
  <c r="T64" i="54" a="1"/>
  <c r="T64" i="54" s="1"/>
  <c r="U35" i="54" a="1"/>
  <c r="U35" i="54" s="1"/>
  <c r="T56" i="54" a="1"/>
  <c r="T56" i="54" s="1"/>
  <c r="T97" i="54" a="1"/>
  <c r="T97" i="54" s="1"/>
  <c r="U77" i="54" a="1"/>
  <c r="U77" i="54" s="1"/>
  <c r="T83" i="54" a="1"/>
  <c r="T83" i="54" s="1"/>
  <c r="T98" i="54" a="1"/>
  <c r="T98" i="54" s="1"/>
  <c r="T81" i="54" a="1"/>
  <c r="T81" i="54" s="1"/>
  <c r="T93" i="54" a="1"/>
  <c r="T93" i="54" s="1"/>
  <c r="T108" i="54" a="1"/>
  <c r="T108" i="54" s="1"/>
  <c r="T95" i="54" a="1"/>
  <c r="T95" i="54" s="1"/>
  <c r="T110" i="54" a="1"/>
  <c r="T110" i="54" s="1"/>
  <c r="T96" i="54" a="1"/>
  <c r="T96" i="54" s="1"/>
  <c r="T68" i="53" a="1"/>
  <c r="T68" i="53" s="1"/>
  <c r="T64" i="53" a="1"/>
  <c r="T64" i="53" s="1"/>
  <c r="T14" i="53" a="1"/>
  <c r="T14" i="53" s="1"/>
  <c r="T37" i="53" a="1"/>
  <c r="T37" i="53" s="1"/>
  <c r="U66" i="53" a="1"/>
  <c r="U66" i="53" s="1"/>
  <c r="U82" i="53" a="1"/>
  <c r="U82" i="53" s="1"/>
  <c r="T72" i="53" a="1"/>
  <c r="T72" i="53" s="1"/>
  <c r="U110" i="53" a="1"/>
  <c r="U110" i="53" s="1"/>
  <c r="T104" i="53" a="1"/>
  <c r="T104" i="53" s="1"/>
  <c r="T108" i="53" a="1"/>
  <c r="T108" i="53" s="1"/>
  <c r="U86" i="53" a="1"/>
  <c r="U86" i="53" s="1"/>
  <c r="T88" i="53" a="1"/>
  <c r="T88" i="53" s="1"/>
  <c r="U70" i="53" a="1"/>
  <c r="U70" i="53" s="1"/>
  <c r="T18" i="53" a="1"/>
  <c r="T18" i="53" s="1"/>
  <c r="T76" i="53" a="1"/>
  <c r="T76" i="53" s="1"/>
  <c r="T84" i="53" a="1"/>
  <c r="T84" i="53" s="1"/>
  <c r="U78" i="53" a="1"/>
  <c r="U78" i="53" s="1"/>
  <c r="T23" i="53" a="1"/>
  <c r="T23" i="53" s="1"/>
  <c r="U39" i="53" a="1"/>
  <c r="U39" i="53" s="1"/>
  <c r="T54" i="53" a="1"/>
  <c r="T54" i="53" s="1"/>
  <c r="T17" i="53" a="1"/>
  <c r="T17" i="53" s="1"/>
  <c r="T13" i="53" a="1"/>
  <c r="T13" i="53" s="1"/>
  <c r="T48" i="53" a="1"/>
  <c r="T48" i="53" s="1"/>
  <c r="U12" i="53" a="1"/>
  <c r="U12" i="53" s="1"/>
  <c r="U47" i="53" a="1"/>
  <c r="U47" i="53" s="1"/>
  <c r="V24" i="53" a="1"/>
  <c r="V24" i="53" s="1"/>
  <c r="T25" i="53" a="1"/>
  <c r="T25" i="53" s="1"/>
  <c r="T50" i="53" a="1"/>
  <c r="T50" i="53" s="1"/>
  <c r="T15" i="53" a="1"/>
  <c r="T15" i="53" s="1"/>
  <c r="V20" i="53" a="1"/>
  <c r="V20" i="53" s="1"/>
  <c r="V16" i="53" a="1"/>
  <c r="V16" i="53" s="1"/>
  <c r="T27" i="53" a="1"/>
  <c r="T27" i="53" s="1"/>
  <c r="T35" i="53" a="1"/>
  <c r="T35" i="53" s="1"/>
  <c r="T49" i="53" a="1"/>
  <c r="T49" i="53" s="1"/>
  <c r="T51" i="53" a="1"/>
  <c r="T51" i="53" s="1"/>
  <c r="T59" i="53" a="1"/>
  <c r="T59" i="53" s="1"/>
  <c r="T46" i="53" a="1"/>
  <c r="T46" i="53" s="1"/>
  <c r="T63" i="53" a="1"/>
  <c r="T63" i="53" s="1"/>
  <c r="T52" i="53" a="1"/>
  <c r="T52" i="53" s="1"/>
  <c r="V22" i="53" a="1"/>
  <c r="V22" i="53" s="1"/>
  <c r="T21" i="53" a="1"/>
  <c r="T21" i="53" s="1"/>
  <c r="T53" i="53" a="1"/>
  <c r="T53" i="53" s="1"/>
  <c r="T61" i="53" a="1"/>
  <c r="T61" i="53" s="1"/>
  <c r="T58" i="53" a="1"/>
  <c r="T58" i="53" s="1"/>
  <c r="T44" i="53" a="1"/>
  <c r="T44" i="53" s="1"/>
  <c r="T31" i="53" a="1"/>
  <c r="T31" i="53" s="1"/>
  <c r="T55" i="53" a="1"/>
  <c r="T55" i="53" s="1"/>
  <c r="T56" i="53" a="1"/>
  <c r="T56" i="53" s="1"/>
  <c r="T19" i="53" a="1"/>
  <c r="T19" i="53" s="1"/>
  <c r="T33" i="53" a="1"/>
  <c r="T33" i="53" s="1"/>
  <c r="U45" i="53" a="1"/>
  <c r="U45" i="53" s="1"/>
  <c r="V60" i="53" a="1"/>
  <c r="V60" i="53" s="1"/>
  <c r="T57" i="53" a="1"/>
  <c r="T57" i="53" s="1"/>
  <c r="T40" i="53" a="1"/>
  <c r="T40" i="53" s="1"/>
  <c r="T42" i="53" a="1"/>
  <c r="T42" i="53" s="1"/>
  <c r="T38" i="53" a="1"/>
  <c r="T38" i="53" s="1"/>
  <c r="T88" i="52" a="1"/>
  <c r="T88" i="52" s="1"/>
  <c r="T52" i="52" a="1"/>
  <c r="T52" i="52" s="1"/>
  <c r="T63" i="52" a="1"/>
  <c r="T63" i="52" s="1"/>
  <c r="T59" i="52" a="1"/>
  <c r="T59" i="52" s="1"/>
  <c r="T87" i="52" a="1"/>
  <c r="T87" i="52" s="1"/>
  <c r="T47" i="52" a="1"/>
  <c r="T47" i="52" s="1"/>
  <c r="T54" i="52" a="1"/>
  <c r="T54" i="52" s="1"/>
  <c r="T50" i="52" a="1"/>
  <c r="T50" i="52" s="1"/>
  <c r="T49" i="52" a="1"/>
  <c r="T49" i="52" s="1"/>
  <c r="T78" i="52" a="1"/>
  <c r="T78" i="52" s="1"/>
  <c r="T61" i="52" a="1"/>
  <c r="T61" i="52" s="1"/>
  <c r="T82" i="52" a="1"/>
  <c r="T82" i="52" s="1"/>
  <c r="T80" i="52" a="1"/>
  <c r="T80" i="52" s="1"/>
  <c r="T74" i="52" a="1"/>
  <c r="T74" i="52" s="1"/>
  <c r="T58" i="52" a="1"/>
  <c r="T58" i="52" s="1"/>
  <c r="U92" i="52" a="1"/>
  <c r="U92" i="52" s="1"/>
  <c r="T46" i="52" a="1"/>
  <c r="T46" i="52" s="1"/>
  <c r="T60" i="52" a="1"/>
  <c r="T60" i="52" s="1"/>
  <c r="T69" i="52" a="1"/>
  <c r="T69" i="52" s="1"/>
  <c r="T55" i="52" a="1"/>
  <c r="T55" i="52" s="1"/>
  <c r="T48" i="52" a="1"/>
  <c r="T48" i="52" s="1"/>
  <c r="T73" i="52" a="1"/>
  <c r="T73" i="52" s="1"/>
  <c r="T57" i="52" a="1"/>
  <c r="T57" i="52" s="1"/>
  <c r="T91" i="52" a="1"/>
  <c r="T91" i="52" s="1"/>
  <c r="T85" i="52" a="1"/>
  <c r="T85" i="52" s="1"/>
  <c r="T67" i="52" a="1"/>
  <c r="T67" i="52" s="1"/>
  <c r="T75" i="52" a="1"/>
  <c r="T75" i="52" s="1"/>
  <c r="T53" i="52" a="1"/>
  <c r="T53" i="52" s="1"/>
  <c r="T77" i="52" a="1"/>
  <c r="T77" i="52" s="1"/>
  <c r="T56" i="52" a="1"/>
  <c r="T56" i="52" s="1"/>
  <c r="T66" i="52" a="1"/>
  <c r="T66" i="52" s="1"/>
  <c r="T68" i="52" a="1"/>
  <c r="T68" i="52" s="1"/>
  <c r="T84" i="52" a="1"/>
  <c r="T84" i="52" s="1"/>
  <c r="T121" i="53" l="1"/>
  <c r="S117" i="53"/>
  <c r="S123" i="54"/>
  <c r="L36" i="75"/>
  <c r="U74" i="53" a="1"/>
  <c r="U74" i="53" s="1"/>
  <c r="U109" i="53" a="1"/>
  <c r="U109" i="53" s="1"/>
  <c r="J130" i="53"/>
  <c r="I121" i="53"/>
  <c r="S118" i="54"/>
  <c r="T62" i="54" a="1"/>
  <c r="T62" i="54" s="1"/>
  <c r="I119" i="54"/>
  <c r="T99" i="54" a="1"/>
  <c r="T99" i="54" s="1"/>
  <c r="T127" i="54" s="1"/>
  <c r="I127" i="54"/>
  <c r="T106" i="54" a="1"/>
  <c r="T106" i="54" s="1"/>
  <c r="T129" i="54" s="1"/>
  <c r="I129" i="54"/>
  <c r="T43" i="54" a="1"/>
  <c r="T43" i="54" s="1"/>
  <c r="I118" i="54"/>
  <c r="I123" i="53"/>
  <c r="T109" i="54" a="1"/>
  <c r="T109" i="54" s="1"/>
  <c r="T130" i="54" s="1"/>
  <c r="I130" i="54"/>
  <c r="T94" i="54" a="1"/>
  <c r="T94" i="54" s="1"/>
  <c r="T126" i="54" s="1"/>
  <c r="I126" i="54"/>
  <c r="T80" i="54" a="1"/>
  <c r="T80" i="54" s="1"/>
  <c r="T122" i="54" s="1"/>
  <c r="I122" i="54"/>
  <c r="T80" i="53" a="1"/>
  <c r="T80" i="53" s="1"/>
  <c r="T122" i="53" s="1"/>
  <c r="I122" i="53"/>
  <c r="T62" i="53" a="1"/>
  <c r="T62" i="53" s="1"/>
  <c r="T119" i="53" s="1"/>
  <c r="I119" i="53"/>
  <c r="T67" i="54" a="1"/>
  <c r="T67" i="54" s="1"/>
  <c r="T120" i="54" s="1"/>
  <c r="I120" i="54"/>
  <c r="S117" i="54"/>
  <c r="T29" i="54" a="1"/>
  <c r="T29" i="54" s="1"/>
  <c r="I117" i="54"/>
  <c r="S131" i="54"/>
  <c r="P285" i="28" s="1"/>
  <c r="U102" i="53" a="1"/>
  <c r="U102" i="53" s="1"/>
  <c r="U29" i="54" a="1"/>
  <c r="U29" i="54" s="1"/>
  <c r="S122" i="54"/>
  <c r="T43" i="53" a="1"/>
  <c r="T43" i="53" s="1"/>
  <c r="T118" i="53" s="1"/>
  <c r="I118" i="53"/>
  <c r="I120" i="53"/>
  <c r="T29" i="53" a="1"/>
  <c r="T29" i="53" s="1"/>
  <c r="I117" i="53"/>
  <c r="V36" i="53" a="1"/>
  <c r="V36" i="53" s="1"/>
  <c r="T102" i="54" a="1"/>
  <c r="T102" i="54" s="1"/>
  <c r="T128" i="54" s="1"/>
  <c r="I128" i="54"/>
  <c r="I131" i="54"/>
  <c r="T74" i="54" a="1"/>
  <c r="T74" i="54" s="1"/>
  <c r="T121" i="54" s="1"/>
  <c r="I121" i="54"/>
  <c r="S119" i="54"/>
  <c r="U130" i="53"/>
  <c r="S123" i="53"/>
  <c r="H114" i="54"/>
  <c r="V30" i="53" a="1"/>
  <c r="V30" i="53" s="1"/>
  <c r="I112" i="54"/>
  <c r="P375" i="28" s="1"/>
  <c r="S112" i="54"/>
  <c r="P268" i="28" s="1"/>
  <c r="R114" i="54"/>
  <c r="I112" i="53"/>
  <c r="P376" i="28" s="1"/>
  <c r="T90" i="54" a="1"/>
  <c r="T90" i="54" s="1"/>
  <c r="I113" i="54"/>
  <c r="I122" i="52"/>
  <c r="U11" i="54" a="1"/>
  <c r="U11" i="54" s="1"/>
  <c r="S113" i="54"/>
  <c r="S112" i="53"/>
  <c r="P269" i="28" s="1"/>
  <c r="U90" i="53" a="1"/>
  <c r="U90" i="53" s="1"/>
  <c r="T79" i="52" a="1"/>
  <c r="T79" i="52" s="1"/>
  <c r="I116" i="52"/>
  <c r="T42" i="52" a="1"/>
  <c r="T42" i="52" s="1"/>
  <c r="I98" i="52"/>
  <c r="I108" i="52"/>
  <c r="T89" i="52" a="1"/>
  <c r="T89" i="52" s="1"/>
  <c r="I113" i="52"/>
  <c r="T45" i="52" a="1"/>
  <c r="T45" i="52" s="1"/>
  <c r="T102" i="52" s="1"/>
  <c r="I102" i="52"/>
  <c r="T64" i="52" a="1"/>
  <c r="T64" i="52" s="1"/>
  <c r="T105" i="52" s="1"/>
  <c r="I105" i="52"/>
  <c r="T70" i="52" a="1"/>
  <c r="T70" i="52" s="1"/>
  <c r="I106" i="52"/>
  <c r="T62" i="52" a="1"/>
  <c r="T62" i="52" s="1"/>
  <c r="T104" i="52" s="1"/>
  <c r="I104" i="52"/>
  <c r="T86" i="52" a="1"/>
  <c r="T86" i="52" s="1"/>
  <c r="T112" i="52" s="1"/>
  <c r="I112" i="52"/>
  <c r="U94" i="52" a="1"/>
  <c r="U94" i="52" s="1"/>
  <c r="S106" i="52"/>
  <c r="I111" i="52"/>
  <c r="S113" i="52"/>
  <c r="T51" i="52" a="1"/>
  <c r="T51" i="52" s="1"/>
  <c r="T103" i="52" s="1"/>
  <c r="I103" i="52"/>
  <c r="U96" i="52" a="1"/>
  <c r="U96" i="52" s="1"/>
  <c r="T96" i="52" a="1"/>
  <c r="T96" i="52" s="1"/>
  <c r="T115" i="52" s="1"/>
  <c r="I115" i="52"/>
  <c r="S108" i="52"/>
  <c r="O419" i="28" s="1"/>
  <c r="S98" i="52"/>
  <c r="I114" i="52"/>
  <c r="T76" i="52" a="1"/>
  <c r="T76" i="52" s="1"/>
  <c r="T107" i="52" s="1"/>
  <c r="I107" i="52"/>
  <c r="S116" i="52"/>
  <c r="T11" i="53" a="1"/>
  <c r="T11" i="53" s="1"/>
  <c r="U28" i="53" a="1"/>
  <c r="U28" i="53" s="1"/>
  <c r="V28" i="53" a="1"/>
  <c r="V28" i="53" s="1"/>
  <c r="T28" i="53" a="1"/>
  <c r="T28" i="53" s="1"/>
  <c r="Q28" i="75"/>
  <c r="U15" i="54" a="1"/>
  <c r="U15" i="54" s="1"/>
  <c r="V83" i="52" a="1"/>
  <c r="V83" i="52" s="1"/>
  <c r="AD101" i="57" a="1"/>
  <c r="AD101" i="57" s="1"/>
  <c r="U82" i="54" a="1"/>
  <c r="U82" i="54" s="1"/>
  <c r="M28" i="75"/>
  <c r="N30" i="75"/>
  <c r="U13" i="54" a="1"/>
  <c r="U13" i="54" s="1"/>
  <c r="R136" i="57"/>
  <c r="Q36" i="75"/>
  <c r="N28" i="75"/>
  <c r="O28" i="75"/>
  <c r="O30" i="75"/>
  <c r="P30" i="75"/>
  <c r="S111" i="54"/>
  <c r="U69" i="54" a="1"/>
  <c r="U69" i="54" s="1"/>
  <c r="U17" i="54" a="1"/>
  <c r="U17" i="54" s="1"/>
  <c r="AD99" i="57" a="1"/>
  <c r="AD99" i="57" s="1"/>
  <c r="S189" i="57"/>
  <c r="AD100" i="57" a="1"/>
  <c r="AD100" i="57" s="1"/>
  <c r="S190" i="57"/>
  <c r="AD104" i="57" a="1"/>
  <c r="AD104" i="57" s="1"/>
  <c r="S194" i="57"/>
  <c r="H128" i="57"/>
  <c r="I45" i="57"/>
  <c r="AE45" i="57" s="1" a="1"/>
  <c r="AE45" i="57" s="1"/>
  <c r="T30" i="54" a="1"/>
  <c r="T30" i="54" s="1"/>
  <c r="T26" i="53" a="1"/>
  <c r="T26" i="53" s="1"/>
  <c r="T34" i="53" a="1"/>
  <c r="T34" i="53" s="1"/>
  <c r="I54" i="57"/>
  <c r="AE54" i="57" s="1" a="1"/>
  <c r="AE54" i="57" s="1"/>
  <c r="I101" i="57"/>
  <c r="T191" i="57" s="1"/>
  <c r="T86" i="54" a="1"/>
  <c r="T86" i="54" s="1"/>
  <c r="I75" i="57"/>
  <c r="AE75" i="57" s="1" a="1"/>
  <c r="AE75" i="57" s="1"/>
  <c r="T60" i="54" a="1"/>
  <c r="T60" i="54" s="1"/>
  <c r="I81" i="57"/>
  <c r="AE81" i="57" s="1" a="1"/>
  <c r="AE81" i="57" s="1"/>
  <c r="T66" i="54" a="1"/>
  <c r="T66" i="54" s="1"/>
  <c r="R128" i="57"/>
  <c r="T67" i="53" a="1"/>
  <c r="T67" i="53" s="1"/>
  <c r="T120" i="53" s="1"/>
  <c r="U36" i="54" a="1"/>
  <c r="U36" i="54" s="1"/>
  <c r="T36" i="54" a="1"/>
  <c r="T36" i="54" s="1"/>
  <c r="I27" i="57"/>
  <c r="AE27" i="57" s="1" a="1"/>
  <c r="AE27" i="57" s="1"/>
  <c r="T12" i="54" a="1"/>
  <c r="T12" i="54" s="1"/>
  <c r="I106" i="57"/>
  <c r="AE106" i="57" s="1" a="1"/>
  <c r="AE106" i="57" s="1"/>
  <c r="T91" i="54" a="1"/>
  <c r="T91" i="54" s="1"/>
  <c r="I62" i="57"/>
  <c r="AE62" i="57" s="1" a="1"/>
  <c r="AE62" i="57" s="1"/>
  <c r="T47" i="54" a="1"/>
  <c r="T47" i="54" s="1"/>
  <c r="I35" i="57"/>
  <c r="AE35" i="57" s="1" a="1"/>
  <c r="AE35" i="57" s="1"/>
  <c r="T20" i="54" a="1"/>
  <c r="T20" i="54" s="1"/>
  <c r="U41" i="53" a="1"/>
  <c r="U41" i="53" s="1"/>
  <c r="T41" i="53" a="1"/>
  <c r="T41" i="53" s="1"/>
  <c r="I80" i="57"/>
  <c r="AE80" i="57" s="1" a="1"/>
  <c r="AE80" i="57" s="1"/>
  <c r="T65" i="54" a="1"/>
  <c r="T65" i="54" s="1"/>
  <c r="I104" i="57"/>
  <c r="T89" i="54" a="1"/>
  <c r="T89" i="54" s="1"/>
  <c r="I31" i="57"/>
  <c r="AE31" i="57" s="1" a="1"/>
  <c r="AE31" i="57" s="1"/>
  <c r="T16" i="54" a="1"/>
  <c r="T16" i="54" s="1"/>
  <c r="I43" i="57"/>
  <c r="AE43" i="57" s="1" a="1"/>
  <c r="AE43" i="57" s="1"/>
  <c r="T28" i="54" a="1"/>
  <c r="T28" i="54" s="1"/>
  <c r="I39" i="57"/>
  <c r="AE39" i="57" s="1" a="1"/>
  <c r="AE39" i="57" s="1"/>
  <c r="T24" i="54" a="1"/>
  <c r="T24" i="54" s="1"/>
  <c r="I37" i="57"/>
  <c r="AE37" i="57" s="1" a="1"/>
  <c r="AE37" i="57" s="1"/>
  <c r="T22" i="54" a="1"/>
  <c r="T22" i="54" s="1"/>
  <c r="U93" i="52" a="1"/>
  <c r="U93" i="52" s="1"/>
  <c r="T93" i="52" a="1"/>
  <c r="T93" i="52" s="1"/>
  <c r="T114" i="52" s="1"/>
  <c r="T72" i="52" a="1"/>
  <c r="T72" i="52" s="1"/>
  <c r="T71" i="52" a="1"/>
  <c r="T71" i="52" s="1"/>
  <c r="T81" i="52" a="1"/>
  <c r="T81" i="52" s="1"/>
  <c r="T111" i="52" s="1"/>
  <c r="T90" i="52" a="1"/>
  <c r="T90" i="52" s="1"/>
  <c r="O126" i="57"/>
  <c r="P126" i="57"/>
  <c r="N126" i="57"/>
  <c r="M126" i="57"/>
  <c r="Q126" i="57"/>
  <c r="U97" i="52" a="1"/>
  <c r="U97" i="52" s="1"/>
  <c r="AC130" i="57"/>
  <c r="R130" i="57" s="1"/>
  <c r="AC136" i="57"/>
  <c r="AD42" i="57" a="1"/>
  <c r="AD42" i="57" s="1"/>
  <c r="AD128" i="57" s="1"/>
  <c r="AC126" i="57"/>
  <c r="Q26" i="75" s="1"/>
  <c r="U91" i="53" a="1"/>
  <c r="U91" i="53" s="1"/>
  <c r="I42" i="57"/>
  <c r="AE42" i="57" s="1" a="1"/>
  <c r="AE42" i="57" s="1"/>
  <c r="J54" i="57"/>
  <c r="AF54" i="57" s="1" a="1"/>
  <c r="AF54" i="57" s="1"/>
  <c r="I29" i="57"/>
  <c r="AE29" i="57" s="1" a="1"/>
  <c r="AE29" i="57" s="1"/>
  <c r="I56" i="57"/>
  <c r="AE56" i="57" s="1" a="1"/>
  <c r="AE56" i="57" s="1"/>
  <c r="I30" i="57"/>
  <c r="AE30" i="57" s="1" a="1"/>
  <c r="AE30" i="57" s="1"/>
  <c r="I37" i="59"/>
  <c r="T37" i="59" s="1"/>
  <c r="I34" i="57"/>
  <c r="AE34" i="57" s="1" a="1"/>
  <c r="AE34" i="57" s="1"/>
  <c r="I76" i="57"/>
  <c r="AE76" i="57" s="1" a="1"/>
  <c r="AE76" i="57" s="1"/>
  <c r="I36" i="57"/>
  <c r="AE36" i="57" s="1" a="1"/>
  <c r="AE36" i="57" s="1"/>
  <c r="I78" i="57"/>
  <c r="AE78" i="57" s="1" a="1"/>
  <c r="AE78" i="57" s="1"/>
  <c r="I40" i="57"/>
  <c r="AE40" i="57" s="1" a="1"/>
  <c r="AE40" i="57" s="1"/>
  <c r="I100" i="57"/>
  <c r="I99" i="57"/>
  <c r="I28" i="57"/>
  <c r="AE28" i="57" s="1" a="1"/>
  <c r="AE28" i="57" s="1"/>
  <c r="I38" i="57"/>
  <c r="AE38" i="57" s="1" a="1"/>
  <c r="AE38" i="57" s="1"/>
  <c r="I53" i="57"/>
  <c r="AE53" i="57" s="1" a="1"/>
  <c r="AE53" i="57" s="1"/>
  <c r="I41" i="57"/>
  <c r="H136" i="57"/>
  <c r="H130" i="57"/>
  <c r="I48" i="57"/>
  <c r="AE48" i="57" s="1" a="1"/>
  <c r="AE48" i="57" s="1"/>
  <c r="I70" i="57"/>
  <c r="AE70" i="57" s="1" a="1"/>
  <c r="AE70" i="57" s="1"/>
  <c r="I58" i="57"/>
  <c r="AE58" i="57" s="1" a="1"/>
  <c r="AE58" i="57" s="1"/>
  <c r="I50" i="57"/>
  <c r="AE50" i="57" s="1" a="1"/>
  <c r="AE50" i="57" s="1"/>
  <c r="I69" i="57"/>
  <c r="AE69" i="57" s="1" a="1"/>
  <c r="AE69" i="57" s="1"/>
  <c r="AD26" i="57" a="1"/>
  <c r="AD26" i="57" s="1"/>
  <c r="H126" i="57"/>
  <c r="AD103" i="57" a="1"/>
  <c r="AD103" i="57" s="1"/>
  <c r="AD102" i="57" a="1"/>
  <c r="AD102" i="57" s="1"/>
  <c r="AD51" i="57" a="1"/>
  <c r="AD51" i="57" s="1"/>
  <c r="AD55" i="57" a="1"/>
  <c r="AD55" i="57" s="1"/>
  <c r="AD130" i="57" s="1"/>
  <c r="AD69" i="57" a="1"/>
  <c r="AD69" i="57" s="1"/>
  <c r="AD105" i="57" a="1"/>
  <c r="AD105" i="57" s="1"/>
  <c r="AD52" i="57" a="1"/>
  <c r="AD52" i="57" s="1"/>
  <c r="AE88" i="57" a="1"/>
  <c r="AE88" i="57" s="1"/>
  <c r="AD59" i="57" a="1"/>
  <c r="AD59" i="57" s="1"/>
  <c r="AD29" i="57" a="1"/>
  <c r="AD29" i="57" s="1"/>
  <c r="AD58" i="57" a="1"/>
  <c r="AD58" i="57" s="1"/>
  <c r="I51" i="57"/>
  <c r="I36" i="59"/>
  <c r="T36" i="59" s="1"/>
  <c r="U95" i="52" a="1"/>
  <c r="U95" i="52" s="1"/>
  <c r="I61" i="57"/>
  <c r="I46" i="59"/>
  <c r="T46" i="59" s="1"/>
  <c r="D124" i="52"/>
  <c r="K192" i="28" s="1"/>
  <c r="E123" i="52"/>
  <c r="I52" i="57"/>
  <c r="I26" i="57"/>
  <c r="I136" i="53"/>
  <c r="I55" i="57"/>
  <c r="I59" i="57"/>
  <c r="I111" i="54"/>
  <c r="I127" i="52"/>
  <c r="I136" i="54"/>
  <c r="D128" i="52"/>
  <c r="C129" i="52"/>
  <c r="F137" i="53"/>
  <c r="E138" i="53"/>
  <c r="L178" i="28" s="1"/>
  <c r="F142" i="54"/>
  <c r="E143" i="54"/>
  <c r="M218" i="28" s="1"/>
  <c r="I105" i="57"/>
  <c r="I141" i="54"/>
  <c r="E137" i="54"/>
  <c r="D138" i="54"/>
  <c r="K177" i="28" s="1"/>
  <c r="I100" i="52"/>
  <c r="U85" i="53" a="1"/>
  <c r="U85" i="53" s="1"/>
  <c r="I103" i="57"/>
  <c r="T193" i="57" s="1"/>
  <c r="I74" i="57"/>
  <c r="U77" i="53" a="1"/>
  <c r="U77" i="53" s="1"/>
  <c r="U81" i="53" a="1"/>
  <c r="U81" i="53" s="1"/>
  <c r="V83" i="53" a="1"/>
  <c r="V83" i="53" s="1"/>
  <c r="V107" i="53" a="1"/>
  <c r="V107" i="53" s="1"/>
  <c r="J88" i="57"/>
  <c r="V73" i="53" a="1"/>
  <c r="V73" i="53" s="1"/>
  <c r="V79" i="53" a="1"/>
  <c r="V79" i="53" s="1"/>
  <c r="V71" i="53" a="1"/>
  <c r="V71" i="53" s="1"/>
  <c r="V103" i="53" a="1"/>
  <c r="V103" i="53" s="1"/>
  <c r="V65" i="53" a="1"/>
  <c r="V65" i="53" s="1"/>
  <c r="I33" i="57"/>
  <c r="I57" i="57"/>
  <c r="V75" i="53" a="1"/>
  <c r="V75" i="53" s="1"/>
  <c r="I102" i="57"/>
  <c r="T192" i="57" s="1"/>
  <c r="U87" i="53" a="1"/>
  <c r="U87" i="53" s="1"/>
  <c r="V89" i="53" a="1"/>
  <c r="V89" i="53" s="1"/>
  <c r="V69" i="53" a="1"/>
  <c r="V69" i="53" s="1"/>
  <c r="U59" i="54" a="1"/>
  <c r="U59" i="54" s="1"/>
  <c r="U55" i="54" a="1"/>
  <c r="U55" i="54" s="1"/>
  <c r="U49" i="54" a="1"/>
  <c r="U49" i="54" s="1"/>
  <c r="U45" i="54" a="1"/>
  <c r="U45" i="54" s="1"/>
  <c r="U51" i="54" a="1"/>
  <c r="U51" i="54" s="1"/>
  <c r="U61" i="54" a="1"/>
  <c r="U61" i="54" s="1"/>
  <c r="U57" i="54" a="1"/>
  <c r="U57" i="54" s="1"/>
  <c r="U53" i="54" a="1"/>
  <c r="U53" i="54" s="1"/>
  <c r="U34" i="54" a="1"/>
  <c r="U34" i="54" s="1"/>
  <c r="U96" i="54" a="1"/>
  <c r="U96" i="54" s="1"/>
  <c r="U98" i="54" a="1"/>
  <c r="U98" i="54" s="1"/>
  <c r="U56" i="54" a="1"/>
  <c r="U56" i="54" s="1"/>
  <c r="U78" i="54" a="1"/>
  <c r="U78" i="54" s="1"/>
  <c r="U38" i="54" a="1"/>
  <c r="U38" i="54" s="1"/>
  <c r="U92" i="54" a="1"/>
  <c r="U92" i="54" s="1"/>
  <c r="V27" i="54" a="1"/>
  <c r="V27" i="54" s="1"/>
  <c r="V33" i="54" a="1"/>
  <c r="V33" i="54" s="1"/>
  <c r="W39" i="54" a="1"/>
  <c r="W39" i="54" s="1"/>
  <c r="U76" i="54" a="1"/>
  <c r="U76" i="54" s="1"/>
  <c r="V31" i="54" a="1"/>
  <c r="V31" i="54" s="1"/>
  <c r="U28" i="54" a="1"/>
  <c r="U28" i="54" s="1"/>
  <c r="U14" i="54" a="1"/>
  <c r="U14" i="54" s="1"/>
  <c r="U32" i="54" a="1"/>
  <c r="U32" i="54" s="1"/>
  <c r="U22" i="54" a="1"/>
  <c r="U22" i="54" s="1"/>
  <c r="U16" i="54" a="1"/>
  <c r="U16" i="54" s="1"/>
  <c r="V82" i="54" a="1"/>
  <c r="V82" i="54" s="1"/>
  <c r="U95" i="54" a="1"/>
  <c r="U95" i="54" s="1"/>
  <c r="V77" i="54" a="1"/>
  <c r="V77" i="54" s="1"/>
  <c r="U64" i="54" a="1"/>
  <c r="U64" i="54" s="1"/>
  <c r="U68" i="54" a="1"/>
  <c r="U68" i="54" s="1"/>
  <c r="U54" i="54" a="1"/>
  <c r="U54" i="54" s="1"/>
  <c r="V75" i="54" a="1"/>
  <c r="V75" i="54" s="1"/>
  <c r="V23" i="54" a="1"/>
  <c r="V23" i="54" s="1"/>
  <c r="U52" i="54" a="1"/>
  <c r="U52" i="54" s="1"/>
  <c r="U100" i="54" a="1"/>
  <c r="U100" i="54" s="1"/>
  <c r="U46" i="54" a="1"/>
  <c r="U46" i="54" s="1"/>
  <c r="U110" i="54" a="1"/>
  <c r="U110" i="54" s="1"/>
  <c r="U108" i="54" a="1"/>
  <c r="U108" i="54" s="1"/>
  <c r="U81" i="54" a="1"/>
  <c r="U81" i="54" s="1"/>
  <c r="U97" i="54" a="1"/>
  <c r="U97" i="54" s="1"/>
  <c r="V35" i="54" a="1"/>
  <c r="V35" i="54" s="1"/>
  <c r="U50" i="54" a="1"/>
  <c r="U50" i="54" s="1"/>
  <c r="U107" i="54" a="1"/>
  <c r="U107" i="54" s="1"/>
  <c r="V63" i="54" a="1"/>
  <c r="V63" i="54" s="1"/>
  <c r="U48" i="54" a="1"/>
  <c r="U48" i="54" s="1"/>
  <c r="V69" i="54" a="1"/>
  <c r="V69" i="54" s="1"/>
  <c r="U60" i="54" a="1"/>
  <c r="U60" i="54" s="1"/>
  <c r="V13" i="54" a="1"/>
  <c r="V13" i="54" s="1"/>
  <c r="V15" i="54" a="1"/>
  <c r="V15" i="54" s="1"/>
  <c r="U103" i="54" a="1"/>
  <c r="U103" i="54" s="1"/>
  <c r="U72" i="54" a="1"/>
  <c r="U72" i="54" s="1"/>
  <c r="V73" i="54" a="1"/>
  <c r="V73" i="54" s="1"/>
  <c r="U20" i="54" a="1"/>
  <c r="U20" i="54" s="1"/>
  <c r="U26" i="54" a="1"/>
  <c r="U26" i="54" s="1"/>
  <c r="V21" i="54" a="1"/>
  <c r="V21" i="54" s="1"/>
  <c r="U58" i="54" a="1"/>
  <c r="U58" i="54" s="1"/>
  <c r="U70" i="54" a="1"/>
  <c r="U70" i="54" s="1"/>
  <c r="V25" i="54" a="1"/>
  <c r="V25" i="54" s="1"/>
  <c r="U88" i="54" a="1"/>
  <c r="U88" i="54" s="1"/>
  <c r="V71" i="54" a="1"/>
  <c r="V71" i="54" s="1"/>
  <c r="W41" i="54" a="1"/>
  <c r="W41" i="54" s="1"/>
  <c r="V37" i="54" a="1"/>
  <c r="V37" i="54" s="1"/>
  <c r="J123" i="54"/>
  <c r="U87" i="54" a="1"/>
  <c r="U87" i="54" s="1"/>
  <c r="U85" i="54" a="1"/>
  <c r="U85" i="54" s="1"/>
  <c r="U104" i="54" a="1"/>
  <c r="U104" i="54" s="1"/>
  <c r="U84" i="54" a="1"/>
  <c r="U84" i="54" s="1"/>
  <c r="U18" i="54" a="1"/>
  <c r="U18" i="54" s="1"/>
  <c r="U101" i="54" a="1"/>
  <c r="U101" i="54" s="1"/>
  <c r="V36" i="54" a="1"/>
  <c r="V36" i="54" s="1"/>
  <c r="U105" i="54" a="1"/>
  <c r="U105" i="54" s="1"/>
  <c r="V17" i="54" a="1"/>
  <c r="V17" i="54" s="1"/>
  <c r="U93" i="54" a="1"/>
  <c r="U93" i="54" s="1"/>
  <c r="V79" i="54" a="1"/>
  <c r="V79" i="54" s="1"/>
  <c r="U44" i="54" a="1"/>
  <c r="U44" i="54" s="1"/>
  <c r="V19" i="54" a="1"/>
  <c r="V19" i="54" s="1"/>
  <c r="U83" i="54" a="1"/>
  <c r="U83" i="54" s="1"/>
  <c r="U24" i="54" a="1"/>
  <c r="U24" i="54" s="1"/>
  <c r="U30" i="54" a="1"/>
  <c r="U30" i="54" s="1"/>
  <c r="U42" i="54" a="1"/>
  <c r="U42" i="54" s="1"/>
  <c r="U40" i="54" a="1"/>
  <c r="U40" i="54" s="1"/>
  <c r="U76" i="53" a="1"/>
  <c r="U76" i="53" s="1"/>
  <c r="V86" i="53" a="1"/>
  <c r="V86" i="53" s="1"/>
  <c r="U108" i="53" a="1"/>
  <c r="U108" i="53" s="1"/>
  <c r="V110" i="53" a="1"/>
  <c r="V110" i="53" s="1"/>
  <c r="V82" i="53" a="1"/>
  <c r="V82" i="53" s="1"/>
  <c r="U64" i="53" a="1"/>
  <c r="U64" i="53" s="1"/>
  <c r="U18" i="53" a="1"/>
  <c r="U18" i="53" s="1"/>
  <c r="U37" i="53" a="1"/>
  <c r="U37" i="53" s="1"/>
  <c r="V78" i="53" a="1"/>
  <c r="V78" i="53" s="1"/>
  <c r="U84" i="53" a="1"/>
  <c r="U84" i="53" s="1"/>
  <c r="V70" i="53" a="1"/>
  <c r="V70" i="53" s="1"/>
  <c r="U88" i="53" a="1"/>
  <c r="U88" i="53" s="1"/>
  <c r="U104" i="53" a="1"/>
  <c r="U104" i="53" s="1"/>
  <c r="U72" i="53" a="1"/>
  <c r="U72" i="53" s="1"/>
  <c r="V66" i="53" a="1"/>
  <c r="V66" i="53" s="1"/>
  <c r="U14" i="53" a="1"/>
  <c r="U14" i="53" s="1"/>
  <c r="U68" i="53" a="1"/>
  <c r="U68" i="53" s="1"/>
  <c r="U40" i="53" a="1"/>
  <c r="U40" i="53" s="1"/>
  <c r="U33" i="53" a="1"/>
  <c r="U33" i="53" s="1"/>
  <c r="U31" i="53" a="1"/>
  <c r="U31" i="53" s="1"/>
  <c r="W30" i="53" a="1"/>
  <c r="W30" i="53" s="1"/>
  <c r="U51" i="53" a="1"/>
  <c r="U51" i="53" s="1"/>
  <c r="W16" i="53" a="1"/>
  <c r="W16" i="53" s="1"/>
  <c r="U50" i="53" a="1"/>
  <c r="U50" i="53" s="1"/>
  <c r="W24" i="53" a="1"/>
  <c r="W24" i="53" s="1"/>
  <c r="V12" i="53" a="1"/>
  <c r="V12" i="53" s="1"/>
  <c r="W36" i="53" a="1"/>
  <c r="W36" i="53" s="1"/>
  <c r="U13" i="53" a="1"/>
  <c r="U13" i="53" s="1"/>
  <c r="U23" i="53" a="1"/>
  <c r="U23" i="53" s="1"/>
  <c r="U15" i="53" a="1"/>
  <c r="U15" i="53" s="1"/>
  <c r="U38" i="53" a="1"/>
  <c r="U38" i="53" s="1"/>
  <c r="W60" i="53" a="1"/>
  <c r="W60" i="53" s="1"/>
  <c r="U44" i="53" a="1"/>
  <c r="U44" i="53" s="1"/>
  <c r="U61" i="53" a="1"/>
  <c r="U61" i="53" s="1"/>
  <c r="U21" i="53" a="1"/>
  <c r="U21" i="53" s="1"/>
  <c r="U52" i="53" a="1"/>
  <c r="U52" i="53" s="1"/>
  <c r="U46" i="53" a="1"/>
  <c r="U46" i="53" s="1"/>
  <c r="U35" i="53" a="1"/>
  <c r="U35" i="53" s="1"/>
  <c r="V47" i="53" a="1"/>
  <c r="V47" i="53" s="1"/>
  <c r="U54" i="53" a="1"/>
  <c r="U54" i="53" s="1"/>
  <c r="U57" i="53" a="1"/>
  <c r="U57" i="53" s="1"/>
  <c r="V45" i="53" a="1"/>
  <c r="V45" i="53" s="1"/>
  <c r="U19" i="53" a="1"/>
  <c r="U19" i="53" s="1"/>
  <c r="U56" i="53" a="1"/>
  <c r="U56" i="53" s="1"/>
  <c r="U55" i="53" a="1"/>
  <c r="U55" i="53" s="1"/>
  <c r="U58" i="53" a="1"/>
  <c r="U58" i="53" s="1"/>
  <c r="U53" i="53" a="1"/>
  <c r="U53" i="53" s="1"/>
  <c r="W22" i="53" a="1"/>
  <c r="W22" i="53" s="1"/>
  <c r="U63" i="53" a="1"/>
  <c r="U63" i="53" s="1"/>
  <c r="U59" i="53" a="1"/>
  <c r="U59" i="53" s="1"/>
  <c r="U49" i="53" a="1"/>
  <c r="U49" i="53" s="1"/>
  <c r="U27" i="53" a="1"/>
  <c r="U27" i="53" s="1"/>
  <c r="W20" i="53" a="1"/>
  <c r="W20" i="53" s="1"/>
  <c r="U25" i="53" a="1"/>
  <c r="U25" i="53" s="1"/>
  <c r="U48" i="53" a="1"/>
  <c r="U48" i="53" s="1"/>
  <c r="V39" i="53" a="1"/>
  <c r="V39" i="53" s="1"/>
  <c r="W28" i="53" a="1"/>
  <c r="W28" i="53" s="1"/>
  <c r="U42" i="53" a="1"/>
  <c r="U42" i="53" s="1"/>
  <c r="U17" i="53" a="1"/>
  <c r="U17" i="53" s="1"/>
  <c r="U88" i="52" a="1"/>
  <c r="U88" i="52" s="1"/>
  <c r="U66" i="52" a="1"/>
  <c r="U66" i="52" s="1"/>
  <c r="U53" i="52" a="1"/>
  <c r="U53" i="52" s="1"/>
  <c r="W83" i="52" a="1"/>
  <c r="W83" i="52" s="1"/>
  <c r="U60" i="52" a="1"/>
  <c r="U60" i="52" s="1"/>
  <c r="U74" i="52" a="1"/>
  <c r="U74" i="52" s="1"/>
  <c r="U78" i="52" a="1"/>
  <c r="U78" i="52" s="1"/>
  <c r="U87" i="52" a="1"/>
  <c r="U87" i="52" s="1"/>
  <c r="U68" i="52" a="1"/>
  <c r="U68" i="52" s="1"/>
  <c r="U85" i="52" a="1"/>
  <c r="U85" i="52" s="1"/>
  <c r="U55" i="52" a="1"/>
  <c r="U55" i="52" s="1"/>
  <c r="U61" i="52" a="1"/>
  <c r="U61" i="52" s="1"/>
  <c r="U54" i="52" a="1"/>
  <c r="U54" i="52" s="1"/>
  <c r="U47" i="52" a="1"/>
  <c r="U47" i="52" s="1"/>
  <c r="U56" i="52" a="1"/>
  <c r="U56" i="52" s="1"/>
  <c r="U75" i="52" a="1"/>
  <c r="U75" i="52" s="1"/>
  <c r="U91" i="52" a="1"/>
  <c r="U91" i="52" s="1"/>
  <c r="U57" i="52" a="1"/>
  <c r="U57" i="52" s="1"/>
  <c r="U48" i="52" a="1"/>
  <c r="U48" i="52" s="1"/>
  <c r="U69" i="52" a="1"/>
  <c r="U69" i="52" s="1"/>
  <c r="U46" i="52" a="1"/>
  <c r="U46" i="52" s="1"/>
  <c r="V92" i="52" a="1"/>
  <c r="V92" i="52" s="1"/>
  <c r="U58" i="52" a="1"/>
  <c r="U58" i="52" s="1"/>
  <c r="U82" i="52" a="1"/>
  <c r="U82" i="52" s="1"/>
  <c r="U49" i="52" a="1"/>
  <c r="U49" i="52" s="1"/>
  <c r="U59" i="52" a="1"/>
  <c r="U59" i="52" s="1"/>
  <c r="U52" i="52" a="1"/>
  <c r="U52" i="52" s="1"/>
  <c r="U77" i="52" a="1"/>
  <c r="U77" i="52" s="1"/>
  <c r="U67" i="52" a="1"/>
  <c r="U67" i="52" s="1"/>
  <c r="U73" i="52" a="1"/>
  <c r="U73" i="52" s="1"/>
  <c r="U80" i="52" a="1"/>
  <c r="U80" i="52" s="1"/>
  <c r="U50" i="52" a="1"/>
  <c r="U50" i="52" s="1"/>
  <c r="U63" i="52" a="1"/>
  <c r="U63" i="52" s="1"/>
  <c r="U84" i="52" a="1"/>
  <c r="U84" i="52" s="1"/>
  <c r="T123" i="54" l="1"/>
  <c r="U121" i="53"/>
  <c r="T117" i="53"/>
  <c r="U80" i="53" a="1"/>
  <c r="U80" i="53" s="1"/>
  <c r="U122" i="53" s="1"/>
  <c r="J122" i="53"/>
  <c r="U94" i="54" a="1"/>
  <c r="U94" i="54" s="1"/>
  <c r="U126" i="54" s="1"/>
  <c r="J126" i="54"/>
  <c r="J120" i="53"/>
  <c r="V74" i="53" a="1"/>
  <c r="V74" i="53" s="1"/>
  <c r="U80" i="54" a="1"/>
  <c r="U80" i="54" s="1"/>
  <c r="U122" i="54" s="1"/>
  <c r="J122" i="54"/>
  <c r="U109" i="54" a="1"/>
  <c r="U109" i="54" s="1"/>
  <c r="U130" i="54" s="1"/>
  <c r="J130" i="54"/>
  <c r="U43" i="53" a="1"/>
  <c r="U43" i="53" s="1"/>
  <c r="U118" i="53" s="1"/>
  <c r="J118" i="53"/>
  <c r="U74" i="54" a="1"/>
  <c r="U74" i="54" s="1"/>
  <c r="U121" i="54" s="1"/>
  <c r="J121" i="54"/>
  <c r="V29" i="54" a="1"/>
  <c r="V29" i="54" s="1"/>
  <c r="J117" i="54"/>
  <c r="T119" i="54"/>
  <c r="U117" i="54"/>
  <c r="T131" i="54"/>
  <c r="Q285" i="28" s="1"/>
  <c r="T118" i="54"/>
  <c r="U62" i="54" a="1"/>
  <c r="U62" i="54" s="1"/>
  <c r="J119" i="54"/>
  <c r="U43" i="54" a="1"/>
  <c r="U43" i="54" s="1"/>
  <c r="J118" i="54"/>
  <c r="V109" i="53" a="1"/>
  <c r="V109" i="53" s="1"/>
  <c r="V130" i="53" s="1"/>
  <c r="K130" i="53"/>
  <c r="U29" i="53" a="1"/>
  <c r="U29" i="53" s="1"/>
  <c r="J117" i="53"/>
  <c r="J123" i="53"/>
  <c r="U102" i="54" a="1"/>
  <c r="U102" i="54" s="1"/>
  <c r="U128" i="54" s="1"/>
  <c r="J128" i="54"/>
  <c r="U99" i="54" a="1"/>
  <c r="U99" i="54" s="1"/>
  <c r="U127" i="54" s="1"/>
  <c r="J127" i="54"/>
  <c r="J131" i="54"/>
  <c r="U106" i="54" a="1"/>
  <c r="U106" i="54" s="1"/>
  <c r="U129" i="54" s="1"/>
  <c r="J129" i="54"/>
  <c r="J121" i="53"/>
  <c r="U62" i="53" a="1"/>
  <c r="U62" i="53" s="1"/>
  <c r="U119" i="53" s="1"/>
  <c r="J119" i="53"/>
  <c r="V102" i="53" a="1"/>
  <c r="V102" i="53" s="1"/>
  <c r="U67" i="54" a="1"/>
  <c r="U67" i="54" s="1"/>
  <c r="U120" i="54" s="1"/>
  <c r="J120" i="54"/>
  <c r="T117" i="54"/>
  <c r="T123" i="53"/>
  <c r="J112" i="54"/>
  <c r="Q375" i="28" s="1"/>
  <c r="T112" i="54"/>
  <c r="Q268" i="28" s="1"/>
  <c r="S114" i="54"/>
  <c r="I114" i="54"/>
  <c r="J112" i="53"/>
  <c r="Q376" i="28" s="1"/>
  <c r="V11" i="54" a="1"/>
  <c r="V11" i="54" s="1"/>
  <c r="U90" i="54" a="1"/>
  <c r="U90" i="54" s="1"/>
  <c r="J113" i="54"/>
  <c r="T113" i="54"/>
  <c r="V90" i="53" a="1"/>
  <c r="V90" i="53" s="1"/>
  <c r="T112" i="53"/>
  <c r="Q269" i="28" s="1"/>
  <c r="U89" i="52" a="1"/>
  <c r="U89" i="52" s="1"/>
  <c r="J113" i="52"/>
  <c r="U64" i="52" a="1"/>
  <c r="U64" i="52" s="1"/>
  <c r="U105" i="52" s="1"/>
  <c r="J105" i="52"/>
  <c r="U62" i="52" a="1"/>
  <c r="U62" i="52" s="1"/>
  <c r="U104" i="52" s="1"/>
  <c r="J104" i="52"/>
  <c r="J114" i="52"/>
  <c r="U70" i="52" a="1"/>
  <c r="U70" i="52" s="1"/>
  <c r="J106" i="52"/>
  <c r="V96" i="52" a="1"/>
  <c r="V96" i="52" s="1"/>
  <c r="U42" i="52" a="1"/>
  <c r="U42" i="52" s="1"/>
  <c r="J98" i="52"/>
  <c r="J108" i="52"/>
  <c r="U45" i="52" a="1"/>
  <c r="U45" i="52" s="1"/>
  <c r="U102" i="52" s="1"/>
  <c r="J102" i="52"/>
  <c r="U114" i="52"/>
  <c r="J115" i="52"/>
  <c r="T113" i="52"/>
  <c r="U86" i="52" a="1"/>
  <c r="U86" i="52" s="1"/>
  <c r="U112" i="52" s="1"/>
  <c r="J112" i="52"/>
  <c r="J111" i="52"/>
  <c r="U115" i="52"/>
  <c r="U51" i="52" a="1"/>
  <c r="U51" i="52" s="1"/>
  <c r="U103" i="52" s="1"/>
  <c r="J103" i="52"/>
  <c r="U79" i="52" a="1"/>
  <c r="U79" i="52" s="1"/>
  <c r="J116" i="52"/>
  <c r="T108" i="52"/>
  <c r="P419" i="28" s="1"/>
  <c r="T98" i="52"/>
  <c r="V94" i="52" a="1"/>
  <c r="V94" i="52" s="1"/>
  <c r="T106" i="52"/>
  <c r="U76" i="52" a="1"/>
  <c r="U76" i="52" s="1"/>
  <c r="U107" i="52" s="1"/>
  <c r="J107" i="52"/>
  <c r="T116" i="52"/>
  <c r="U11" i="53" a="1"/>
  <c r="U11" i="53" s="1"/>
  <c r="V41" i="53" a="1"/>
  <c r="V41" i="53" s="1"/>
  <c r="J56" i="57"/>
  <c r="AF56" i="57" s="1" a="1"/>
  <c r="AF56" i="57" s="1"/>
  <c r="AE101" i="57" a="1"/>
  <c r="AE101" i="57" s="1"/>
  <c r="V97" i="52" a="1"/>
  <c r="V97" i="52" s="1"/>
  <c r="V93" i="52" a="1"/>
  <c r="V93" i="52" s="1"/>
  <c r="S136" i="57"/>
  <c r="R36" i="75"/>
  <c r="Q30" i="75"/>
  <c r="R30" i="75"/>
  <c r="R28" i="75"/>
  <c r="T111" i="54"/>
  <c r="S128" i="57"/>
  <c r="U32" i="53" a="1"/>
  <c r="U32" i="53" s="1"/>
  <c r="AE100" i="57" a="1"/>
  <c r="AE100" i="57" s="1"/>
  <c r="T190" i="57"/>
  <c r="AF88" i="57" a="1"/>
  <c r="AF88" i="57" s="1"/>
  <c r="U178" i="57"/>
  <c r="AE104" i="57" a="1"/>
  <c r="AE104" i="57" s="1"/>
  <c r="T194" i="57"/>
  <c r="AE99" i="57" a="1"/>
  <c r="AE99" i="57" s="1"/>
  <c r="T189" i="57"/>
  <c r="J106" i="57"/>
  <c r="AF106" i="57" s="1" a="1"/>
  <c r="AF106" i="57" s="1"/>
  <c r="U91" i="54" a="1"/>
  <c r="U91" i="54" s="1"/>
  <c r="J101" i="57"/>
  <c r="U191" i="57" s="1"/>
  <c r="U86" i="54" a="1"/>
  <c r="U86" i="54" s="1"/>
  <c r="J80" i="57"/>
  <c r="AF80" i="57" s="1" a="1"/>
  <c r="AF80" i="57" s="1"/>
  <c r="U65" i="54" a="1"/>
  <c r="U65" i="54" s="1"/>
  <c r="U67" i="53" a="1"/>
  <c r="U67" i="53" s="1"/>
  <c r="U120" i="53" s="1"/>
  <c r="U34" i="53" a="1"/>
  <c r="U34" i="53" s="1"/>
  <c r="J27" i="57"/>
  <c r="AF27" i="57" s="1" a="1"/>
  <c r="AF27" i="57" s="1"/>
  <c r="U12" i="54" a="1"/>
  <c r="U12" i="54" s="1"/>
  <c r="J62" i="57"/>
  <c r="AF62" i="57" s="1" a="1"/>
  <c r="AF62" i="57" s="1"/>
  <c r="U47" i="54" a="1"/>
  <c r="U47" i="54" s="1"/>
  <c r="J81" i="57"/>
  <c r="AF81" i="57" s="1" a="1"/>
  <c r="AF81" i="57" s="1"/>
  <c r="U66" i="54" a="1"/>
  <c r="U66" i="54" s="1"/>
  <c r="U26" i="53" a="1"/>
  <c r="U26" i="53" s="1"/>
  <c r="J104" i="57"/>
  <c r="U194" i="57" s="1"/>
  <c r="U89" i="54" a="1"/>
  <c r="U89" i="54" s="1"/>
  <c r="U81" i="52" a="1"/>
  <c r="U81" i="52" s="1"/>
  <c r="U111" i="52" s="1"/>
  <c r="U72" i="52" a="1"/>
  <c r="U72" i="52" s="1"/>
  <c r="U71" i="52" a="1"/>
  <c r="U71" i="52" s="1"/>
  <c r="U90" i="52" a="1"/>
  <c r="U90" i="52" s="1"/>
  <c r="R126" i="57"/>
  <c r="J100" i="57"/>
  <c r="I128" i="57"/>
  <c r="AE41" i="57" a="1"/>
  <c r="AE41" i="57" s="1"/>
  <c r="AE128" i="57" s="1"/>
  <c r="S130" i="57"/>
  <c r="AE105" i="57" a="1"/>
  <c r="AE105" i="57" s="1"/>
  <c r="AD136" i="57"/>
  <c r="AD126" i="57"/>
  <c r="R26" i="75" s="1"/>
  <c r="I130" i="57"/>
  <c r="I136" i="57"/>
  <c r="J36" i="57"/>
  <c r="AF36" i="57" s="1" a="1"/>
  <c r="AF36" i="57" s="1"/>
  <c r="J75" i="57"/>
  <c r="AF75" i="57" s="1" a="1"/>
  <c r="AF75" i="57" s="1"/>
  <c r="J43" i="57"/>
  <c r="AF43" i="57" s="1" a="1"/>
  <c r="AF43" i="57" s="1"/>
  <c r="J34" i="57"/>
  <c r="AF34" i="57" s="1" a="1"/>
  <c r="AF34" i="57" s="1"/>
  <c r="J78" i="57"/>
  <c r="AF78" i="57" s="1" a="1"/>
  <c r="AF78" i="57" s="1"/>
  <c r="J50" i="57"/>
  <c r="AF50" i="57" s="1" a="1"/>
  <c r="AF50" i="57" s="1"/>
  <c r="J76" i="57"/>
  <c r="AF76" i="57" s="1" a="1"/>
  <c r="AF76" i="57" s="1"/>
  <c r="J30" i="57"/>
  <c r="AF30" i="57" s="1" a="1"/>
  <c r="AF30" i="57" s="1"/>
  <c r="J29" i="57"/>
  <c r="AF29" i="57" s="1" a="1"/>
  <c r="AF29" i="57" s="1"/>
  <c r="J33" i="57"/>
  <c r="AF33" i="57" s="1" a="1"/>
  <c r="AF33" i="57" s="1"/>
  <c r="J37" i="57"/>
  <c r="AF37" i="57" s="1" a="1"/>
  <c r="AF37" i="57" s="1"/>
  <c r="K56" i="57"/>
  <c r="AG56" i="57" s="1" a="1"/>
  <c r="AG56" i="57" s="1"/>
  <c r="J37" i="59"/>
  <c r="U37" i="59" s="1"/>
  <c r="J57" i="57"/>
  <c r="AF57" i="57" s="1" a="1"/>
  <c r="AF57" i="57" s="1"/>
  <c r="J41" i="57"/>
  <c r="AF41" i="57" s="1" a="1"/>
  <c r="AF41" i="57" s="1"/>
  <c r="J42" i="57"/>
  <c r="J59" i="57"/>
  <c r="AF59" i="57" s="1" a="1"/>
  <c r="AF59" i="57" s="1"/>
  <c r="K54" i="57"/>
  <c r="AG54" i="57" s="1" a="1"/>
  <c r="AG54" i="57" s="1"/>
  <c r="J40" i="57"/>
  <c r="AF40" i="57" s="1" a="1"/>
  <c r="AF40" i="57" s="1"/>
  <c r="J28" i="57"/>
  <c r="AF28" i="57" s="1" a="1"/>
  <c r="AF28" i="57" s="1"/>
  <c r="J58" i="57"/>
  <c r="AF58" i="57" s="1" a="1"/>
  <c r="AF58" i="57" s="1"/>
  <c r="J39" i="57"/>
  <c r="AF39" i="57" s="1" a="1"/>
  <c r="AF39" i="57" s="1"/>
  <c r="J48" i="57"/>
  <c r="AF48" i="57" s="1" a="1"/>
  <c r="AF48" i="57" s="1"/>
  <c r="J45" i="57"/>
  <c r="AF45" i="57" s="1" a="1"/>
  <c r="AF45" i="57" s="1"/>
  <c r="J35" i="57"/>
  <c r="AF35" i="57" s="1" a="1"/>
  <c r="AF35" i="57" s="1"/>
  <c r="J31" i="57"/>
  <c r="AF31" i="57" s="1" a="1"/>
  <c r="AF31" i="57" s="1"/>
  <c r="J38" i="57"/>
  <c r="AF38" i="57" s="1" a="1"/>
  <c r="AF38" i="57" s="1"/>
  <c r="J46" i="59"/>
  <c r="U46" i="59" s="1"/>
  <c r="V91" i="53" a="1"/>
  <c r="V91" i="53" s="1"/>
  <c r="AE26" i="57" a="1"/>
  <c r="AE26" i="57" s="1"/>
  <c r="I126" i="57"/>
  <c r="AE59" i="57" a="1"/>
  <c r="AE59" i="57" s="1"/>
  <c r="AE102" i="57" a="1"/>
  <c r="AE102" i="57" s="1"/>
  <c r="AE74" i="57" a="1"/>
  <c r="AE74" i="57" s="1"/>
  <c r="AE55" i="57" a="1"/>
  <c r="AE55" i="57" s="1"/>
  <c r="AE61" i="57" a="1"/>
  <c r="AE61" i="57" s="1"/>
  <c r="AE51" i="57" a="1"/>
  <c r="AE51" i="57" s="1"/>
  <c r="AE103" i="57" a="1"/>
  <c r="AE103" i="57" s="1"/>
  <c r="AE57" i="57" a="1"/>
  <c r="AE57" i="57" s="1"/>
  <c r="AE33" i="57" a="1"/>
  <c r="AE33" i="57" s="1"/>
  <c r="AE52" i="57" a="1"/>
  <c r="AE52" i="57" s="1"/>
  <c r="V95" i="52" a="1"/>
  <c r="V95" i="52" s="1"/>
  <c r="W97" i="52" a="1"/>
  <c r="W97" i="52" s="1"/>
  <c r="J51" i="57"/>
  <c r="J36" i="59"/>
  <c r="U36" i="59" s="1"/>
  <c r="W93" i="52" a="1"/>
  <c r="W93" i="52" s="1"/>
  <c r="F123" i="52"/>
  <c r="E124" i="52"/>
  <c r="L192" i="28" s="1"/>
  <c r="J105" i="57"/>
  <c r="J141" i="54"/>
  <c r="J52" i="57"/>
  <c r="J69" i="57"/>
  <c r="AF69" i="57" s="1" a="1"/>
  <c r="AF69" i="57" s="1"/>
  <c r="J127" i="52"/>
  <c r="J26" i="57"/>
  <c r="J136" i="53"/>
  <c r="J70" i="57"/>
  <c r="AF70" i="57" s="1" a="1"/>
  <c r="AF70" i="57" s="1"/>
  <c r="F138" i="53"/>
  <c r="M178" i="28" s="1"/>
  <c r="G137" i="53"/>
  <c r="J111" i="54"/>
  <c r="F137" i="54"/>
  <c r="E138" i="54"/>
  <c r="L177" i="28" s="1"/>
  <c r="J136" i="54"/>
  <c r="E128" i="52"/>
  <c r="D129" i="52"/>
  <c r="F143" i="54"/>
  <c r="N218" i="28" s="1"/>
  <c r="G142" i="54"/>
  <c r="J122" i="52"/>
  <c r="J100" i="52"/>
  <c r="J74" i="57"/>
  <c r="J55" i="57"/>
  <c r="J53" i="57"/>
  <c r="V85" i="53" a="1"/>
  <c r="V85" i="53" s="1"/>
  <c r="W107" i="53" a="1"/>
  <c r="W107" i="53" s="1"/>
  <c r="V81" i="53" a="1"/>
  <c r="V81" i="53" s="1"/>
  <c r="J103" i="57"/>
  <c r="U193" i="57" s="1"/>
  <c r="W83" i="53" a="1"/>
  <c r="W83" i="53" s="1"/>
  <c r="V77" i="53" a="1"/>
  <c r="V77" i="53" s="1"/>
  <c r="J102" i="57"/>
  <c r="U192" i="57" s="1"/>
  <c r="V87" i="53" a="1"/>
  <c r="V87" i="53" s="1"/>
  <c r="W79" i="53" a="1"/>
  <c r="W79" i="53" s="1"/>
  <c r="J61" i="57"/>
  <c r="W75" i="53" a="1"/>
  <c r="W75" i="53" s="1"/>
  <c r="K88" i="57"/>
  <c r="V178" i="57" s="1"/>
  <c r="W73" i="53" a="1"/>
  <c r="W73" i="53" s="1"/>
  <c r="J99" i="57"/>
  <c r="W69" i="53" a="1"/>
  <c r="W69" i="53" s="1"/>
  <c r="W89" i="53" a="1"/>
  <c r="W89" i="53" s="1"/>
  <c r="W65" i="53" a="1"/>
  <c r="W65" i="53" s="1"/>
  <c r="W103" i="53" a="1"/>
  <c r="W103" i="53" s="1"/>
  <c r="W71" i="53" a="1"/>
  <c r="W71" i="53" s="1"/>
  <c r="V53" i="54" a="1"/>
  <c r="V53" i="54" s="1"/>
  <c r="V61" i="54" a="1"/>
  <c r="V61" i="54" s="1"/>
  <c r="V55" i="54" a="1"/>
  <c r="V55" i="54" s="1"/>
  <c r="V49" i="54" a="1"/>
  <c r="V49" i="54" s="1"/>
  <c r="V57" i="54" a="1"/>
  <c r="V57" i="54" s="1"/>
  <c r="V51" i="54" a="1"/>
  <c r="V51" i="54" s="1"/>
  <c r="V45" i="54" a="1"/>
  <c r="V45" i="54" s="1"/>
  <c r="V59" i="54" a="1"/>
  <c r="V59" i="54" s="1"/>
  <c r="V40" i="54" a="1"/>
  <c r="V40" i="54" s="1"/>
  <c r="V30" i="54" a="1"/>
  <c r="V30" i="54" s="1"/>
  <c r="V83" i="54" a="1"/>
  <c r="V83" i="54" s="1"/>
  <c r="W79" i="54" a="1"/>
  <c r="W79" i="54" s="1"/>
  <c r="V93" i="54" a="1"/>
  <c r="V93" i="54" s="1"/>
  <c r="W36" i="54" a="1"/>
  <c r="W36" i="54" s="1"/>
  <c r="V84" i="54" a="1"/>
  <c r="V84" i="54" s="1"/>
  <c r="V104" i="54" a="1"/>
  <c r="V104" i="54" s="1"/>
  <c r="W71" i="54" a="1"/>
  <c r="W71" i="54" s="1"/>
  <c r="V58" i="54" a="1"/>
  <c r="V58" i="54" s="1"/>
  <c r="V26" i="54" a="1"/>
  <c r="V26" i="54" s="1"/>
  <c r="W73" i="54" a="1"/>
  <c r="W73" i="54" s="1"/>
  <c r="W13" i="54" a="1"/>
  <c r="W13" i="54" s="1"/>
  <c r="V108" i="54" a="1"/>
  <c r="V108" i="54" s="1"/>
  <c r="V46" i="54" a="1"/>
  <c r="V46" i="54" s="1"/>
  <c r="W75" i="54" a="1"/>
  <c r="W75" i="54" s="1"/>
  <c r="W77" i="54" a="1"/>
  <c r="W77" i="54" s="1"/>
  <c r="W82" i="54" a="1"/>
  <c r="W82" i="54" s="1"/>
  <c r="V22" i="54" a="1"/>
  <c r="V22" i="54" s="1"/>
  <c r="V14" i="54" a="1"/>
  <c r="V14" i="54" s="1"/>
  <c r="W31" i="54" a="1"/>
  <c r="W31" i="54" s="1"/>
  <c r="V76" i="54" a="1"/>
  <c r="V76" i="54" s="1"/>
  <c r="V56" i="54" a="1"/>
  <c r="V56" i="54" s="1"/>
  <c r="V96" i="54" a="1"/>
  <c r="V96" i="54" s="1"/>
  <c r="W19" i="54" a="1"/>
  <c r="W19" i="54" s="1"/>
  <c r="V101" i="54" a="1"/>
  <c r="V101" i="54" s="1"/>
  <c r="W25" i="54" a="1"/>
  <c r="W25" i="54" s="1"/>
  <c r="V103" i="54" a="1"/>
  <c r="V103" i="54" s="1"/>
  <c r="W63" i="54" a="1"/>
  <c r="W63" i="54" s="1"/>
  <c r="V107" i="54" a="1"/>
  <c r="V107" i="54" s="1"/>
  <c r="W35" i="54" a="1"/>
  <c r="W35" i="54" s="1"/>
  <c r="V97" i="54" a="1"/>
  <c r="V97" i="54" s="1"/>
  <c r="W33" i="54" a="1"/>
  <c r="W33" i="54" s="1"/>
  <c r="W27" i="54" a="1"/>
  <c r="W27" i="54" s="1"/>
  <c r="V38" i="54" a="1"/>
  <c r="V38" i="54" s="1"/>
  <c r="V24" i="54" a="1"/>
  <c r="V24" i="54" s="1"/>
  <c r="V44" i="54" a="1"/>
  <c r="V44" i="54" s="1"/>
  <c r="V18" i="54" a="1"/>
  <c r="V18" i="54" s="1"/>
  <c r="V85" i="54" a="1"/>
  <c r="V85" i="54" s="1"/>
  <c r="V87" i="54" a="1"/>
  <c r="V87" i="54" s="1"/>
  <c r="V88" i="54" a="1"/>
  <c r="V88" i="54" s="1"/>
  <c r="V70" i="54" a="1"/>
  <c r="V70" i="54" s="1"/>
  <c r="W21" i="54" a="1"/>
  <c r="W21" i="54" s="1"/>
  <c r="V20" i="54" a="1"/>
  <c r="V20" i="54" s="1"/>
  <c r="V72" i="54" a="1"/>
  <c r="V72" i="54" s="1"/>
  <c r="W15" i="54" a="1"/>
  <c r="W15" i="54" s="1"/>
  <c r="V60" i="54" a="1"/>
  <c r="V60" i="54" s="1"/>
  <c r="W69" i="54" a="1"/>
  <c r="W69" i="54" s="1"/>
  <c r="V48" i="54" a="1"/>
  <c r="V48" i="54" s="1"/>
  <c r="V50" i="54" a="1"/>
  <c r="V50" i="54" s="1"/>
  <c r="V81" i="54" a="1"/>
  <c r="V81" i="54" s="1"/>
  <c r="V110" i="54" a="1"/>
  <c r="V110" i="54" s="1"/>
  <c r="V100" i="54" a="1"/>
  <c r="V100" i="54" s="1"/>
  <c r="V52" i="54" a="1"/>
  <c r="V52" i="54" s="1"/>
  <c r="V54" i="54" a="1"/>
  <c r="V54" i="54" s="1"/>
  <c r="V68" i="54" a="1"/>
  <c r="V68" i="54" s="1"/>
  <c r="V16" i="54" a="1"/>
  <c r="V16" i="54" s="1"/>
  <c r="V32" i="54" a="1"/>
  <c r="V32" i="54" s="1"/>
  <c r="V28" i="54" a="1"/>
  <c r="V28" i="54" s="1"/>
  <c r="V92" i="54" a="1"/>
  <c r="V92" i="54" s="1"/>
  <c r="V78" i="54" a="1"/>
  <c r="V78" i="54" s="1"/>
  <c r="V98" i="54" a="1"/>
  <c r="V98" i="54" s="1"/>
  <c r="V34" i="54" a="1"/>
  <c r="V34" i="54" s="1"/>
  <c r="V42" i="54" a="1"/>
  <c r="V42" i="54" s="1"/>
  <c r="W17" i="54" a="1"/>
  <c r="W17" i="54" s="1"/>
  <c r="V105" i="54" a="1"/>
  <c r="V105" i="54" s="1"/>
  <c r="W37" i="54" a="1"/>
  <c r="W37" i="54" s="1"/>
  <c r="W23" i="54" a="1"/>
  <c r="W23" i="54" s="1"/>
  <c r="V64" i="54" a="1"/>
  <c r="V64" i="54" s="1"/>
  <c r="V95" i="54" a="1"/>
  <c r="V95" i="54" s="1"/>
  <c r="V14" i="53" a="1"/>
  <c r="V14" i="53" s="1"/>
  <c r="V64" i="53" a="1"/>
  <c r="V64" i="53" s="1"/>
  <c r="V72" i="53" a="1"/>
  <c r="V72" i="53" s="1"/>
  <c r="V104" i="53" a="1"/>
  <c r="V104" i="53" s="1"/>
  <c r="V88" i="53" a="1"/>
  <c r="V88" i="53" s="1"/>
  <c r="W78" i="53" a="1"/>
  <c r="W78" i="53" s="1"/>
  <c r="W110" i="53" a="1"/>
  <c r="W110" i="53" s="1"/>
  <c r="W86" i="53" a="1"/>
  <c r="W86" i="53" s="1"/>
  <c r="V76" i="53" a="1"/>
  <c r="V76" i="53" s="1"/>
  <c r="V37" i="53" a="1"/>
  <c r="V37" i="53" s="1"/>
  <c r="V18" i="53" a="1"/>
  <c r="V18" i="53" s="1"/>
  <c r="V68" i="53" a="1"/>
  <c r="V68" i="53" s="1"/>
  <c r="W66" i="53" a="1"/>
  <c r="W66" i="53" s="1"/>
  <c r="W70" i="53" a="1"/>
  <c r="W70" i="53" s="1"/>
  <c r="V84" i="53" a="1"/>
  <c r="V84" i="53" s="1"/>
  <c r="W82" i="53" a="1"/>
  <c r="W82" i="53" s="1"/>
  <c r="V108" i="53" a="1"/>
  <c r="V108" i="53" s="1"/>
  <c r="V46" i="53" a="1"/>
  <c r="V46" i="53" s="1"/>
  <c r="V38" i="53" a="1"/>
  <c r="V38" i="53" s="1"/>
  <c r="V33" i="53" a="1"/>
  <c r="V33" i="53" s="1"/>
  <c r="V17" i="53" a="1"/>
  <c r="V17" i="53" s="1"/>
  <c r="V48" i="53" a="1"/>
  <c r="V48" i="53" s="1"/>
  <c r="V27" i="53" a="1"/>
  <c r="V27" i="53" s="1"/>
  <c r="V59" i="53" a="1"/>
  <c r="V59" i="53" s="1"/>
  <c r="V53" i="53" a="1"/>
  <c r="V53" i="53" s="1"/>
  <c r="V55" i="53" a="1"/>
  <c r="V55" i="53" s="1"/>
  <c r="V19" i="53" a="1"/>
  <c r="V19" i="53" s="1"/>
  <c r="V57" i="53" a="1"/>
  <c r="V57" i="53" s="1"/>
  <c r="V51" i="53" a="1"/>
  <c r="V51" i="53" s="1"/>
  <c r="V42" i="53" a="1"/>
  <c r="V42" i="53" s="1"/>
  <c r="V21" i="53" a="1"/>
  <c r="V21" i="53" s="1"/>
  <c r="V13" i="53" a="1"/>
  <c r="V13" i="53" s="1"/>
  <c r="V31" i="53" a="1"/>
  <c r="V31" i="53" s="1"/>
  <c r="W41" i="53" a="1"/>
  <c r="W41" i="53" s="1"/>
  <c r="V25" i="53" a="1"/>
  <c r="V25" i="53" s="1"/>
  <c r="V58" i="53" a="1"/>
  <c r="V58" i="53" s="1"/>
  <c r="V56" i="53" a="1"/>
  <c r="V56" i="53" s="1"/>
  <c r="W45" i="53" a="1"/>
  <c r="W45" i="53" s="1"/>
  <c r="V54" i="53" a="1"/>
  <c r="V54" i="53" s="1"/>
  <c r="V35" i="53" a="1"/>
  <c r="V35" i="53" s="1"/>
  <c r="V52" i="53" a="1"/>
  <c r="V52" i="53" s="1"/>
  <c r="V61" i="53" a="1"/>
  <c r="V61" i="53" s="1"/>
  <c r="V15" i="53" a="1"/>
  <c r="V15" i="53" s="1"/>
  <c r="V40" i="53" a="1"/>
  <c r="V40" i="53" s="1"/>
  <c r="W39" i="53" a="1"/>
  <c r="W39" i="53" s="1"/>
  <c r="V63" i="53" a="1"/>
  <c r="V63" i="53" s="1"/>
  <c r="W47" i="53" a="1"/>
  <c r="W47" i="53" s="1"/>
  <c r="V44" i="53" a="1"/>
  <c r="V44" i="53" s="1"/>
  <c r="W12" i="53" a="1"/>
  <c r="W12" i="53" s="1"/>
  <c r="V50" i="53" a="1"/>
  <c r="V50" i="53" s="1"/>
  <c r="V49" i="53" a="1"/>
  <c r="V49" i="53" s="1"/>
  <c r="V23" i="53" a="1"/>
  <c r="V23" i="53" s="1"/>
  <c r="V88" i="52" a="1"/>
  <c r="V88" i="52" s="1"/>
  <c r="V63" i="52" a="1"/>
  <c r="V63" i="52" s="1"/>
  <c r="V59" i="52" a="1"/>
  <c r="V59" i="52" s="1"/>
  <c r="W92" i="52" a="1"/>
  <c r="W92" i="52" s="1"/>
  <c r="V53" i="52" a="1"/>
  <c r="V53" i="52" s="1"/>
  <c r="V67" i="52" a="1"/>
  <c r="V67" i="52" s="1"/>
  <c r="V56" i="52" a="1"/>
  <c r="V56" i="52" s="1"/>
  <c r="V85" i="52" a="1"/>
  <c r="V85" i="52" s="1"/>
  <c r="V50" i="52" a="1"/>
  <c r="V50" i="52" s="1"/>
  <c r="V69" i="52" a="1"/>
  <c r="V69" i="52" s="1"/>
  <c r="V54" i="52" a="1"/>
  <c r="V54" i="52" s="1"/>
  <c r="V60" i="52" a="1"/>
  <c r="V60" i="52" s="1"/>
  <c r="V84" i="52" a="1"/>
  <c r="V84" i="52" s="1"/>
  <c r="V80" i="52" a="1"/>
  <c r="V80" i="52" s="1"/>
  <c r="V73" i="52" a="1"/>
  <c r="V73" i="52" s="1"/>
  <c r="V77" i="52" a="1"/>
  <c r="V77" i="52" s="1"/>
  <c r="V49" i="52" a="1"/>
  <c r="V49" i="52" s="1"/>
  <c r="V82" i="52" a="1"/>
  <c r="V82" i="52" s="1"/>
  <c r="V58" i="52" a="1"/>
  <c r="V58" i="52" s="1"/>
  <c r="V48" i="52" a="1"/>
  <c r="V48" i="52" s="1"/>
  <c r="V91" i="52" a="1"/>
  <c r="V91" i="52" s="1"/>
  <c r="V75" i="52" a="1"/>
  <c r="V75" i="52" s="1"/>
  <c r="V47" i="52" a="1"/>
  <c r="V47" i="52" s="1"/>
  <c r="V61" i="52" a="1"/>
  <c r="V61" i="52" s="1"/>
  <c r="V55" i="52" a="1"/>
  <c r="V55" i="52" s="1"/>
  <c r="V87" i="52" a="1"/>
  <c r="V87" i="52" s="1"/>
  <c r="V74" i="52" a="1"/>
  <c r="V74" i="52" s="1"/>
  <c r="V66" i="52" a="1"/>
  <c r="V66" i="52" s="1"/>
  <c r="V57" i="52" a="1"/>
  <c r="V57" i="52" s="1"/>
  <c r="V68" i="52" a="1"/>
  <c r="V68" i="52" s="1"/>
  <c r="V78" i="52" a="1"/>
  <c r="V78" i="52" s="1"/>
  <c r="V52" i="52" a="1"/>
  <c r="V52" i="52" s="1"/>
  <c r="V46" i="52" a="1"/>
  <c r="V46" i="52" s="1"/>
  <c r="K123" i="54" l="1"/>
  <c r="U131" i="54"/>
  <c r="R285" i="28" s="1"/>
  <c r="U123" i="54"/>
  <c r="U117" i="53"/>
  <c r="V121" i="53"/>
  <c r="W74" i="53" a="1"/>
  <c r="W74" i="53" s="1"/>
  <c r="V94" i="54" a="1"/>
  <c r="V94" i="54" s="1"/>
  <c r="V126" i="54" s="1"/>
  <c r="K126" i="54"/>
  <c r="V74" i="54" a="1"/>
  <c r="V74" i="54" s="1"/>
  <c r="V121" i="54" s="1"/>
  <c r="K121" i="54"/>
  <c r="K123" i="53"/>
  <c r="K120" i="53"/>
  <c r="V29" i="53" a="1"/>
  <c r="V29" i="53" s="1"/>
  <c r="K117" i="53"/>
  <c r="V43" i="53" a="1"/>
  <c r="V43" i="53" s="1"/>
  <c r="V118" i="53" s="1"/>
  <c r="K118" i="53"/>
  <c r="V62" i="54" a="1"/>
  <c r="V62" i="54" s="1"/>
  <c r="K119" i="54"/>
  <c r="V67" i="54" a="1"/>
  <c r="V67" i="54" s="1"/>
  <c r="V120" i="54" s="1"/>
  <c r="K120" i="54"/>
  <c r="K131" i="54"/>
  <c r="U118" i="54"/>
  <c r="K117" i="54"/>
  <c r="K121" i="53"/>
  <c r="V117" i="54"/>
  <c r="U119" i="54"/>
  <c r="V106" i="54" a="1"/>
  <c r="V106" i="54" s="1"/>
  <c r="V129" i="54" s="1"/>
  <c r="K129" i="54"/>
  <c r="V99" i="54" a="1"/>
  <c r="V99" i="54" s="1"/>
  <c r="V127" i="54" s="1"/>
  <c r="K127" i="54"/>
  <c r="V102" i="54" a="1"/>
  <c r="V102" i="54" s="1"/>
  <c r="V128" i="54" s="1"/>
  <c r="K128" i="54"/>
  <c r="W109" i="53" a="1"/>
  <c r="W109" i="53" s="1"/>
  <c r="W130" i="53" s="1"/>
  <c r="L130" i="53"/>
  <c r="W102" i="53" a="1"/>
  <c r="W102" i="53" s="1"/>
  <c r="V62" i="53" a="1"/>
  <c r="V62" i="53" s="1"/>
  <c r="V119" i="53" s="1"/>
  <c r="K119" i="53"/>
  <c r="V80" i="54" a="1"/>
  <c r="V80" i="54" s="1"/>
  <c r="V122" i="54" s="1"/>
  <c r="K122" i="54"/>
  <c r="V80" i="53" a="1"/>
  <c r="V80" i="53" s="1"/>
  <c r="V122" i="53" s="1"/>
  <c r="K122" i="53"/>
  <c r="V109" i="54" a="1"/>
  <c r="V109" i="54" s="1"/>
  <c r="V130" i="54" s="1"/>
  <c r="K130" i="54"/>
  <c r="W29" i="54" a="1"/>
  <c r="W29" i="54" s="1"/>
  <c r="V43" i="54" a="1"/>
  <c r="V43" i="54" s="1"/>
  <c r="K118" i="54"/>
  <c r="U123" i="53"/>
  <c r="K112" i="54"/>
  <c r="R375" i="28" s="1"/>
  <c r="U112" i="54"/>
  <c r="R268" i="28" s="1"/>
  <c r="T114" i="54"/>
  <c r="J114" i="54"/>
  <c r="U113" i="54"/>
  <c r="K112" i="53"/>
  <c r="R376" i="28" s="1"/>
  <c r="V90" i="54" a="1"/>
  <c r="V90" i="54" s="1"/>
  <c r="K113" i="54"/>
  <c r="W11" i="54" a="1"/>
  <c r="W11" i="54" s="1"/>
  <c r="W90" i="53" a="1"/>
  <c r="W90" i="53" s="1"/>
  <c r="U112" i="53"/>
  <c r="R269" i="28" s="1"/>
  <c r="V115" i="52"/>
  <c r="V62" i="52" a="1"/>
  <c r="V62" i="52" s="1"/>
  <c r="V104" i="52" s="1"/>
  <c r="K104" i="52"/>
  <c r="V86" i="52" a="1"/>
  <c r="V86" i="52" s="1"/>
  <c r="V112" i="52" s="1"/>
  <c r="K112" i="52"/>
  <c r="V64" i="52" a="1"/>
  <c r="V64" i="52" s="1"/>
  <c r="V105" i="52" s="1"/>
  <c r="K105" i="52"/>
  <c r="V89" i="52" a="1"/>
  <c r="V89" i="52" s="1"/>
  <c r="K113" i="52"/>
  <c r="V79" i="52" a="1"/>
  <c r="V79" i="52" s="1"/>
  <c r="K116" i="52"/>
  <c r="U106" i="52"/>
  <c r="U116" i="52"/>
  <c r="V114" i="52"/>
  <c r="V51" i="52" a="1"/>
  <c r="V51" i="52" s="1"/>
  <c r="V103" i="52" s="1"/>
  <c r="K103" i="52"/>
  <c r="K111" i="52"/>
  <c r="W96" i="52" a="1"/>
  <c r="W96" i="52" s="1"/>
  <c r="W115" i="52" s="1"/>
  <c r="L115" i="52"/>
  <c r="V42" i="52" a="1"/>
  <c r="V42" i="52" s="1"/>
  <c r="K108" i="52"/>
  <c r="K98" i="52"/>
  <c r="V45" i="52" a="1"/>
  <c r="V45" i="52" s="1"/>
  <c r="V102" i="52" s="1"/>
  <c r="K102" i="52"/>
  <c r="V70" i="52" a="1"/>
  <c r="V70" i="52" s="1"/>
  <c r="K106" i="52"/>
  <c r="W94" i="52" a="1"/>
  <c r="W94" i="52" s="1"/>
  <c r="V76" i="52" a="1"/>
  <c r="V76" i="52" s="1"/>
  <c r="V107" i="52" s="1"/>
  <c r="K107" i="52"/>
  <c r="K114" i="52"/>
  <c r="U108" i="52"/>
  <c r="Q419" i="28" s="1"/>
  <c r="U98" i="52"/>
  <c r="K115" i="52"/>
  <c r="U113" i="52"/>
  <c r="V11" i="53" a="1"/>
  <c r="V11" i="53" s="1"/>
  <c r="S28" i="75"/>
  <c r="T136" i="57"/>
  <c r="S36" i="75"/>
  <c r="U111" i="54"/>
  <c r="AF104" i="57" a="1"/>
  <c r="AF104" i="57" s="1"/>
  <c r="AF101" i="57" a="1"/>
  <c r="AF101" i="57" s="1"/>
  <c r="V32" i="53" a="1"/>
  <c r="V32" i="53" s="1"/>
  <c r="AF99" i="57" a="1"/>
  <c r="AF99" i="57" s="1"/>
  <c r="U189" i="57"/>
  <c r="AF100" i="57" a="1"/>
  <c r="AF100" i="57" s="1"/>
  <c r="U190" i="57"/>
  <c r="V34" i="53" a="1"/>
  <c r="V34" i="53" s="1"/>
  <c r="V26" i="53" a="1"/>
  <c r="V26" i="53" s="1"/>
  <c r="K80" i="57"/>
  <c r="AG80" i="57" s="1" a="1"/>
  <c r="AG80" i="57" s="1"/>
  <c r="V65" i="54" a="1"/>
  <c r="V65" i="54" s="1"/>
  <c r="V67" i="53" a="1"/>
  <c r="V67" i="53" s="1"/>
  <c r="V120" i="53" s="1"/>
  <c r="K101" i="57"/>
  <c r="V86" i="54" a="1"/>
  <c r="V86" i="54" s="1"/>
  <c r="K27" i="57"/>
  <c r="AG27" i="57" s="1" a="1"/>
  <c r="AG27" i="57" s="1"/>
  <c r="V12" i="54" a="1"/>
  <c r="V12" i="54" s="1"/>
  <c r="K62" i="57"/>
  <c r="AG62" i="57" s="1" a="1"/>
  <c r="AG62" i="57" s="1"/>
  <c r="V47" i="54" a="1"/>
  <c r="V47" i="54" s="1"/>
  <c r="K104" i="57"/>
  <c r="V89" i="54" a="1"/>
  <c r="V89" i="54" s="1"/>
  <c r="K81" i="57"/>
  <c r="AG81" i="57" s="1" a="1"/>
  <c r="AG81" i="57" s="1"/>
  <c r="V66" i="54" a="1"/>
  <c r="V66" i="54" s="1"/>
  <c r="K106" i="57"/>
  <c r="AG106" i="57" s="1" a="1"/>
  <c r="AG106" i="57" s="1"/>
  <c r="V91" i="54" a="1"/>
  <c r="V91" i="54" s="1"/>
  <c r="V72" i="52" a="1"/>
  <c r="V72" i="52" s="1"/>
  <c r="V81" i="52" a="1"/>
  <c r="V81" i="52" s="1"/>
  <c r="V111" i="52" s="1"/>
  <c r="V71" i="52" a="1"/>
  <c r="V71" i="52" s="1"/>
  <c r="V90" i="52" a="1"/>
  <c r="V90" i="52" s="1"/>
  <c r="S126" i="57"/>
  <c r="K100" i="57"/>
  <c r="T128" i="57"/>
  <c r="J128" i="57"/>
  <c r="J136" i="57"/>
  <c r="AE136" i="57"/>
  <c r="AF42" i="57" a="1"/>
  <c r="AF42" i="57" s="1"/>
  <c r="AF128" i="57" s="1"/>
  <c r="AE130" i="57"/>
  <c r="T130" i="57" s="1"/>
  <c r="AE126" i="57"/>
  <c r="S26" i="75" s="1"/>
  <c r="K76" i="57"/>
  <c r="AG76" i="57" s="1" a="1"/>
  <c r="AG76" i="57" s="1"/>
  <c r="K36" i="57"/>
  <c r="AG36" i="57" s="1" a="1"/>
  <c r="AG36" i="57" s="1"/>
  <c r="K103" i="57"/>
  <c r="K34" i="57"/>
  <c r="AG34" i="57" s="1" a="1"/>
  <c r="AG34" i="57" s="1"/>
  <c r="K53" i="57"/>
  <c r="AG53" i="57" s="1" a="1"/>
  <c r="AG53" i="57" s="1"/>
  <c r="K38" i="57"/>
  <c r="AG38" i="57" s="1" a="1"/>
  <c r="AG38" i="57" s="1"/>
  <c r="K78" i="57"/>
  <c r="AG78" i="57" s="1" a="1"/>
  <c r="AG78" i="57" s="1"/>
  <c r="K58" i="57"/>
  <c r="AG58" i="57" s="1" a="1"/>
  <c r="AG58" i="57" s="1"/>
  <c r="K50" i="57"/>
  <c r="AG50" i="57" s="1" a="1"/>
  <c r="AG50" i="57" s="1"/>
  <c r="K37" i="57"/>
  <c r="AG37" i="57" s="1" a="1"/>
  <c r="AG37" i="57" s="1"/>
  <c r="K42" i="57"/>
  <c r="AG42" i="57" s="1" a="1"/>
  <c r="AG42" i="57" s="1"/>
  <c r="K35" i="57"/>
  <c r="AG35" i="57" s="1" a="1"/>
  <c r="AG35" i="57" s="1"/>
  <c r="K41" i="57"/>
  <c r="AG41" i="57" s="1" a="1"/>
  <c r="AG41" i="57" s="1"/>
  <c r="K75" i="57"/>
  <c r="AG75" i="57" s="1" a="1"/>
  <c r="AG75" i="57" s="1"/>
  <c r="K29" i="57"/>
  <c r="AG29" i="57" s="1" a="1"/>
  <c r="AG29" i="57" s="1"/>
  <c r="K31" i="57"/>
  <c r="AG31" i="57" s="1" a="1"/>
  <c r="AG31" i="57" s="1"/>
  <c r="K99" i="57"/>
  <c r="K59" i="57"/>
  <c r="AG59" i="57" s="1" a="1"/>
  <c r="AG59" i="57" s="1"/>
  <c r="K55" i="57"/>
  <c r="AG55" i="57" s="1" a="1"/>
  <c r="AG55" i="57" s="1"/>
  <c r="K39" i="57"/>
  <c r="AG39" i="57" s="1" a="1"/>
  <c r="AG39" i="57" s="1"/>
  <c r="L54" i="57"/>
  <c r="AH54" i="57" s="1" a="1"/>
  <c r="AH54" i="57" s="1"/>
  <c r="K30" i="57"/>
  <c r="AG30" i="57" s="1" a="1"/>
  <c r="AG30" i="57" s="1"/>
  <c r="K69" i="57"/>
  <c r="AG69" i="57" s="1" a="1"/>
  <c r="AG69" i="57" s="1"/>
  <c r="K28" i="57"/>
  <c r="AG28" i="57" s="1" a="1"/>
  <c r="AG28" i="57" s="1"/>
  <c r="K74" i="57"/>
  <c r="AG74" i="57" s="1" a="1"/>
  <c r="AG74" i="57" s="1"/>
  <c r="K48" i="57"/>
  <c r="AG48" i="57" s="1" a="1"/>
  <c r="AG48" i="57" s="1"/>
  <c r="K43" i="57"/>
  <c r="K45" i="57"/>
  <c r="AG45" i="57" s="1" a="1"/>
  <c r="AG45" i="57" s="1"/>
  <c r="W91" i="53" a="1"/>
  <c r="W91" i="53" s="1"/>
  <c r="K40" i="57"/>
  <c r="AG40" i="57" s="1" a="1"/>
  <c r="AG40" i="57" s="1"/>
  <c r="L56" i="57"/>
  <c r="AH56" i="57" s="1" a="1"/>
  <c r="AH56" i="57" s="1"/>
  <c r="K57" i="57"/>
  <c r="AG57" i="57" s="1" a="1"/>
  <c r="AG57" i="57" s="1"/>
  <c r="K70" i="57"/>
  <c r="AG70" i="57" s="1" a="1"/>
  <c r="AG70" i="57" s="1"/>
  <c r="K33" i="57"/>
  <c r="AG33" i="57" s="1" a="1"/>
  <c r="AG33" i="57" s="1"/>
  <c r="AF53" i="57" a="1"/>
  <c r="AF53" i="57" s="1"/>
  <c r="J130" i="57"/>
  <c r="AF26" i="57" a="1"/>
  <c r="AF26" i="57" s="1"/>
  <c r="J126" i="57"/>
  <c r="AF105" i="57" a="1"/>
  <c r="AF105" i="57" s="1"/>
  <c r="AF61" i="57" a="1"/>
  <c r="AF61" i="57" s="1"/>
  <c r="AG88" i="57" a="1"/>
  <c r="AG88" i="57" s="1"/>
  <c r="AF103" i="57" a="1"/>
  <c r="AF103" i="57" s="1"/>
  <c r="AF102" i="57" a="1"/>
  <c r="AF102" i="57" s="1"/>
  <c r="AF55" i="57" a="1"/>
  <c r="AF55" i="57" s="1"/>
  <c r="AF52" i="57" a="1"/>
  <c r="AF52" i="57" s="1"/>
  <c r="AF74" i="57" a="1"/>
  <c r="AF74" i="57" s="1"/>
  <c r="AF51" i="57" a="1"/>
  <c r="AF51" i="57" s="1"/>
  <c r="K52" i="57"/>
  <c r="K37" i="59"/>
  <c r="V37" i="59" s="1"/>
  <c r="K51" i="57"/>
  <c r="K36" i="59"/>
  <c r="V36" i="59" s="1"/>
  <c r="K61" i="57"/>
  <c r="K46" i="59"/>
  <c r="V46" i="59" s="1"/>
  <c r="W95" i="52" a="1"/>
  <c r="W95" i="52" s="1"/>
  <c r="G123" i="52"/>
  <c r="F124" i="52"/>
  <c r="M192" i="28" s="1"/>
  <c r="F128" i="52"/>
  <c r="E129" i="52"/>
  <c r="H137" i="53"/>
  <c r="G138" i="53"/>
  <c r="N178" i="28" s="1"/>
  <c r="K26" i="57"/>
  <c r="K136" i="53"/>
  <c r="F138" i="54"/>
  <c r="M177" i="28" s="1"/>
  <c r="G137" i="54"/>
  <c r="K111" i="54"/>
  <c r="H142" i="54"/>
  <c r="G143" i="54"/>
  <c r="O218" i="28" s="1"/>
  <c r="K136" i="54"/>
  <c r="K105" i="57"/>
  <c r="K141" i="54"/>
  <c r="K127" i="52"/>
  <c r="K122" i="52"/>
  <c r="K100" i="52"/>
  <c r="W85" i="53" a="1"/>
  <c r="W85" i="53" s="1"/>
  <c r="W77" i="53" a="1"/>
  <c r="W77" i="53" s="1"/>
  <c r="W81" i="53" a="1"/>
  <c r="W81" i="53" s="1"/>
  <c r="L88" i="57"/>
  <c r="W178" i="57" s="1"/>
  <c r="K102" i="57"/>
  <c r="V192" i="57" s="1"/>
  <c r="W87" i="53" a="1"/>
  <c r="W87" i="53" s="1"/>
  <c r="W59" i="54" a="1"/>
  <c r="W59" i="54" s="1"/>
  <c r="W45" i="54" a="1"/>
  <c r="W45" i="54" s="1"/>
  <c r="W57" i="54" a="1"/>
  <c r="W57" i="54" s="1"/>
  <c r="W55" i="54" a="1"/>
  <c r="W55" i="54" s="1"/>
  <c r="W61" i="54" a="1"/>
  <c r="W61" i="54" s="1"/>
  <c r="W51" i="54" a="1"/>
  <c r="W51" i="54" s="1"/>
  <c r="W49" i="54" a="1"/>
  <c r="W49" i="54" s="1"/>
  <c r="W53" i="54" a="1"/>
  <c r="W53" i="54" s="1"/>
  <c r="W105" i="54" a="1"/>
  <c r="W105" i="54" s="1"/>
  <c r="W34" i="54" a="1"/>
  <c r="W34" i="54" s="1"/>
  <c r="W78" i="54" a="1"/>
  <c r="W78" i="54" s="1"/>
  <c r="W32" i="54" a="1"/>
  <c r="W32" i="54" s="1"/>
  <c r="W16" i="54" a="1"/>
  <c r="W16" i="54" s="1"/>
  <c r="W54" i="54" a="1"/>
  <c r="W54" i="54" s="1"/>
  <c r="W100" i="54" a="1"/>
  <c r="W100" i="54" s="1"/>
  <c r="W81" i="54" a="1"/>
  <c r="W81" i="54" s="1"/>
  <c r="W50" i="54" a="1"/>
  <c r="W50" i="54" s="1"/>
  <c r="W48" i="54" a="1"/>
  <c r="W48" i="54" s="1"/>
  <c r="W60" i="54" a="1"/>
  <c r="W60" i="54" s="1"/>
  <c r="W72" i="54" a="1"/>
  <c r="W72" i="54" s="1"/>
  <c r="W88" i="54" a="1"/>
  <c r="W88" i="54" s="1"/>
  <c r="W87" i="54" a="1"/>
  <c r="W87" i="54" s="1"/>
  <c r="W44" i="54" a="1"/>
  <c r="W44" i="54" s="1"/>
  <c r="W38" i="54" a="1"/>
  <c r="W38" i="54" s="1"/>
  <c r="W97" i="54" a="1"/>
  <c r="W97" i="54" s="1"/>
  <c r="W107" i="54" a="1"/>
  <c r="W107" i="54" s="1"/>
  <c r="W56" i="54" a="1"/>
  <c r="W56" i="54" s="1"/>
  <c r="W22" i="54" a="1"/>
  <c r="W22" i="54" s="1"/>
  <c r="W46" i="54" a="1"/>
  <c r="W46" i="54" s="1"/>
  <c r="W58" i="54" a="1"/>
  <c r="W58" i="54" s="1"/>
  <c r="W84" i="54" a="1"/>
  <c r="W84" i="54" s="1"/>
  <c r="W30" i="54" a="1"/>
  <c r="W30" i="54" s="1"/>
  <c r="W95" i="54" a="1"/>
  <c r="W95" i="54" s="1"/>
  <c r="W64" i="54" a="1"/>
  <c r="W64" i="54" s="1"/>
  <c r="W42" i="54" a="1"/>
  <c r="W42" i="54" s="1"/>
  <c r="W98" i="54" a="1"/>
  <c r="W98" i="54" s="1"/>
  <c r="W92" i="54" a="1"/>
  <c r="W92" i="54" s="1"/>
  <c r="W28" i="54" a="1"/>
  <c r="W28" i="54" s="1"/>
  <c r="W68" i="54" a="1"/>
  <c r="W68" i="54" s="1"/>
  <c r="W52" i="54" a="1"/>
  <c r="W52" i="54" s="1"/>
  <c r="W110" i="54" a="1"/>
  <c r="W110" i="54" s="1"/>
  <c r="W20" i="54" a="1"/>
  <c r="W20" i="54" s="1"/>
  <c r="W70" i="54" a="1"/>
  <c r="W70" i="54" s="1"/>
  <c r="W18" i="54" a="1"/>
  <c r="W18" i="54" s="1"/>
  <c r="W24" i="54" a="1"/>
  <c r="W24" i="54" s="1"/>
  <c r="W103" i="54" a="1"/>
  <c r="W103" i="54" s="1"/>
  <c r="W101" i="54" a="1"/>
  <c r="W101" i="54" s="1"/>
  <c r="W96" i="54" a="1"/>
  <c r="W96" i="54" s="1"/>
  <c r="W76" i="54" a="1"/>
  <c r="W76" i="54" s="1"/>
  <c r="W14" i="54" a="1"/>
  <c r="W14" i="54" s="1"/>
  <c r="W108" i="54" a="1"/>
  <c r="W108" i="54" s="1"/>
  <c r="W26" i="54" a="1"/>
  <c r="W26" i="54" s="1"/>
  <c r="L123" i="54"/>
  <c r="W104" i="54" a="1"/>
  <c r="W104" i="54" s="1"/>
  <c r="W93" i="54" a="1"/>
  <c r="W93" i="54" s="1"/>
  <c r="W83" i="54" a="1"/>
  <c r="W83" i="54" s="1"/>
  <c r="W40" i="54" a="1"/>
  <c r="W40" i="54" s="1"/>
  <c r="W18" i="53" a="1"/>
  <c r="W18" i="53" s="1"/>
  <c r="W72" i="53" a="1"/>
  <c r="W72" i="53" s="1"/>
  <c r="W88" i="53" a="1"/>
  <c r="W88" i="53" s="1"/>
  <c r="W37" i="53" a="1"/>
  <c r="W37" i="53" s="1"/>
  <c r="W64" i="53" a="1"/>
  <c r="W64" i="53" s="1"/>
  <c r="W14" i="53" a="1"/>
  <c r="W14" i="53" s="1"/>
  <c r="W76" i="53" a="1"/>
  <c r="W76" i="53" s="1"/>
  <c r="W108" i="53" a="1"/>
  <c r="W108" i="53" s="1"/>
  <c r="W84" i="53" a="1"/>
  <c r="W84" i="53" s="1"/>
  <c r="W68" i="53" a="1"/>
  <c r="W68" i="53" s="1"/>
  <c r="W104" i="53" a="1"/>
  <c r="W104" i="53" s="1"/>
  <c r="W23" i="53" a="1"/>
  <c r="W23" i="53" s="1"/>
  <c r="W44" i="53" a="1"/>
  <c r="W44" i="53" s="1"/>
  <c r="W63" i="53" a="1"/>
  <c r="W63" i="53" s="1"/>
  <c r="W15" i="53" a="1"/>
  <c r="W15" i="53" s="1"/>
  <c r="W52" i="53" a="1"/>
  <c r="W52" i="53" s="1"/>
  <c r="W54" i="53" a="1"/>
  <c r="W54" i="53" s="1"/>
  <c r="W56" i="53" a="1"/>
  <c r="W56" i="53" s="1"/>
  <c r="W31" i="53" a="1"/>
  <c r="W31" i="53" s="1"/>
  <c r="W21" i="53" a="1"/>
  <c r="W21" i="53" s="1"/>
  <c r="W42" i="53" a="1"/>
  <c r="W42" i="53" s="1"/>
  <c r="W57" i="53" a="1"/>
  <c r="W57" i="53" s="1"/>
  <c r="W55" i="53" a="1"/>
  <c r="W55" i="53" s="1"/>
  <c r="W59" i="53" a="1"/>
  <c r="W59" i="53" s="1"/>
  <c r="W48" i="53" a="1"/>
  <c r="W48" i="53" s="1"/>
  <c r="W33" i="53" a="1"/>
  <c r="W33" i="53" s="1"/>
  <c r="W46" i="53" a="1"/>
  <c r="W46" i="53" s="1"/>
  <c r="W49" i="53" a="1"/>
  <c r="W49" i="53" s="1"/>
  <c r="W50" i="53" a="1"/>
  <c r="W50" i="53" s="1"/>
  <c r="W40" i="53" a="1"/>
  <c r="W40" i="53" s="1"/>
  <c r="W61" i="53" a="1"/>
  <c r="W61" i="53" s="1"/>
  <c r="W35" i="53" a="1"/>
  <c r="W35" i="53" s="1"/>
  <c r="W58" i="53" a="1"/>
  <c r="W58" i="53" s="1"/>
  <c r="W25" i="53" a="1"/>
  <c r="W25" i="53" s="1"/>
  <c r="W13" i="53" a="1"/>
  <c r="W13" i="53" s="1"/>
  <c r="W51" i="53" a="1"/>
  <c r="W51" i="53" s="1"/>
  <c r="W19" i="53" a="1"/>
  <c r="W19" i="53" s="1"/>
  <c r="W53" i="53" a="1"/>
  <c r="W53" i="53" s="1"/>
  <c r="W27" i="53" a="1"/>
  <c r="W27" i="53" s="1"/>
  <c r="W17" i="53" a="1"/>
  <c r="W17" i="53" s="1"/>
  <c r="W38" i="53" a="1"/>
  <c r="W38" i="53" s="1"/>
  <c r="W88" i="52" a="1"/>
  <c r="W88" i="52" s="1"/>
  <c r="W87" i="52" a="1"/>
  <c r="W87" i="52" s="1"/>
  <c r="W75" i="52" a="1"/>
  <c r="W75" i="52" s="1"/>
  <c r="W60" i="52" a="1"/>
  <c r="W60" i="52" s="1"/>
  <c r="W59" i="52" a="1"/>
  <c r="W59" i="52" s="1"/>
  <c r="W78" i="52" a="1"/>
  <c r="W78" i="52" s="1"/>
  <c r="W66" i="52" a="1"/>
  <c r="W66" i="52" s="1"/>
  <c r="W47" i="52" a="1"/>
  <c r="W47" i="52" s="1"/>
  <c r="W82" i="52" a="1"/>
  <c r="W82" i="52" s="1"/>
  <c r="W69" i="52" a="1"/>
  <c r="W69" i="52" s="1"/>
  <c r="W53" i="52" a="1"/>
  <c r="W53" i="52" s="1"/>
  <c r="W46" i="52" a="1"/>
  <c r="W46" i="52" s="1"/>
  <c r="W52" i="52" a="1"/>
  <c r="W52" i="52" s="1"/>
  <c r="W68" i="52" a="1"/>
  <c r="W68" i="52" s="1"/>
  <c r="W57" i="52" a="1"/>
  <c r="W57" i="52" s="1"/>
  <c r="W74" i="52" a="1"/>
  <c r="W74" i="52" s="1"/>
  <c r="W61" i="52" a="1"/>
  <c r="W61" i="52" s="1"/>
  <c r="W91" i="52" a="1"/>
  <c r="W91" i="52" s="1"/>
  <c r="W58" i="52" a="1"/>
  <c r="W58" i="52" s="1"/>
  <c r="W49" i="52" a="1"/>
  <c r="W49" i="52" s="1"/>
  <c r="W77" i="52" a="1"/>
  <c r="W77" i="52" s="1"/>
  <c r="W80" i="52" a="1"/>
  <c r="W80" i="52" s="1"/>
  <c r="W84" i="52" a="1"/>
  <c r="W84" i="52" s="1"/>
  <c r="W54" i="52" a="1"/>
  <c r="W54" i="52" s="1"/>
  <c r="W85" i="52" a="1"/>
  <c r="W85" i="52" s="1"/>
  <c r="W56" i="52" a="1"/>
  <c r="W56" i="52" s="1"/>
  <c r="W67" i="52" a="1"/>
  <c r="W67" i="52" s="1"/>
  <c r="W63" i="52" a="1"/>
  <c r="W63" i="52" s="1"/>
  <c r="W55" i="52" a="1"/>
  <c r="W55" i="52" s="1"/>
  <c r="W48" i="52" a="1"/>
  <c r="W48" i="52" s="1"/>
  <c r="W73" i="52" a="1"/>
  <c r="W73" i="52" s="1"/>
  <c r="W50" i="52" a="1"/>
  <c r="W50" i="52" s="1"/>
  <c r="W121" i="53" l="1"/>
  <c r="V123" i="54"/>
  <c r="V118" i="54"/>
  <c r="V117" i="53"/>
  <c r="L123" i="53"/>
  <c r="L120" i="53"/>
  <c r="W67" i="54" a="1"/>
  <c r="W67" i="54" s="1"/>
  <c r="W120" i="54" s="1"/>
  <c r="L120" i="54"/>
  <c r="W109" i="54" a="1"/>
  <c r="W109" i="54" s="1"/>
  <c r="W130" i="54" s="1"/>
  <c r="L130" i="54"/>
  <c r="W94" i="54" a="1"/>
  <c r="W94" i="54" s="1"/>
  <c r="W126" i="54" s="1"/>
  <c r="L126" i="54"/>
  <c r="W43" i="54" a="1"/>
  <c r="W43" i="54" s="1"/>
  <c r="L118" i="54"/>
  <c r="V131" i="54"/>
  <c r="S285" i="28" s="1"/>
  <c r="L117" i="54"/>
  <c r="W62" i="54" a="1"/>
  <c r="W62" i="54" s="1"/>
  <c r="L119" i="54"/>
  <c r="W29" i="53" a="1"/>
  <c r="W29" i="53" s="1"/>
  <c r="L117" i="53"/>
  <c r="W80" i="53" a="1"/>
  <c r="W80" i="53" s="1"/>
  <c r="W122" i="53" s="1"/>
  <c r="L122" i="53"/>
  <c r="W62" i="53" a="1"/>
  <c r="W62" i="53" s="1"/>
  <c r="W119" i="53" s="1"/>
  <c r="L119" i="53"/>
  <c r="W117" i="54"/>
  <c r="W43" i="53" a="1"/>
  <c r="W43" i="53" s="1"/>
  <c r="W118" i="53" s="1"/>
  <c r="L118" i="53"/>
  <c r="V119" i="54"/>
  <c r="W74" i="54" a="1"/>
  <c r="W74" i="54" s="1"/>
  <c r="W121" i="54" s="1"/>
  <c r="L121" i="54"/>
  <c r="W80" i="54" a="1"/>
  <c r="W80" i="54" s="1"/>
  <c r="W122" i="54" s="1"/>
  <c r="L122" i="54"/>
  <c r="W106" i="54" a="1"/>
  <c r="W106" i="54" s="1"/>
  <c r="W129" i="54" s="1"/>
  <c r="L129" i="54"/>
  <c r="W99" i="54" a="1"/>
  <c r="W99" i="54" s="1"/>
  <c r="W127" i="54" s="1"/>
  <c r="L127" i="54"/>
  <c r="L131" i="54"/>
  <c r="W102" i="54" a="1"/>
  <c r="W102" i="54" s="1"/>
  <c r="W128" i="54" s="1"/>
  <c r="L128" i="54"/>
  <c r="L121" i="53"/>
  <c r="V123" i="53"/>
  <c r="L112" i="54"/>
  <c r="S375" i="28" s="1"/>
  <c r="V112" i="53"/>
  <c r="S269" i="28" s="1"/>
  <c r="V112" i="54"/>
  <c r="S268" i="28" s="1"/>
  <c r="K114" i="54"/>
  <c r="V113" i="54"/>
  <c r="W90" i="54" a="1"/>
  <c r="W90" i="54" s="1"/>
  <c r="L113" i="54"/>
  <c r="U114" i="54"/>
  <c r="L112" i="53"/>
  <c r="S376" i="28" s="1"/>
  <c r="W114" i="52"/>
  <c r="T28" i="75"/>
  <c r="W70" i="52" a="1"/>
  <c r="W70" i="52" s="1"/>
  <c r="L106" i="52"/>
  <c r="W76" i="52" a="1"/>
  <c r="W76" i="52" s="1"/>
  <c r="W107" i="52" s="1"/>
  <c r="L107" i="52"/>
  <c r="W79" i="52" a="1"/>
  <c r="W79" i="52" s="1"/>
  <c r="L116" i="52"/>
  <c r="W89" i="52" a="1"/>
  <c r="W89" i="52" s="1"/>
  <c r="L113" i="52"/>
  <c r="W64" i="52" a="1"/>
  <c r="W64" i="52" s="1"/>
  <c r="W105" i="52" s="1"/>
  <c r="L105" i="52"/>
  <c r="W51" i="52" a="1"/>
  <c r="W51" i="52" s="1"/>
  <c r="W103" i="52" s="1"/>
  <c r="L103" i="52"/>
  <c r="L114" i="52"/>
  <c r="V116" i="52"/>
  <c r="W62" i="52" a="1"/>
  <c r="W62" i="52" s="1"/>
  <c r="W104" i="52" s="1"/>
  <c r="L104" i="52"/>
  <c r="V113" i="52"/>
  <c r="V106" i="52"/>
  <c r="W42" i="52" a="1"/>
  <c r="W42" i="52" s="1"/>
  <c r="L108" i="52"/>
  <c r="L98" i="52"/>
  <c r="W86" i="52" a="1"/>
  <c r="W86" i="52" s="1"/>
  <c r="W112" i="52" s="1"/>
  <c r="L112" i="52"/>
  <c r="L111" i="52"/>
  <c r="W45" i="52" a="1"/>
  <c r="W45" i="52" s="1"/>
  <c r="W102" i="52" s="1"/>
  <c r="L102" i="52"/>
  <c r="V98" i="52"/>
  <c r="V108" i="52"/>
  <c r="R419" i="28" s="1"/>
  <c r="W11" i="53" a="1"/>
  <c r="W11" i="53" s="1"/>
  <c r="U136" i="57"/>
  <c r="T36" i="75"/>
  <c r="S30" i="75"/>
  <c r="V111" i="54"/>
  <c r="W32" i="53" a="1"/>
  <c r="W32" i="53" s="1"/>
  <c r="AG103" i="57" a="1"/>
  <c r="AG103" i="57" s="1"/>
  <c r="V193" i="57"/>
  <c r="AG104" i="57" a="1"/>
  <c r="AG104" i="57" s="1"/>
  <c r="V194" i="57"/>
  <c r="AG99" i="57" a="1"/>
  <c r="AG99" i="57" s="1"/>
  <c r="V189" i="57"/>
  <c r="AG100" i="57" a="1"/>
  <c r="AG100" i="57" s="1"/>
  <c r="V190" i="57"/>
  <c r="AG101" i="57" a="1"/>
  <c r="AG101" i="57" s="1"/>
  <c r="V191" i="57"/>
  <c r="L62" i="57"/>
  <c r="AH62" i="57" s="1" a="1"/>
  <c r="AH62" i="57" s="1"/>
  <c r="W47" i="54" a="1"/>
  <c r="W47" i="54" s="1"/>
  <c r="W67" i="53" a="1"/>
  <c r="W67" i="53" s="1"/>
  <c r="W120" i="53" s="1"/>
  <c r="L106" i="57"/>
  <c r="AH106" i="57" s="1" a="1"/>
  <c r="AH106" i="57" s="1"/>
  <c r="W91" i="54" a="1"/>
  <c r="W91" i="54" s="1"/>
  <c r="L104" i="57"/>
  <c r="W194" i="57" s="1"/>
  <c r="W89" i="54" a="1"/>
  <c r="W89" i="54" s="1"/>
  <c r="L100" i="57"/>
  <c r="W190" i="57" s="1"/>
  <c r="W85" i="54" a="1"/>
  <c r="W85" i="54" s="1"/>
  <c r="L101" i="57"/>
  <c r="W86" i="54" a="1"/>
  <c r="W86" i="54" s="1"/>
  <c r="L27" i="57"/>
  <c r="AH27" i="57" s="1" a="1"/>
  <c r="AH27" i="57" s="1"/>
  <c r="W12" i="54" a="1"/>
  <c r="W12" i="54" s="1"/>
  <c r="L80" i="57"/>
  <c r="AH80" i="57" s="1" a="1"/>
  <c r="AH80" i="57" s="1"/>
  <c r="W65" i="54" a="1"/>
  <c r="W65" i="54" s="1"/>
  <c r="W26" i="53" a="1"/>
  <c r="W26" i="53" s="1"/>
  <c r="L81" i="57"/>
  <c r="AH81" i="57" s="1" a="1"/>
  <c r="AH81" i="57" s="1"/>
  <c r="W66" i="54" a="1"/>
  <c r="W66" i="54" s="1"/>
  <c r="W34" i="53" a="1"/>
  <c r="W34" i="53" s="1"/>
  <c r="W81" i="52" a="1"/>
  <c r="W81" i="52" s="1"/>
  <c r="W111" i="52" s="1"/>
  <c r="W71" i="52" a="1"/>
  <c r="W71" i="52" s="1"/>
  <c r="W72" i="52" a="1"/>
  <c r="W72" i="52" s="1"/>
  <c r="W90" i="52" a="1"/>
  <c r="W90" i="52" s="1"/>
  <c r="T126" i="57"/>
  <c r="U128" i="57"/>
  <c r="K128" i="57"/>
  <c r="K136" i="57"/>
  <c r="AF136" i="57"/>
  <c r="AF126" i="57"/>
  <c r="T26" i="75" s="1"/>
  <c r="AF130" i="57"/>
  <c r="U130" i="57" s="1"/>
  <c r="AG130" i="57"/>
  <c r="AG43" i="57" a="1"/>
  <c r="AG43" i="57" s="1"/>
  <c r="AG128" i="57" s="1"/>
  <c r="K130" i="57"/>
  <c r="L75" i="57"/>
  <c r="AH75" i="57" s="1" a="1"/>
  <c r="AH75" i="57" s="1"/>
  <c r="L48" i="57"/>
  <c r="AH48" i="57" s="1" a="1"/>
  <c r="AH48" i="57" s="1"/>
  <c r="L99" i="57"/>
  <c r="L42" i="57"/>
  <c r="AH42" i="57" s="1" a="1"/>
  <c r="AH42" i="57" s="1"/>
  <c r="L28" i="57"/>
  <c r="AH28" i="57" s="1" a="1"/>
  <c r="AH28" i="57" s="1"/>
  <c r="L78" i="57"/>
  <c r="AH78" i="57" s="1" a="1"/>
  <c r="AH78" i="57" s="1"/>
  <c r="L38" i="57"/>
  <c r="AH38" i="57" s="1" a="1"/>
  <c r="AH38" i="57" s="1"/>
  <c r="L46" i="59"/>
  <c r="W46" i="59" s="1"/>
  <c r="L34" i="57"/>
  <c r="AH34" i="57" s="1" a="1"/>
  <c r="AH34" i="57" s="1"/>
  <c r="L50" i="57"/>
  <c r="AH50" i="57" s="1" a="1"/>
  <c r="AH50" i="57" s="1"/>
  <c r="L58" i="57"/>
  <c r="AH58" i="57" s="1" a="1"/>
  <c r="AH58" i="57" s="1"/>
  <c r="L59" i="57"/>
  <c r="AH59" i="57" s="1" a="1"/>
  <c r="AH59" i="57" s="1"/>
  <c r="L39" i="57"/>
  <c r="AH39" i="57" s="1" a="1"/>
  <c r="AH39" i="57" s="1"/>
  <c r="L35" i="57"/>
  <c r="AH35" i="57" s="1" a="1"/>
  <c r="AH35" i="57" s="1"/>
  <c r="L43" i="57"/>
  <c r="AH43" i="57" s="1" a="1"/>
  <c r="AH43" i="57" s="1"/>
  <c r="L53" i="57"/>
  <c r="AH53" i="57" s="1" a="1"/>
  <c r="AH53" i="57" s="1"/>
  <c r="L69" i="57"/>
  <c r="AH69" i="57" s="1" a="1"/>
  <c r="AH69" i="57" s="1"/>
  <c r="L70" i="57"/>
  <c r="AH70" i="57" s="1" a="1"/>
  <c r="AH70" i="57" s="1"/>
  <c r="L30" i="57"/>
  <c r="AH30" i="57" s="1" a="1"/>
  <c r="AH30" i="57" s="1"/>
  <c r="L45" i="57"/>
  <c r="AH45" i="57" s="1" a="1"/>
  <c r="AH45" i="57" s="1"/>
  <c r="L37" i="57"/>
  <c r="AH37" i="57" s="1" a="1"/>
  <c r="AH37" i="57" s="1"/>
  <c r="L74" i="57"/>
  <c r="AH74" i="57" s="1" a="1"/>
  <c r="AH74" i="57" s="1"/>
  <c r="L36" i="57"/>
  <c r="AH36" i="57" s="1" a="1"/>
  <c r="AH36" i="57" s="1"/>
  <c r="L41" i="57"/>
  <c r="AH41" i="57" s="1" a="1"/>
  <c r="AH41" i="57" s="1"/>
  <c r="L31" i="57"/>
  <c r="AH31" i="57" s="1" a="1"/>
  <c r="AH31" i="57" s="1"/>
  <c r="L40" i="57"/>
  <c r="AH40" i="57" s="1" a="1"/>
  <c r="AH40" i="57" s="1"/>
  <c r="L76" i="57"/>
  <c r="AH76" i="57" s="1" a="1"/>
  <c r="AH76" i="57" s="1"/>
  <c r="L55" i="57"/>
  <c r="AH55" i="57" s="1" a="1"/>
  <c r="AH55" i="57" s="1"/>
  <c r="L103" i="57"/>
  <c r="AG26" i="57" a="1"/>
  <c r="AG26" i="57" s="1"/>
  <c r="K126" i="57"/>
  <c r="AG102" i="57" a="1"/>
  <c r="AG102" i="57" s="1"/>
  <c r="AG52" i="57" a="1"/>
  <c r="AG52" i="57" s="1"/>
  <c r="AH88" i="57" a="1"/>
  <c r="AH88" i="57" s="1"/>
  <c r="AG61" i="57" a="1"/>
  <c r="AG61" i="57" s="1"/>
  <c r="AG105" i="57" a="1"/>
  <c r="AG105" i="57" s="1"/>
  <c r="AG51" i="57" a="1"/>
  <c r="AG51" i="57" s="1"/>
  <c r="L52" i="57"/>
  <c r="L37" i="59"/>
  <c r="W37" i="59" s="1"/>
  <c r="L51" i="57"/>
  <c r="L36" i="59"/>
  <c r="W36" i="59" s="1"/>
  <c r="G124" i="52"/>
  <c r="N192" i="28" s="1"/>
  <c r="H123" i="52"/>
  <c r="L136" i="54"/>
  <c r="L57" i="57"/>
  <c r="L26" i="57"/>
  <c r="L136" i="53"/>
  <c r="L105" i="57"/>
  <c r="L141" i="54"/>
  <c r="H137" i="54"/>
  <c r="G138" i="54"/>
  <c r="N177" i="28" s="1"/>
  <c r="H138" i="53"/>
  <c r="O178" i="28" s="1"/>
  <c r="I137" i="53"/>
  <c r="F129" i="52"/>
  <c r="G128" i="52"/>
  <c r="L122" i="52"/>
  <c r="I142" i="54"/>
  <c r="H143" i="54"/>
  <c r="P218" i="28" s="1"/>
  <c r="L127" i="52"/>
  <c r="L111" i="54"/>
  <c r="L100" i="52"/>
  <c r="L33" i="57"/>
  <c r="AH33" i="57" s="1" a="1"/>
  <c r="AH33" i="57" s="1"/>
  <c r="L102" i="57"/>
  <c r="W192" i="57" s="1"/>
  <c r="L29" i="57"/>
  <c r="L61" i="57"/>
  <c r="W123" i="54" l="1"/>
  <c r="W119" i="54"/>
  <c r="W131" i="54"/>
  <c r="T285" i="28" s="1"/>
  <c r="W117" i="53"/>
  <c r="W118" i="54"/>
  <c r="W123" i="53"/>
  <c r="L114" i="54"/>
  <c r="V114" i="54"/>
  <c r="W112" i="54"/>
  <c r="T268" i="28" s="1"/>
  <c r="W113" i="54"/>
  <c r="W112" i="53"/>
  <c r="T269" i="28" s="1"/>
  <c r="AG136" i="57"/>
  <c r="AH100" i="57" a="1"/>
  <c r="AH100" i="57" s="1"/>
  <c r="W113" i="52"/>
  <c r="W116" i="52"/>
  <c r="W98" i="52"/>
  <c r="W108" i="52"/>
  <c r="S419" i="28" s="1"/>
  <c r="W106" i="52"/>
  <c r="U30" i="75"/>
  <c r="U28" i="75"/>
  <c r="V136" i="57"/>
  <c r="U36" i="75"/>
  <c r="T30" i="75"/>
  <c r="W111" i="54"/>
  <c r="AH104" i="57" a="1"/>
  <c r="AH104" i="57" s="1"/>
  <c r="AH103" i="57" a="1"/>
  <c r="AH103" i="57" s="1"/>
  <c r="W193" i="57"/>
  <c r="AH99" i="57" a="1"/>
  <c r="AH99" i="57" s="1"/>
  <c r="W189" i="57"/>
  <c r="AH101" i="57" a="1"/>
  <c r="AH101" i="57" s="1"/>
  <c r="W191" i="57"/>
  <c r="U126" i="57"/>
  <c r="V128" i="57"/>
  <c r="L136" i="57"/>
  <c r="V130" i="57"/>
  <c r="L128" i="57"/>
  <c r="AH128" i="57"/>
  <c r="AG126" i="57"/>
  <c r="U26" i="75" s="1"/>
  <c r="L130" i="57"/>
  <c r="AH26" i="57" a="1"/>
  <c r="AH26" i="57" s="1"/>
  <c r="L126" i="57"/>
  <c r="AH105" i="57" a="1"/>
  <c r="AH105" i="57" s="1"/>
  <c r="AH51" i="57" a="1"/>
  <c r="AH51" i="57" s="1"/>
  <c r="AH57" i="57" a="1"/>
  <c r="AH57" i="57" s="1"/>
  <c r="AH130" i="57" s="1"/>
  <c r="AH102" i="57" a="1"/>
  <c r="AH102" i="57" s="1"/>
  <c r="AH52" i="57" a="1"/>
  <c r="AH52" i="57" s="1"/>
  <c r="AH61" i="57" a="1"/>
  <c r="AH61" i="57" s="1"/>
  <c r="AH29" i="57" a="1"/>
  <c r="AH29" i="57" s="1"/>
  <c r="H124" i="52"/>
  <c r="O192" i="28" s="1"/>
  <c r="I123" i="52"/>
  <c r="J142" i="54"/>
  <c r="I143" i="54"/>
  <c r="Q218" i="28" s="1"/>
  <c r="I137" i="54"/>
  <c r="H138" i="54"/>
  <c r="O177" i="28" s="1"/>
  <c r="G129" i="52"/>
  <c r="H128" i="52"/>
  <c r="J137" i="53"/>
  <c r="I138" i="53"/>
  <c r="P178" i="28" s="1"/>
  <c r="W114" i="54" l="1"/>
  <c r="AH136" i="57"/>
  <c r="V28" i="75"/>
  <c r="V30" i="75"/>
  <c r="W136" i="57"/>
  <c r="V36" i="75"/>
  <c r="V126" i="57"/>
  <c r="W130" i="57"/>
  <c r="W128" i="57"/>
  <c r="AH126" i="57"/>
  <c r="V26" i="75" s="1"/>
  <c r="J123" i="52"/>
  <c r="I124" i="52"/>
  <c r="P192" i="28" s="1"/>
  <c r="I128" i="52"/>
  <c r="H129" i="52"/>
  <c r="J137" i="54"/>
  <c r="I138" i="54"/>
  <c r="P177" i="28" s="1"/>
  <c r="J143" i="54"/>
  <c r="R218" i="28" s="1"/>
  <c r="K142" i="54"/>
  <c r="J138" i="53"/>
  <c r="Q178" i="28" s="1"/>
  <c r="K137" i="53"/>
  <c r="W126" i="57" l="1"/>
  <c r="J124" i="52"/>
  <c r="Q192" i="28" s="1"/>
  <c r="K123" i="52"/>
  <c r="L137" i="53"/>
  <c r="K138" i="53"/>
  <c r="R178" i="28" s="1"/>
  <c r="L142" i="54"/>
  <c r="K143" i="54"/>
  <c r="S218" i="28" s="1"/>
  <c r="J138" i="54"/>
  <c r="Q177" i="28" s="1"/>
  <c r="K137" i="54"/>
  <c r="J128" i="52"/>
  <c r="I129" i="52"/>
  <c r="Q89" i="50" a="1"/>
  <c r="Q89" i="50" s="1"/>
  <c r="P89" i="50" a="1"/>
  <c r="P89" i="50" s="1"/>
  <c r="O89" i="50" a="1"/>
  <c r="O89" i="50" s="1"/>
  <c r="N89" i="50" a="1"/>
  <c r="N89" i="50" s="1"/>
  <c r="M89" i="50" a="1"/>
  <c r="M89" i="50" s="1"/>
  <c r="Q87" i="50" a="1"/>
  <c r="Q87" i="50" s="1"/>
  <c r="P87" i="50" a="1"/>
  <c r="P87" i="50" s="1"/>
  <c r="O87" i="50" a="1"/>
  <c r="O87" i="50" s="1"/>
  <c r="N87" i="50" a="1"/>
  <c r="N87" i="50" s="1"/>
  <c r="M87" i="50" a="1"/>
  <c r="M87" i="50" s="1"/>
  <c r="Q86" i="50" a="1"/>
  <c r="Q86" i="50" s="1"/>
  <c r="P86" i="50" a="1"/>
  <c r="P86" i="50" s="1"/>
  <c r="O86" i="50" a="1"/>
  <c r="O86" i="50" s="1"/>
  <c r="N86" i="50" a="1"/>
  <c r="N86" i="50" s="1"/>
  <c r="M86" i="50" a="1"/>
  <c r="M86" i="50" s="1"/>
  <c r="Q84" i="50" a="1"/>
  <c r="Q84" i="50" s="1"/>
  <c r="P84" i="50" a="1"/>
  <c r="P84" i="50" s="1"/>
  <c r="O84" i="50" a="1"/>
  <c r="O84" i="50" s="1"/>
  <c r="N84" i="50" a="1"/>
  <c r="N84" i="50" s="1"/>
  <c r="M84" i="50" a="1"/>
  <c r="M84" i="50" s="1"/>
  <c r="Q83" i="50" a="1"/>
  <c r="Q83" i="50" s="1"/>
  <c r="P83" i="50" a="1"/>
  <c r="P83" i="50" s="1"/>
  <c r="O83" i="50" a="1"/>
  <c r="O83" i="50" s="1"/>
  <c r="N83" i="50" a="1"/>
  <c r="N83" i="50" s="1"/>
  <c r="M83" i="50" a="1"/>
  <c r="M83" i="50" s="1"/>
  <c r="Q82" i="50" a="1"/>
  <c r="Q82" i="50" s="1"/>
  <c r="P82" i="50" a="1"/>
  <c r="P82" i="50" s="1"/>
  <c r="O82" i="50" a="1"/>
  <c r="O82" i="50" s="1"/>
  <c r="N82" i="50" a="1"/>
  <c r="N82" i="50" s="1"/>
  <c r="M82" i="50" a="1"/>
  <c r="M82" i="50" s="1"/>
  <c r="Q80" i="50" a="1"/>
  <c r="Q80" i="50" s="1"/>
  <c r="P80" i="50" a="1"/>
  <c r="P80" i="50" s="1"/>
  <c r="O80" i="50" a="1"/>
  <c r="O80" i="50" s="1"/>
  <c r="N80" i="50" a="1"/>
  <c r="N80" i="50" s="1"/>
  <c r="M80" i="50" a="1"/>
  <c r="M80" i="50" s="1"/>
  <c r="Q79" i="50" a="1"/>
  <c r="Q79" i="50" s="1"/>
  <c r="P79" i="50" a="1"/>
  <c r="P79" i="50" s="1"/>
  <c r="O79" i="50" a="1"/>
  <c r="O79" i="50" s="1"/>
  <c r="N79" i="50" a="1"/>
  <c r="N79" i="50" s="1"/>
  <c r="M79" i="50" a="1"/>
  <c r="M79" i="50" s="1"/>
  <c r="Q77" i="50" a="1"/>
  <c r="Q77" i="50" s="1"/>
  <c r="P77" i="50" a="1"/>
  <c r="P77" i="50" s="1"/>
  <c r="O77" i="50" a="1"/>
  <c r="O77" i="50" s="1"/>
  <c r="N77" i="50" a="1"/>
  <c r="N77" i="50" s="1"/>
  <c r="M77" i="50" a="1"/>
  <c r="M77" i="50" s="1"/>
  <c r="Q76" i="50" a="1"/>
  <c r="Q76" i="50" s="1"/>
  <c r="P76" i="50" a="1"/>
  <c r="P76" i="50" s="1"/>
  <c r="O76" i="50" a="1"/>
  <c r="O76" i="50" s="1"/>
  <c r="N76" i="50" a="1"/>
  <c r="N76" i="50" s="1"/>
  <c r="Q75" i="50" a="1"/>
  <c r="Q75" i="50" s="1"/>
  <c r="P75" i="50" a="1"/>
  <c r="P75" i="50" s="1"/>
  <c r="O75" i="50" a="1"/>
  <c r="O75" i="50" s="1"/>
  <c r="N75" i="50" a="1"/>
  <c r="N75" i="50" s="1"/>
  <c r="M75" i="50" a="1"/>
  <c r="M75" i="50" s="1"/>
  <c r="Q74" i="50" a="1"/>
  <c r="Q74" i="50" s="1"/>
  <c r="P74" i="50" a="1"/>
  <c r="P74" i="50" s="1"/>
  <c r="O74" i="50" a="1"/>
  <c r="O74" i="50" s="1"/>
  <c r="N74" i="50" a="1"/>
  <c r="N74" i="50" s="1"/>
  <c r="M74" i="50" a="1"/>
  <c r="M74" i="50" s="1"/>
  <c r="Q70" i="50" a="1"/>
  <c r="Q70" i="50" s="1"/>
  <c r="P70" i="50" a="1"/>
  <c r="P70" i="50" s="1"/>
  <c r="O70" i="50" a="1"/>
  <c r="O70" i="50" s="1"/>
  <c r="N70" i="50" a="1"/>
  <c r="N70" i="50" s="1"/>
  <c r="M70" i="50" a="1"/>
  <c r="M70" i="50" s="1"/>
  <c r="Q69" i="50" a="1"/>
  <c r="Q69" i="50" s="1"/>
  <c r="P69" i="50" a="1"/>
  <c r="P69" i="50" s="1"/>
  <c r="O69" i="50" a="1"/>
  <c r="O69" i="50" s="1"/>
  <c r="N69" i="50" a="1"/>
  <c r="N69" i="50" s="1"/>
  <c r="M69" i="50" a="1"/>
  <c r="M69" i="50" s="1"/>
  <c r="Q68" i="50" a="1"/>
  <c r="Q68" i="50" s="1"/>
  <c r="P68" i="50" a="1"/>
  <c r="P68" i="50" s="1"/>
  <c r="O68" i="50" a="1"/>
  <c r="O68" i="50" s="1"/>
  <c r="N68" i="50" a="1"/>
  <c r="N68" i="50" s="1"/>
  <c r="M68" i="50" a="1"/>
  <c r="M68" i="50" s="1"/>
  <c r="Q66" i="50" a="1"/>
  <c r="Q66" i="50" s="1"/>
  <c r="P66" i="50" a="1"/>
  <c r="P66" i="50" s="1"/>
  <c r="O66" i="50" a="1"/>
  <c r="O66" i="50" s="1"/>
  <c r="N66" i="50" a="1"/>
  <c r="N66" i="50" s="1"/>
  <c r="M66" i="50" a="1"/>
  <c r="M66" i="50" s="1"/>
  <c r="Q65" i="50" a="1"/>
  <c r="Q65" i="50" s="1"/>
  <c r="P65" i="50" a="1"/>
  <c r="P65" i="50" s="1"/>
  <c r="O65" i="50" a="1"/>
  <c r="O65" i="50" s="1"/>
  <c r="N65" i="50" a="1"/>
  <c r="N65" i="50" s="1"/>
  <c r="M65" i="50" a="1"/>
  <c r="M65" i="50" s="1"/>
  <c r="Q64" i="50" a="1"/>
  <c r="Q64" i="50" s="1"/>
  <c r="P64" i="50" a="1"/>
  <c r="P64" i="50" s="1"/>
  <c r="O64" i="50" a="1"/>
  <c r="O64" i="50" s="1"/>
  <c r="N64" i="50" a="1"/>
  <c r="N64" i="50" s="1"/>
  <c r="M64" i="50" a="1"/>
  <c r="M64" i="50" s="1"/>
  <c r="Q63" i="50" a="1"/>
  <c r="Q63" i="50" s="1"/>
  <c r="P63" i="50" a="1"/>
  <c r="P63" i="50" s="1"/>
  <c r="O63" i="50" a="1"/>
  <c r="O63" i="50" s="1"/>
  <c r="N63" i="50" a="1"/>
  <c r="N63" i="50" s="1"/>
  <c r="M63" i="50" a="1"/>
  <c r="M63" i="50" s="1"/>
  <c r="Q62" i="50" a="1"/>
  <c r="Q62" i="50" s="1"/>
  <c r="P62" i="50" a="1"/>
  <c r="P62" i="50" s="1"/>
  <c r="O62" i="50" a="1"/>
  <c r="O62" i="50" s="1"/>
  <c r="N62" i="50" a="1"/>
  <c r="N62" i="50" s="1"/>
  <c r="M62" i="50" a="1"/>
  <c r="M62" i="50" s="1"/>
  <c r="Q60" i="50" a="1"/>
  <c r="Q60" i="50" s="1"/>
  <c r="P60" i="50" a="1"/>
  <c r="P60" i="50" s="1"/>
  <c r="O60" i="50" a="1"/>
  <c r="O60" i="50" s="1"/>
  <c r="N60" i="50" a="1"/>
  <c r="N60" i="50" s="1"/>
  <c r="M60" i="50" a="1"/>
  <c r="M60" i="50" s="1"/>
  <c r="Q59" i="50" a="1"/>
  <c r="Q59" i="50" s="1"/>
  <c r="P59" i="50" a="1"/>
  <c r="P59" i="50" s="1"/>
  <c r="O59" i="50" a="1"/>
  <c r="O59" i="50" s="1"/>
  <c r="N59" i="50" a="1"/>
  <c r="N59" i="50" s="1"/>
  <c r="M59" i="50" a="1"/>
  <c r="M59" i="50" s="1"/>
  <c r="Q58" i="50" a="1"/>
  <c r="Q58" i="50" s="1"/>
  <c r="P58" i="50" a="1"/>
  <c r="P58" i="50" s="1"/>
  <c r="O58" i="50" a="1"/>
  <c r="O58" i="50" s="1"/>
  <c r="N58" i="50" a="1"/>
  <c r="N58" i="50" s="1"/>
  <c r="M58" i="50" a="1"/>
  <c r="M58" i="50" s="1"/>
  <c r="Q54" i="50" a="1"/>
  <c r="Q54" i="50" s="1"/>
  <c r="P54" i="50" a="1"/>
  <c r="P54" i="50" s="1"/>
  <c r="O54" i="50" a="1"/>
  <c r="O54" i="50" s="1"/>
  <c r="N54" i="50" a="1"/>
  <c r="N54" i="50" s="1"/>
  <c r="M54" i="50" a="1"/>
  <c r="M54" i="50" s="1"/>
  <c r="Q53" i="50" a="1"/>
  <c r="Q53" i="50" s="1"/>
  <c r="P53" i="50" a="1"/>
  <c r="P53" i="50" s="1"/>
  <c r="O53" i="50" a="1"/>
  <c r="O53" i="50" s="1"/>
  <c r="N53" i="50" a="1"/>
  <c r="N53" i="50" s="1"/>
  <c r="M53" i="50" a="1"/>
  <c r="M53" i="50" s="1"/>
  <c r="Q52" i="50" a="1"/>
  <c r="Q52" i="50" s="1"/>
  <c r="P52" i="50" a="1"/>
  <c r="P52" i="50" s="1"/>
  <c r="O52" i="50" a="1"/>
  <c r="O52" i="50" s="1"/>
  <c r="N52" i="50" a="1"/>
  <c r="N52" i="50" s="1"/>
  <c r="M52" i="50" a="1"/>
  <c r="M52" i="50" s="1"/>
  <c r="Q51" i="50" a="1"/>
  <c r="Q51" i="50" s="1"/>
  <c r="P51" i="50" a="1"/>
  <c r="P51" i="50" s="1"/>
  <c r="O51" i="50" a="1"/>
  <c r="O51" i="50" s="1"/>
  <c r="N51" i="50" a="1"/>
  <c r="N51" i="50" s="1"/>
  <c r="M51" i="50" a="1"/>
  <c r="M51" i="50" s="1"/>
  <c r="Q50" i="50" a="1"/>
  <c r="Q50" i="50" s="1"/>
  <c r="P50" i="50" a="1"/>
  <c r="P50" i="50" s="1"/>
  <c r="O50" i="50" a="1"/>
  <c r="O50" i="50" s="1"/>
  <c r="N50" i="50" a="1"/>
  <c r="N50" i="50" s="1"/>
  <c r="M50" i="50" a="1"/>
  <c r="M50" i="50" s="1"/>
  <c r="Q49" i="50" a="1"/>
  <c r="Q49" i="50" s="1"/>
  <c r="P49" i="50" a="1"/>
  <c r="P49" i="50" s="1"/>
  <c r="O49" i="50" a="1"/>
  <c r="O49" i="50" s="1"/>
  <c r="N49" i="50" a="1"/>
  <c r="N49" i="50" s="1"/>
  <c r="M49" i="50" a="1"/>
  <c r="M49" i="50" s="1"/>
  <c r="Q48" i="50" a="1"/>
  <c r="Q48" i="50" s="1"/>
  <c r="P48" i="50" a="1"/>
  <c r="P48" i="50" s="1"/>
  <c r="O48" i="50" a="1"/>
  <c r="O48" i="50" s="1"/>
  <c r="N48" i="50" a="1"/>
  <c r="N48" i="50" s="1"/>
  <c r="M48" i="50" a="1"/>
  <c r="M48" i="50" s="1"/>
  <c r="Q46" i="50" a="1"/>
  <c r="Q46" i="50" s="1"/>
  <c r="P46" i="50" a="1"/>
  <c r="P46" i="50" s="1"/>
  <c r="O46" i="50" a="1"/>
  <c r="O46" i="50" s="1"/>
  <c r="N46" i="50" a="1"/>
  <c r="N46" i="50" s="1"/>
  <c r="M46" i="50" a="1"/>
  <c r="M46" i="50" s="1"/>
  <c r="Q45" i="50" a="1"/>
  <c r="Q45" i="50" s="1"/>
  <c r="P45" i="50" a="1"/>
  <c r="P45" i="50" s="1"/>
  <c r="O45" i="50" a="1"/>
  <c r="O45" i="50" s="1"/>
  <c r="N45" i="50" a="1"/>
  <c r="N45" i="50" s="1"/>
  <c r="M45" i="50" a="1"/>
  <c r="M45" i="50" s="1"/>
  <c r="Q89" i="49" a="1"/>
  <c r="Q89" i="49" s="1"/>
  <c r="P89" i="49" a="1"/>
  <c r="P89" i="49" s="1"/>
  <c r="O89" i="49" a="1"/>
  <c r="O89" i="49" s="1"/>
  <c r="N89" i="49" a="1"/>
  <c r="N89" i="49" s="1"/>
  <c r="M89" i="49" a="1"/>
  <c r="M89" i="49" s="1"/>
  <c r="Q88" i="49" a="1"/>
  <c r="Q88" i="49" s="1"/>
  <c r="P88" i="49" a="1"/>
  <c r="P88" i="49" s="1"/>
  <c r="O88" i="49" a="1"/>
  <c r="O88" i="49" s="1"/>
  <c r="N88" i="49" a="1"/>
  <c r="N88" i="49" s="1"/>
  <c r="M88" i="49" a="1"/>
  <c r="M88" i="49" s="1"/>
  <c r="Q87" i="49" a="1"/>
  <c r="Q87" i="49" s="1"/>
  <c r="P87" i="49" a="1"/>
  <c r="P87" i="49" s="1"/>
  <c r="O87" i="49" a="1"/>
  <c r="O87" i="49" s="1"/>
  <c r="N87" i="49" a="1"/>
  <c r="N87" i="49" s="1"/>
  <c r="M87" i="49" a="1"/>
  <c r="M87" i="49" s="1"/>
  <c r="Q86" i="49" a="1"/>
  <c r="Q86" i="49" s="1"/>
  <c r="P86" i="49" a="1"/>
  <c r="P86" i="49" s="1"/>
  <c r="O86" i="49" a="1"/>
  <c r="O86" i="49" s="1"/>
  <c r="N86" i="49" a="1"/>
  <c r="N86" i="49" s="1"/>
  <c r="M86" i="49" a="1"/>
  <c r="M86" i="49" s="1"/>
  <c r="Q85" i="49" a="1"/>
  <c r="Q85" i="49" s="1"/>
  <c r="P85" i="49" a="1"/>
  <c r="P85" i="49" s="1"/>
  <c r="O85" i="49" a="1"/>
  <c r="O85" i="49" s="1"/>
  <c r="N85" i="49" a="1"/>
  <c r="N85" i="49" s="1"/>
  <c r="M85" i="49" a="1"/>
  <c r="M85" i="49" s="1"/>
  <c r="Q84" i="49" a="1"/>
  <c r="Q84" i="49" s="1"/>
  <c r="P84" i="49" a="1"/>
  <c r="P84" i="49" s="1"/>
  <c r="O84" i="49" a="1"/>
  <c r="O84" i="49" s="1"/>
  <c r="N84" i="49" a="1"/>
  <c r="N84" i="49" s="1"/>
  <c r="M84" i="49" a="1"/>
  <c r="M84" i="49" s="1"/>
  <c r="Q83" i="49" a="1"/>
  <c r="Q83" i="49" s="1"/>
  <c r="P83" i="49" a="1"/>
  <c r="P83" i="49" s="1"/>
  <c r="O83" i="49" a="1"/>
  <c r="O83" i="49" s="1"/>
  <c r="N83" i="49" a="1"/>
  <c r="N83" i="49" s="1"/>
  <c r="M83" i="49" a="1"/>
  <c r="M83" i="49" s="1"/>
  <c r="Q82" i="49" a="1"/>
  <c r="Q82" i="49" s="1"/>
  <c r="P82" i="49" a="1"/>
  <c r="P82" i="49" s="1"/>
  <c r="O82" i="49" a="1"/>
  <c r="O82" i="49" s="1"/>
  <c r="N82" i="49" a="1"/>
  <c r="N82" i="49" s="1"/>
  <c r="M82" i="49" a="1"/>
  <c r="M82" i="49" s="1"/>
  <c r="Q81" i="49" a="1"/>
  <c r="Q81" i="49" s="1"/>
  <c r="P81" i="49" a="1"/>
  <c r="P81" i="49" s="1"/>
  <c r="O81" i="49" a="1"/>
  <c r="O81" i="49" s="1"/>
  <c r="N81" i="49" a="1"/>
  <c r="N81" i="49" s="1"/>
  <c r="M81" i="49" a="1"/>
  <c r="M81" i="49" s="1"/>
  <c r="Q80" i="49" a="1"/>
  <c r="Q80" i="49" s="1"/>
  <c r="P80" i="49" a="1"/>
  <c r="P80" i="49" s="1"/>
  <c r="O80" i="49" a="1"/>
  <c r="O80" i="49" s="1"/>
  <c r="N80" i="49" a="1"/>
  <c r="N80" i="49" s="1"/>
  <c r="M80" i="49" a="1"/>
  <c r="M80" i="49" s="1"/>
  <c r="Q79" i="49" a="1"/>
  <c r="Q79" i="49" s="1"/>
  <c r="P79" i="49" a="1"/>
  <c r="P79" i="49" s="1"/>
  <c r="O79" i="49" a="1"/>
  <c r="O79" i="49" s="1"/>
  <c r="N79" i="49" a="1"/>
  <c r="N79" i="49" s="1"/>
  <c r="M79" i="49" a="1"/>
  <c r="M79" i="49" s="1"/>
  <c r="Q78" i="49" a="1"/>
  <c r="Q78" i="49" s="1"/>
  <c r="P78" i="49" a="1"/>
  <c r="P78" i="49" s="1"/>
  <c r="O78" i="49" a="1"/>
  <c r="O78" i="49" s="1"/>
  <c r="N78" i="49" a="1"/>
  <c r="N78" i="49" s="1"/>
  <c r="M78" i="49" a="1"/>
  <c r="M78" i="49" s="1"/>
  <c r="Q77" i="49" a="1"/>
  <c r="Q77" i="49" s="1"/>
  <c r="P77" i="49" a="1"/>
  <c r="P77" i="49" s="1"/>
  <c r="O77" i="49" a="1"/>
  <c r="O77" i="49" s="1"/>
  <c r="N77" i="49" a="1"/>
  <c r="N77" i="49" s="1"/>
  <c r="M77" i="49" a="1"/>
  <c r="M77" i="49" s="1"/>
  <c r="Q75" i="49" a="1"/>
  <c r="Q75" i="49" s="1"/>
  <c r="P75" i="49" a="1"/>
  <c r="P75" i="49" s="1"/>
  <c r="O75" i="49" a="1"/>
  <c r="O75" i="49" s="1"/>
  <c r="N75" i="49" a="1"/>
  <c r="N75" i="49" s="1"/>
  <c r="M75" i="49" a="1"/>
  <c r="M75" i="49" s="1"/>
  <c r="Q74" i="49" a="1"/>
  <c r="Q74" i="49" s="1"/>
  <c r="P74" i="49" a="1"/>
  <c r="P74" i="49" s="1"/>
  <c r="O74" i="49" a="1"/>
  <c r="O74" i="49" s="1"/>
  <c r="N74" i="49" a="1"/>
  <c r="N74" i="49" s="1"/>
  <c r="M74" i="49" a="1"/>
  <c r="M74" i="49" s="1"/>
  <c r="Q72" i="49" a="1"/>
  <c r="Q72" i="49" s="1"/>
  <c r="P72" i="49" a="1"/>
  <c r="P72" i="49" s="1"/>
  <c r="O72" i="49" a="1"/>
  <c r="O72" i="49" s="1"/>
  <c r="N72" i="49" a="1"/>
  <c r="N72" i="49" s="1"/>
  <c r="M72" i="49" a="1"/>
  <c r="M72" i="49" s="1"/>
  <c r="Q69" i="49" a="1"/>
  <c r="Q69" i="49" s="1"/>
  <c r="P69" i="49" a="1"/>
  <c r="P69" i="49" s="1"/>
  <c r="O69" i="49" a="1"/>
  <c r="O69" i="49" s="1"/>
  <c r="N69" i="49" a="1"/>
  <c r="N69" i="49" s="1"/>
  <c r="M69" i="49" a="1"/>
  <c r="M69" i="49" s="1"/>
  <c r="Q68" i="49" a="1"/>
  <c r="Q68" i="49" s="1"/>
  <c r="P68" i="49" a="1"/>
  <c r="P68" i="49" s="1"/>
  <c r="O68" i="49" a="1"/>
  <c r="O68" i="49" s="1"/>
  <c r="N68" i="49" a="1"/>
  <c r="N68" i="49" s="1"/>
  <c r="M68" i="49" a="1"/>
  <c r="M68" i="49" s="1"/>
  <c r="Q66" i="49" a="1"/>
  <c r="Q66" i="49" s="1"/>
  <c r="P66" i="49" a="1"/>
  <c r="P66" i="49" s="1"/>
  <c r="O66" i="49" a="1"/>
  <c r="O66" i="49" s="1"/>
  <c r="N66" i="49" a="1"/>
  <c r="N66" i="49" s="1"/>
  <c r="M66" i="49" a="1"/>
  <c r="M66" i="49" s="1"/>
  <c r="Q65" i="49" a="1"/>
  <c r="Q65" i="49" s="1"/>
  <c r="P65" i="49" a="1"/>
  <c r="P65" i="49" s="1"/>
  <c r="O65" i="49" a="1"/>
  <c r="O65" i="49" s="1"/>
  <c r="N65" i="49" a="1"/>
  <c r="N65" i="49" s="1"/>
  <c r="M65" i="49" a="1"/>
  <c r="M65" i="49" s="1"/>
  <c r="Q64" i="49" a="1"/>
  <c r="Q64" i="49" s="1"/>
  <c r="P64" i="49" a="1"/>
  <c r="P64" i="49" s="1"/>
  <c r="O64" i="49" a="1"/>
  <c r="O64" i="49" s="1"/>
  <c r="N64" i="49" a="1"/>
  <c r="N64" i="49" s="1"/>
  <c r="M64" i="49" a="1"/>
  <c r="M64" i="49" s="1"/>
  <c r="Q63" i="49" a="1"/>
  <c r="Q63" i="49" s="1"/>
  <c r="P63" i="49" a="1"/>
  <c r="P63" i="49" s="1"/>
  <c r="O63" i="49" a="1"/>
  <c r="O63" i="49" s="1"/>
  <c r="N63" i="49" a="1"/>
  <c r="N63" i="49" s="1"/>
  <c r="M63" i="49" a="1"/>
  <c r="M63" i="49" s="1"/>
  <c r="Q62" i="49" a="1"/>
  <c r="Q62" i="49" s="1"/>
  <c r="P62" i="49" a="1"/>
  <c r="P62" i="49" s="1"/>
  <c r="O62" i="49" a="1"/>
  <c r="O62" i="49" s="1"/>
  <c r="N62" i="49" a="1"/>
  <c r="N62" i="49" s="1"/>
  <c r="M62" i="49" a="1"/>
  <c r="M62" i="49" s="1"/>
  <c r="Q60" i="49" a="1"/>
  <c r="Q60" i="49" s="1"/>
  <c r="P60" i="49" a="1"/>
  <c r="P60" i="49" s="1"/>
  <c r="O60" i="49" a="1"/>
  <c r="O60" i="49" s="1"/>
  <c r="N60" i="49" a="1"/>
  <c r="N60" i="49" s="1"/>
  <c r="M60" i="49" a="1"/>
  <c r="M60" i="49" s="1"/>
  <c r="Q59" i="49" a="1"/>
  <c r="Q59" i="49" s="1"/>
  <c r="P59" i="49" a="1"/>
  <c r="P59" i="49" s="1"/>
  <c r="O59" i="49" a="1"/>
  <c r="O59" i="49" s="1"/>
  <c r="N59" i="49" a="1"/>
  <c r="N59" i="49" s="1"/>
  <c r="M59" i="49" a="1"/>
  <c r="M59" i="49" s="1"/>
  <c r="Q58" i="49" a="1"/>
  <c r="Q58" i="49" s="1"/>
  <c r="P58" i="49" a="1"/>
  <c r="P58" i="49" s="1"/>
  <c r="O58" i="49" a="1"/>
  <c r="O58" i="49" s="1"/>
  <c r="N58" i="49" a="1"/>
  <c r="N58" i="49" s="1"/>
  <c r="M58" i="49" a="1"/>
  <c r="M58" i="49" s="1"/>
  <c r="Q56" i="49" a="1"/>
  <c r="Q56" i="49" s="1"/>
  <c r="P56" i="49" a="1"/>
  <c r="P56" i="49" s="1"/>
  <c r="O56" i="49" a="1"/>
  <c r="O56" i="49" s="1"/>
  <c r="N56" i="49" a="1"/>
  <c r="N56" i="49" s="1"/>
  <c r="M56" i="49" a="1"/>
  <c r="M56" i="49" s="1"/>
  <c r="F96" i="49"/>
  <c r="E96" i="49"/>
  <c r="Q54" i="49" a="1"/>
  <c r="Q54" i="49" s="1"/>
  <c r="P54" i="49" a="1"/>
  <c r="P54" i="49" s="1"/>
  <c r="O54" i="49" a="1"/>
  <c r="O54" i="49" s="1"/>
  <c r="N54" i="49" a="1"/>
  <c r="N54" i="49" s="1"/>
  <c r="M54" i="49" a="1"/>
  <c r="M54" i="49" s="1"/>
  <c r="Q53" i="49" a="1"/>
  <c r="Q53" i="49" s="1"/>
  <c r="P53" i="49" a="1"/>
  <c r="P53" i="49" s="1"/>
  <c r="O53" i="49" a="1"/>
  <c r="O53" i="49" s="1"/>
  <c r="N53" i="49" a="1"/>
  <c r="N53" i="49" s="1"/>
  <c r="M53" i="49" a="1"/>
  <c r="M53" i="49" s="1"/>
  <c r="Q52" i="49" a="1"/>
  <c r="Q52" i="49" s="1"/>
  <c r="P52" i="49" a="1"/>
  <c r="P52" i="49" s="1"/>
  <c r="O52" i="49" a="1"/>
  <c r="O52" i="49" s="1"/>
  <c r="N52" i="49" a="1"/>
  <c r="N52" i="49" s="1"/>
  <c r="M52" i="49" a="1"/>
  <c r="M52" i="49" s="1"/>
  <c r="Q51" i="49" a="1"/>
  <c r="Q51" i="49" s="1"/>
  <c r="P51" i="49" a="1"/>
  <c r="P51" i="49" s="1"/>
  <c r="O51" i="49" a="1"/>
  <c r="O51" i="49" s="1"/>
  <c r="N51" i="49" a="1"/>
  <c r="N51" i="49" s="1"/>
  <c r="M51" i="49" a="1"/>
  <c r="M51" i="49" s="1"/>
  <c r="Q50" i="49" a="1"/>
  <c r="Q50" i="49" s="1"/>
  <c r="P50" i="49" a="1"/>
  <c r="P50" i="49" s="1"/>
  <c r="O50" i="49" a="1"/>
  <c r="O50" i="49" s="1"/>
  <c r="N50" i="49" a="1"/>
  <c r="N50" i="49" s="1"/>
  <c r="M50" i="49" a="1"/>
  <c r="M50" i="49" s="1"/>
  <c r="Q49" i="49" a="1"/>
  <c r="Q49" i="49" s="1"/>
  <c r="P49" i="49" a="1"/>
  <c r="P49" i="49" s="1"/>
  <c r="O49" i="49" a="1"/>
  <c r="O49" i="49" s="1"/>
  <c r="N49" i="49" a="1"/>
  <c r="N49" i="49" s="1"/>
  <c r="M49" i="49" a="1"/>
  <c r="M49" i="49" s="1"/>
  <c r="Q48" i="49" a="1"/>
  <c r="Q48" i="49" s="1"/>
  <c r="P48" i="49" a="1"/>
  <c r="P48" i="49" s="1"/>
  <c r="O48" i="49" a="1"/>
  <c r="O48" i="49" s="1"/>
  <c r="N48" i="49" a="1"/>
  <c r="N48" i="49" s="1"/>
  <c r="M48" i="49" a="1"/>
  <c r="M48" i="49" s="1"/>
  <c r="Q46" i="49" a="1"/>
  <c r="Q46" i="49" s="1"/>
  <c r="P46" i="49" a="1"/>
  <c r="P46" i="49" s="1"/>
  <c r="O46" i="49" a="1"/>
  <c r="O46" i="49" s="1"/>
  <c r="N46" i="49" a="1"/>
  <c r="N46" i="49" s="1"/>
  <c r="M46" i="49" a="1"/>
  <c r="M46" i="49" s="1"/>
  <c r="Q45" i="49" a="1"/>
  <c r="Q45" i="49" s="1"/>
  <c r="P45" i="49" a="1"/>
  <c r="P45" i="49" s="1"/>
  <c r="O45" i="49" a="1"/>
  <c r="O45" i="49" s="1"/>
  <c r="N45" i="49" a="1"/>
  <c r="N45" i="49" s="1"/>
  <c r="M45" i="49" a="1"/>
  <c r="M45" i="49" s="1"/>
  <c r="Q89" i="48" a="1"/>
  <c r="Q89" i="48" s="1"/>
  <c r="P89" i="48" a="1"/>
  <c r="P89" i="48" s="1"/>
  <c r="O89" i="48" a="1"/>
  <c r="O89" i="48" s="1"/>
  <c r="N89" i="48" a="1"/>
  <c r="N89" i="48" s="1"/>
  <c r="M89" i="48" a="1"/>
  <c r="M89" i="48" s="1"/>
  <c r="Q87" i="48" a="1"/>
  <c r="Q87" i="48" s="1"/>
  <c r="P87" i="48" a="1"/>
  <c r="P87" i="48" s="1"/>
  <c r="O87" i="48" a="1"/>
  <c r="O87" i="48" s="1"/>
  <c r="N87" i="48" a="1"/>
  <c r="N87" i="48" s="1"/>
  <c r="M87" i="48" a="1"/>
  <c r="M87" i="48" s="1"/>
  <c r="Q86" i="48" a="1"/>
  <c r="Q86" i="48" s="1"/>
  <c r="P86" i="48" a="1"/>
  <c r="P86" i="48" s="1"/>
  <c r="O86" i="48" a="1"/>
  <c r="O86" i="48" s="1"/>
  <c r="N86" i="48" a="1"/>
  <c r="N86" i="48" s="1"/>
  <c r="M86" i="48" a="1"/>
  <c r="M86" i="48" s="1"/>
  <c r="Q84" i="48" a="1"/>
  <c r="Q84" i="48" s="1"/>
  <c r="P84" i="48" a="1"/>
  <c r="P84" i="48" s="1"/>
  <c r="O84" i="48" a="1"/>
  <c r="O84" i="48" s="1"/>
  <c r="N84" i="48" a="1"/>
  <c r="N84" i="48" s="1"/>
  <c r="M84" i="48" a="1"/>
  <c r="M84" i="48" s="1"/>
  <c r="P83" i="48" a="1"/>
  <c r="P83" i="48" s="1"/>
  <c r="O83" i="48" a="1"/>
  <c r="O83" i="48" s="1"/>
  <c r="N83" i="48" a="1"/>
  <c r="N83" i="48" s="1"/>
  <c r="M83" i="48" a="1"/>
  <c r="M83" i="48" s="1"/>
  <c r="Q82" i="48" a="1"/>
  <c r="Q82" i="48" s="1"/>
  <c r="P82" i="48" a="1"/>
  <c r="P82" i="48" s="1"/>
  <c r="O82" i="48" a="1"/>
  <c r="O82" i="48" s="1"/>
  <c r="N82" i="48" a="1"/>
  <c r="N82" i="48" s="1"/>
  <c r="M82" i="48" a="1"/>
  <c r="M82" i="48" s="1"/>
  <c r="Q80" i="48" a="1"/>
  <c r="Q80" i="48" s="1"/>
  <c r="P80" i="48" a="1"/>
  <c r="P80" i="48" s="1"/>
  <c r="O80" i="48" a="1"/>
  <c r="O80" i="48" s="1"/>
  <c r="N80" i="48" a="1"/>
  <c r="N80" i="48" s="1"/>
  <c r="M80" i="48" a="1"/>
  <c r="M80" i="48" s="1"/>
  <c r="Q79" i="48" a="1"/>
  <c r="Q79" i="48" s="1"/>
  <c r="P79" i="48" a="1"/>
  <c r="P79" i="48" s="1"/>
  <c r="O79" i="48" a="1"/>
  <c r="O79" i="48" s="1"/>
  <c r="N79" i="48" a="1"/>
  <c r="N79" i="48" s="1"/>
  <c r="M79" i="48" a="1"/>
  <c r="M79" i="48" s="1"/>
  <c r="Q77" i="48" a="1"/>
  <c r="Q77" i="48" s="1"/>
  <c r="P77" i="48" a="1"/>
  <c r="P77" i="48" s="1"/>
  <c r="O77" i="48" a="1"/>
  <c r="O77" i="48" s="1"/>
  <c r="N77" i="48" a="1"/>
  <c r="N77" i="48" s="1"/>
  <c r="M77" i="48" a="1"/>
  <c r="M77" i="48" s="1"/>
  <c r="Q76" i="48" a="1"/>
  <c r="Q76" i="48" s="1"/>
  <c r="P76" i="48" a="1"/>
  <c r="P76" i="48" s="1"/>
  <c r="O76" i="48" a="1"/>
  <c r="O76" i="48" s="1"/>
  <c r="N76" i="48" a="1"/>
  <c r="N76" i="48" s="1"/>
  <c r="M76" i="48" a="1"/>
  <c r="M76" i="48" s="1"/>
  <c r="Q75" i="48" a="1"/>
  <c r="Q75" i="48" s="1"/>
  <c r="P75" i="48" a="1"/>
  <c r="P75" i="48" s="1"/>
  <c r="O75" i="48" a="1"/>
  <c r="O75" i="48" s="1"/>
  <c r="N75" i="48" a="1"/>
  <c r="N75" i="48" s="1"/>
  <c r="M75" i="48" a="1"/>
  <c r="M75" i="48" s="1"/>
  <c r="Q74" i="48" a="1"/>
  <c r="Q74" i="48" s="1"/>
  <c r="P74" i="48" a="1"/>
  <c r="P74" i="48" s="1"/>
  <c r="O74" i="48" a="1"/>
  <c r="O74" i="48" s="1"/>
  <c r="N74" i="48" a="1"/>
  <c r="N74" i="48" s="1"/>
  <c r="M74" i="48" a="1"/>
  <c r="M74" i="48" s="1"/>
  <c r="Q72" i="48" a="1"/>
  <c r="Q72" i="48" s="1"/>
  <c r="P72" i="48" a="1"/>
  <c r="P72" i="48" s="1"/>
  <c r="O72" i="48" a="1"/>
  <c r="O72" i="48" s="1"/>
  <c r="N72" i="48" a="1"/>
  <c r="N72" i="48" s="1"/>
  <c r="M72" i="48" a="1"/>
  <c r="M72" i="48" s="1"/>
  <c r="Q70" i="48" a="1"/>
  <c r="Q70" i="48" s="1"/>
  <c r="P70" i="48" a="1"/>
  <c r="P70" i="48" s="1"/>
  <c r="O70" i="48" a="1"/>
  <c r="O70" i="48" s="1"/>
  <c r="N70" i="48" a="1"/>
  <c r="N70" i="48" s="1"/>
  <c r="M70" i="48" a="1"/>
  <c r="M70" i="48" s="1"/>
  <c r="Q69" i="48" a="1"/>
  <c r="Q69" i="48" s="1"/>
  <c r="P69" i="48" a="1"/>
  <c r="P69" i="48" s="1"/>
  <c r="O69" i="48" a="1"/>
  <c r="O69" i="48" s="1"/>
  <c r="N69" i="48" a="1"/>
  <c r="N69" i="48" s="1"/>
  <c r="M69" i="48" a="1"/>
  <c r="M69" i="48" s="1"/>
  <c r="Q68" i="48" a="1"/>
  <c r="Q68" i="48" s="1"/>
  <c r="P68" i="48" a="1"/>
  <c r="P68" i="48" s="1"/>
  <c r="O68" i="48" a="1"/>
  <c r="O68" i="48" s="1"/>
  <c r="N68" i="48" a="1"/>
  <c r="N68" i="48" s="1"/>
  <c r="M68" i="48" a="1"/>
  <c r="M68" i="48" s="1"/>
  <c r="Q66" i="48" a="1"/>
  <c r="Q66" i="48" s="1"/>
  <c r="P66" i="48" a="1"/>
  <c r="P66" i="48" s="1"/>
  <c r="O66" i="48" a="1"/>
  <c r="O66" i="48" s="1"/>
  <c r="N66" i="48" a="1"/>
  <c r="N66" i="48" s="1"/>
  <c r="M66" i="48" a="1"/>
  <c r="M66" i="48" s="1"/>
  <c r="Q65" i="48" a="1"/>
  <c r="Q65" i="48" s="1"/>
  <c r="P65" i="48" a="1"/>
  <c r="P65" i="48" s="1"/>
  <c r="O65" i="48" a="1"/>
  <c r="O65" i="48" s="1"/>
  <c r="N65" i="48" a="1"/>
  <c r="N65" i="48" s="1"/>
  <c r="M65" i="48" a="1"/>
  <c r="M65" i="48" s="1"/>
  <c r="Q64" i="48" a="1"/>
  <c r="Q64" i="48" s="1"/>
  <c r="P64" i="48" a="1"/>
  <c r="P64" i="48" s="1"/>
  <c r="O64" i="48" a="1"/>
  <c r="O64" i="48" s="1"/>
  <c r="N64" i="48" a="1"/>
  <c r="N64" i="48" s="1"/>
  <c r="M64" i="48" a="1"/>
  <c r="M64" i="48" s="1"/>
  <c r="Q63" i="48" a="1"/>
  <c r="Q63" i="48" s="1"/>
  <c r="P63" i="48" a="1"/>
  <c r="P63" i="48" s="1"/>
  <c r="O63" i="48" a="1"/>
  <c r="O63" i="48" s="1"/>
  <c r="N63" i="48" a="1"/>
  <c r="N63" i="48" s="1"/>
  <c r="M63" i="48" a="1"/>
  <c r="M63" i="48" s="1"/>
  <c r="Q62" i="48" a="1"/>
  <c r="Q62" i="48" s="1"/>
  <c r="P62" i="48" a="1"/>
  <c r="P62" i="48" s="1"/>
  <c r="O62" i="48" a="1"/>
  <c r="O62" i="48" s="1"/>
  <c r="N62" i="48" a="1"/>
  <c r="N62" i="48" s="1"/>
  <c r="M62" i="48" a="1"/>
  <c r="M62" i="48" s="1"/>
  <c r="Q60" i="48" a="1"/>
  <c r="Q60" i="48" s="1"/>
  <c r="P60" i="48" a="1"/>
  <c r="P60" i="48" s="1"/>
  <c r="O60" i="48" a="1"/>
  <c r="O60" i="48" s="1"/>
  <c r="N60" i="48" a="1"/>
  <c r="N60" i="48" s="1"/>
  <c r="M60" i="48" a="1"/>
  <c r="M60" i="48" s="1"/>
  <c r="Q59" i="48" a="1"/>
  <c r="Q59" i="48" s="1"/>
  <c r="P59" i="48" a="1"/>
  <c r="P59" i="48" s="1"/>
  <c r="O59" i="48" a="1"/>
  <c r="O59" i="48" s="1"/>
  <c r="N59" i="48" a="1"/>
  <c r="N59" i="48" s="1"/>
  <c r="M59" i="48" a="1"/>
  <c r="M59" i="48" s="1"/>
  <c r="Q58" i="48" a="1"/>
  <c r="Q58" i="48" s="1"/>
  <c r="P58" i="48" a="1"/>
  <c r="P58" i="48" s="1"/>
  <c r="O58" i="48" a="1"/>
  <c r="O58" i="48" s="1"/>
  <c r="N58" i="48" a="1"/>
  <c r="N58" i="48" s="1"/>
  <c r="M58" i="48" a="1"/>
  <c r="M58" i="48" s="1"/>
  <c r="Q56" i="48" a="1"/>
  <c r="Q56" i="48" s="1"/>
  <c r="P56" i="48" a="1"/>
  <c r="P56" i="48" s="1"/>
  <c r="O56" i="48" a="1"/>
  <c r="O56" i="48" s="1"/>
  <c r="N56" i="48" a="1"/>
  <c r="N56" i="48" s="1"/>
  <c r="M56" i="48" a="1"/>
  <c r="M56" i="48" s="1"/>
  <c r="Q54" i="48" a="1"/>
  <c r="Q54" i="48" s="1"/>
  <c r="P54" i="48" a="1"/>
  <c r="P54" i="48" s="1"/>
  <c r="O54" i="48" a="1"/>
  <c r="O54" i="48" s="1"/>
  <c r="N54" i="48" a="1"/>
  <c r="N54" i="48" s="1"/>
  <c r="M54" i="48" a="1"/>
  <c r="M54" i="48" s="1"/>
  <c r="Q53" i="48" a="1"/>
  <c r="Q53" i="48" s="1"/>
  <c r="P53" i="48" a="1"/>
  <c r="P53" i="48" s="1"/>
  <c r="O53" i="48" a="1"/>
  <c r="O53" i="48" s="1"/>
  <c r="N53" i="48" a="1"/>
  <c r="N53" i="48" s="1"/>
  <c r="M53" i="48" a="1"/>
  <c r="M53" i="48" s="1"/>
  <c r="Q52" i="48" a="1"/>
  <c r="Q52" i="48" s="1"/>
  <c r="P52" i="48" a="1"/>
  <c r="P52" i="48" s="1"/>
  <c r="O52" i="48" a="1"/>
  <c r="O52" i="48" s="1"/>
  <c r="N52" i="48" a="1"/>
  <c r="N52" i="48" s="1"/>
  <c r="M52" i="48" a="1"/>
  <c r="M52" i="48" s="1"/>
  <c r="Q51" i="48" a="1"/>
  <c r="Q51" i="48" s="1"/>
  <c r="P51" i="48" a="1"/>
  <c r="P51" i="48" s="1"/>
  <c r="O51" i="48" a="1"/>
  <c r="O51" i="48" s="1"/>
  <c r="N51" i="48" a="1"/>
  <c r="N51" i="48" s="1"/>
  <c r="M51" i="48" a="1"/>
  <c r="M51" i="48" s="1"/>
  <c r="Q50" i="48" a="1"/>
  <c r="Q50" i="48" s="1"/>
  <c r="P50" i="48" a="1"/>
  <c r="P50" i="48" s="1"/>
  <c r="O50" i="48" a="1"/>
  <c r="O50" i="48" s="1"/>
  <c r="N50" i="48" a="1"/>
  <c r="N50" i="48" s="1"/>
  <c r="M50" i="48" a="1"/>
  <c r="M50" i="48" s="1"/>
  <c r="Q49" i="48" a="1"/>
  <c r="Q49" i="48" s="1"/>
  <c r="P49" i="48" a="1"/>
  <c r="P49" i="48" s="1"/>
  <c r="O49" i="48" a="1"/>
  <c r="O49" i="48" s="1"/>
  <c r="N49" i="48" a="1"/>
  <c r="N49" i="48" s="1"/>
  <c r="M49" i="48" a="1"/>
  <c r="M49" i="48" s="1"/>
  <c r="Q48" i="48" a="1"/>
  <c r="Q48" i="48" s="1"/>
  <c r="P48" i="48" a="1"/>
  <c r="P48" i="48" s="1"/>
  <c r="O48" i="48" a="1"/>
  <c r="O48" i="48" s="1"/>
  <c r="N48" i="48" a="1"/>
  <c r="N48" i="48" s="1"/>
  <c r="M48" i="48" a="1"/>
  <c r="M48" i="48" s="1"/>
  <c r="Q46" i="48" a="1"/>
  <c r="Q46" i="48" s="1"/>
  <c r="P46" i="48" a="1"/>
  <c r="P46" i="48" s="1"/>
  <c r="O46" i="48" a="1"/>
  <c r="O46" i="48" s="1"/>
  <c r="N46" i="48" a="1"/>
  <c r="N46" i="48" s="1"/>
  <c r="M46" i="48" a="1"/>
  <c r="M46" i="48" s="1"/>
  <c r="Q45" i="48" a="1"/>
  <c r="Q45" i="48" s="1"/>
  <c r="P45" i="48" a="1"/>
  <c r="P45" i="48" s="1"/>
  <c r="O45" i="48" a="1"/>
  <c r="O45" i="48" s="1"/>
  <c r="N45" i="48" a="1"/>
  <c r="N45" i="48" s="1"/>
  <c r="M45" i="48" a="1"/>
  <c r="M45" i="48" s="1"/>
  <c r="B100" i="49" l="1"/>
  <c r="D99" i="50"/>
  <c r="D103" i="50"/>
  <c r="B94" i="48"/>
  <c r="F95" i="50"/>
  <c r="F96" i="50"/>
  <c r="F97" i="50"/>
  <c r="F98" i="50"/>
  <c r="F99" i="50"/>
  <c r="F103" i="50"/>
  <c r="E94" i="48"/>
  <c r="F95" i="48"/>
  <c r="F96" i="48"/>
  <c r="F97" i="48"/>
  <c r="F98" i="48"/>
  <c r="F99" i="48"/>
  <c r="F108" i="48"/>
  <c r="F103" i="48"/>
  <c r="C96" i="49"/>
  <c r="E99" i="49"/>
  <c r="E103" i="49"/>
  <c r="E95" i="50"/>
  <c r="E96" i="50"/>
  <c r="E97" i="50"/>
  <c r="E98" i="50"/>
  <c r="E99" i="50"/>
  <c r="E103" i="50"/>
  <c r="B98" i="49"/>
  <c r="B103" i="49"/>
  <c r="B95" i="50"/>
  <c r="B96" i="50"/>
  <c r="B98" i="50"/>
  <c r="B99" i="50"/>
  <c r="B103" i="50"/>
  <c r="C99" i="49"/>
  <c r="C96" i="50"/>
  <c r="C97" i="50"/>
  <c r="C98" i="50"/>
  <c r="C99" i="50"/>
  <c r="B96" i="49"/>
  <c r="D99" i="49"/>
  <c r="D103" i="49"/>
  <c r="D95" i="50"/>
  <c r="D97" i="50"/>
  <c r="D98" i="50"/>
  <c r="B99" i="49"/>
  <c r="D96" i="50"/>
  <c r="B97" i="50"/>
  <c r="C94" i="48"/>
  <c r="C103" i="50"/>
  <c r="C98" i="49"/>
  <c r="B95" i="49"/>
  <c r="C103" i="49"/>
  <c r="F99" i="49"/>
  <c r="F103" i="49"/>
  <c r="C97" i="49"/>
  <c r="D95" i="49"/>
  <c r="D96" i="49"/>
  <c r="D97" i="49"/>
  <c r="D98" i="49"/>
  <c r="D108" i="49"/>
  <c r="E95" i="49"/>
  <c r="E97" i="49"/>
  <c r="E98" i="49"/>
  <c r="E108" i="49"/>
  <c r="F95" i="49"/>
  <c r="F97" i="49"/>
  <c r="F98" i="49"/>
  <c r="F108" i="49"/>
  <c r="M88" i="48" a="1"/>
  <c r="M88" i="48" s="1"/>
  <c r="B107" i="48"/>
  <c r="D94" i="48"/>
  <c r="Q41" i="49" a="1"/>
  <c r="Q41" i="49" s="1"/>
  <c r="F100" i="49"/>
  <c r="B97" i="48"/>
  <c r="P41" i="48" a="1"/>
  <c r="P41" i="48" s="1"/>
  <c r="E100" i="48"/>
  <c r="E95" i="48"/>
  <c r="E96" i="48"/>
  <c r="E97" i="48"/>
  <c r="E98" i="48"/>
  <c r="E99" i="48"/>
  <c r="E108" i="48"/>
  <c r="E103" i="48"/>
  <c r="P81" i="48" a="1"/>
  <c r="P81" i="48" s="1"/>
  <c r="P105" i="48" s="1"/>
  <c r="E105" i="48"/>
  <c r="Q85" i="48" a="1"/>
  <c r="Q85" i="48" s="1"/>
  <c r="Q106" i="48" s="1"/>
  <c r="F106" i="48"/>
  <c r="F94" i="49"/>
  <c r="Q70" i="49" a="1"/>
  <c r="Q70" i="49" s="1"/>
  <c r="Q107" i="49" s="1"/>
  <c r="F107" i="49"/>
  <c r="F94" i="50"/>
  <c r="Q78" i="50" a="1"/>
  <c r="Q78" i="50" s="1"/>
  <c r="Q104" i="50" s="1"/>
  <c r="F104" i="50"/>
  <c r="Q88" i="50" a="1"/>
  <c r="Q88" i="50" s="1"/>
  <c r="F107" i="50"/>
  <c r="M71" i="50" a="1"/>
  <c r="M71" i="50" s="1"/>
  <c r="B108" i="50"/>
  <c r="M81" i="50" a="1"/>
  <c r="M81" i="50" s="1"/>
  <c r="M105" i="50" s="1"/>
  <c r="B105" i="50"/>
  <c r="M85" i="50" a="1"/>
  <c r="M85" i="50" s="1"/>
  <c r="M106" i="50" s="1"/>
  <c r="B106" i="50"/>
  <c r="N41" i="50" a="1"/>
  <c r="N41" i="50" s="1"/>
  <c r="C100" i="50"/>
  <c r="N71" i="50" a="1"/>
  <c r="N71" i="50" s="1"/>
  <c r="C108" i="50"/>
  <c r="N81" i="50" a="1"/>
  <c r="N81" i="50" s="1"/>
  <c r="N105" i="50" s="1"/>
  <c r="C105" i="50"/>
  <c r="N85" i="50" a="1"/>
  <c r="N85" i="50" s="1"/>
  <c r="N106" i="50" s="1"/>
  <c r="C106" i="50"/>
  <c r="M41" i="50" a="1"/>
  <c r="M41" i="50" s="1"/>
  <c r="B100" i="50"/>
  <c r="M78" i="48" a="1"/>
  <c r="M78" i="48" s="1"/>
  <c r="M104" i="48" s="1"/>
  <c r="B104" i="48"/>
  <c r="N78" i="48" a="1"/>
  <c r="N78" i="48" s="1"/>
  <c r="N104" i="48" s="1"/>
  <c r="C104" i="48"/>
  <c r="O88" i="48" a="1"/>
  <c r="O88" i="48" s="1"/>
  <c r="O107" i="48" s="1"/>
  <c r="D107" i="48"/>
  <c r="O41" i="49" a="1"/>
  <c r="O41" i="49" s="1"/>
  <c r="D100" i="49"/>
  <c r="O41" i="50" a="1"/>
  <c r="O41" i="50" s="1"/>
  <c r="D100" i="50"/>
  <c r="O71" i="50" a="1"/>
  <c r="O71" i="50" s="1"/>
  <c r="D108" i="50"/>
  <c r="O81" i="50" a="1"/>
  <c r="O81" i="50" s="1"/>
  <c r="O105" i="50" s="1"/>
  <c r="D105" i="50"/>
  <c r="O85" i="50" a="1"/>
  <c r="O85" i="50" s="1"/>
  <c r="O106" i="50" s="1"/>
  <c r="D106" i="50"/>
  <c r="M41" i="49" a="1"/>
  <c r="M41" i="49" s="1"/>
  <c r="B97" i="49"/>
  <c r="C95" i="49"/>
  <c r="P88" i="48" a="1"/>
  <c r="P88" i="48" s="1"/>
  <c r="P107" i="48" s="1"/>
  <c r="E107" i="48"/>
  <c r="P41" i="49" a="1"/>
  <c r="P41" i="49" s="1"/>
  <c r="E100" i="49"/>
  <c r="P41" i="50" a="1"/>
  <c r="P41" i="50" s="1"/>
  <c r="E100" i="50"/>
  <c r="P71" i="50" a="1"/>
  <c r="P71" i="50" s="1"/>
  <c r="E108" i="50"/>
  <c r="P81" i="50" a="1"/>
  <c r="P81" i="50" s="1"/>
  <c r="E105" i="50"/>
  <c r="P85" i="50" a="1"/>
  <c r="P85" i="50" s="1"/>
  <c r="P106" i="50" s="1"/>
  <c r="E106" i="50"/>
  <c r="Q41" i="48" a="1"/>
  <c r="Q41" i="48" s="1"/>
  <c r="F100" i="48"/>
  <c r="Q81" i="48" a="1"/>
  <c r="Q81" i="48" s="1"/>
  <c r="Q105" i="48" s="1"/>
  <c r="F105" i="48"/>
  <c r="N41" i="49" a="1"/>
  <c r="N41" i="49" s="1"/>
  <c r="C100" i="49"/>
  <c r="C108" i="49"/>
  <c r="Q41" i="50" a="1"/>
  <c r="Q41" i="50" s="1"/>
  <c r="F100" i="50"/>
  <c r="Q71" i="50" a="1"/>
  <c r="Q71" i="50" s="1"/>
  <c r="F108" i="50"/>
  <c r="Q81" i="50" a="1"/>
  <c r="Q81" i="50" s="1"/>
  <c r="Q105" i="50" s="1"/>
  <c r="F105" i="50"/>
  <c r="Q85" i="50" a="1"/>
  <c r="Q85" i="50" s="1"/>
  <c r="Q106" i="50" s="1"/>
  <c r="F106" i="50"/>
  <c r="C95" i="50"/>
  <c r="M70" i="49" a="1"/>
  <c r="M70" i="49" s="1"/>
  <c r="M107" i="49" s="1"/>
  <c r="B107" i="49"/>
  <c r="B94" i="50"/>
  <c r="M78" i="50" a="1"/>
  <c r="M78" i="50" s="1"/>
  <c r="M104" i="50" s="1"/>
  <c r="B104" i="50"/>
  <c r="M88" i="50" a="1"/>
  <c r="M88" i="50" s="1"/>
  <c r="M107" i="50" s="1"/>
  <c r="B107" i="50"/>
  <c r="B98" i="48"/>
  <c r="B99" i="48"/>
  <c r="B103" i="48"/>
  <c r="M81" i="48" a="1"/>
  <c r="M81" i="48" s="1"/>
  <c r="M105" i="48" s="1"/>
  <c r="B105" i="48"/>
  <c r="N85" i="48" a="1"/>
  <c r="N85" i="48" s="1"/>
  <c r="N106" i="48" s="1"/>
  <c r="C106" i="48"/>
  <c r="C94" i="49"/>
  <c r="N70" i="49" a="1"/>
  <c r="N70" i="49" s="1"/>
  <c r="N107" i="49" s="1"/>
  <c r="C107" i="49"/>
  <c r="C94" i="50"/>
  <c r="N78" i="50" a="1"/>
  <c r="N78" i="50" s="1"/>
  <c r="N104" i="50" s="1"/>
  <c r="C104" i="50"/>
  <c r="N88" i="50" a="1"/>
  <c r="N88" i="50" s="1"/>
  <c r="N107" i="50" s="1"/>
  <c r="C107" i="50"/>
  <c r="N88" i="48" a="1"/>
  <c r="N88" i="48" s="1"/>
  <c r="N107" i="48" s="1"/>
  <c r="C107" i="48"/>
  <c r="O78" i="48" a="1"/>
  <c r="O78" i="48" s="1"/>
  <c r="O104" i="48" s="1"/>
  <c r="D104" i="48"/>
  <c r="P78" i="48" a="1"/>
  <c r="P78" i="48" s="1"/>
  <c r="P104" i="48" s="1"/>
  <c r="E104" i="48"/>
  <c r="F94" i="48"/>
  <c r="M85" i="48" a="1"/>
  <c r="M85" i="48" s="1"/>
  <c r="M106" i="48" s="1"/>
  <c r="B106" i="48"/>
  <c r="B94" i="49"/>
  <c r="M41" i="48" a="1"/>
  <c r="M41" i="48" s="1"/>
  <c r="B100" i="48"/>
  <c r="B95" i="48"/>
  <c r="B96" i="48"/>
  <c r="N41" i="48" a="1"/>
  <c r="N41" i="48" s="1"/>
  <c r="C100" i="48"/>
  <c r="C95" i="48"/>
  <c r="C96" i="48"/>
  <c r="C97" i="48"/>
  <c r="C98" i="48"/>
  <c r="C99" i="48"/>
  <c r="C108" i="48"/>
  <c r="C103" i="48"/>
  <c r="N81" i="48" a="1"/>
  <c r="N81" i="48" s="1"/>
  <c r="N105" i="48" s="1"/>
  <c r="C105" i="48"/>
  <c r="O85" i="48" a="1"/>
  <c r="O85" i="48" s="1"/>
  <c r="O106" i="48" s="1"/>
  <c r="D106" i="48"/>
  <c r="D94" i="49"/>
  <c r="O70" i="49" a="1"/>
  <c r="O70" i="49" s="1"/>
  <c r="O107" i="49" s="1"/>
  <c r="D107" i="49"/>
  <c r="D94" i="50"/>
  <c r="O78" i="50" a="1"/>
  <c r="O78" i="50" s="1"/>
  <c r="O104" i="50" s="1"/>
  <c r="D104" i="50"/>
  <c r="O88" i="50" a="1"/>
  <c r="O88" i="50" s="1"/>
  <c r="O107" i="50" s="1"/>
  <c r="D107" i="50"/>
  <c r="Q88" i="48" a="1"/>
  <c r="Q88" i="48" s="1"/>
  <c r="Q107" i="48" s="1"/>
  <c r="F107" i="48"/>
  <c r="Q78" i="48" a="1"/>
  <c r="Q78" i="48" s="1"/>
  <c r="Q104" i="48" s="1"/>
  <c r="F104" i="48"/>
  <c r="O41" i="48" a="1"/>
  <c r="O41" i="48" s="1"/>
  <c r="D100" i="48"/>
  <c r="D95" i="48"/>
  <c r="D96" i="48"/>
  <c r="D97" i="48"/>
  <c r="D98" i="48"/>
  <c r="D99" i="48"/>
  <c r="D108" i="48"/>
  <c r="D103" i="48"/>
  <c r="O81" i="48" a="1"/>
  <c r="O81" i="48" s="1"/>
  <c r="O105" i="48" s="1"/>
  <c r="D105" i="48"/>
  <c r="P85" i="48" a="1"/>
  <c r="P85" i="48" s="1"/>
  <c r="P106" i="48" s="1"/>
  <c r="E106" i="48"/>
  <c r="E94" i="49"/>
  <c r="P70" i="49" a="1"/>
  <c r="P70" i="49" s="1"/>
  <c r="P107" i="49" s="1"/>
  <c r="E107" i="49"/>
  <c r="E94" i="50"/>
  <c r="P78" i="50" a="1"/>
  <c r="P78" i="50" s="1"/>
  <c r="P104" i="50" s="1"/>
  <c r="E104" i="50"/>
  <c r="P88" i="50" a="1"/>
  <c r="P88" i="50" s="1"/>
  <c r="P107" i="50" s="1"/>
  <c r="E107" i="50"/>
  <c r="M107" i="48"/>
  <c r="P105" i="50"/>
  <c r="Q107" i="50"/>
  <c r="O44" i="50" a="1"/>
  <c r="O44" i="50" s="1"/>
  <c r="O94" i="50" s="1"/>
  <c r="P47" i="50" a="1"/>
  <c r="P47" i="50" s="1"/>
  <c r="P95" i="50" s="1"/>
  <c r="P55" i="50" a="1"/>
  <c r="P55" i="50" s="1"/>
  <c r="O56" i="50" a="1"/>
  <c r="O56" i="50" s="1"/>
  <c r="N57" i="50" a="1"/>
  <c r="N57" i="50" s="1"/>
  <c r="N97" i="50" s="1"/>
  <c r="N61" i="50" a="1"/>
  <c r="N61" i="50" s="1"/>
  <c r="N98" i="50" s="1"/>
  <c r="P67" i="50" a="1"/>
  <c r="P67" i="50" s="1"/>
  <c r="P99" i="50" s="1"/>
  <c r="O72" i="50" a="1"/>
  <c r="O72" i="50" s="1"/>
  <c r="N73" i="50" a="1"/>
  <c r="N73" i="50" s="1"/>
  <c r="N103" i="50" s="1"/>
  <c r="P44" i="50" a="1"/>
  <c r="P44" i="50" s="1"/>
  <c r="P94" i="50" s="1"/>
  <c r="M47" i="50" a="1"/>
  <c r="M47" i="50" s="1"/>
  <c r="M95" i="50" s="1"/>
  <c r="Q47" i="50" a="1"/>
  <c r="Q47" i="50" s="1"/>
  <c r="Q95" i="50" s="1"/>
  <c r="M55" i="50" a="1"/>
  <c r="M55" i="50" s="1"/>
  <c r="Q55" i="50" a="1"/>
  <c r="Q55" i="50" s="1"/>
  <c r="P56" i="50" a="1"/>
  <c r="P56" i="50" s="1"/>
  <c r="O57" i="50" a="1"/>
  <c r="O57" i="50" s="1"/>
  <c r="O97" i="50" s="1"/>
  <c r="O61" i="50" a="1"/>
  <c r="O61" i="50" s="1"/>
  <c r="O98" i="50" s="1"/>
  <c r="M67" i="50" a="1"/>
  <c r="M67" i="50" s="1"/>
  <c r="M99" i="50" s="1"/>
  <c r="Q67" i="50" a="1"/>
  <c r="Q67" i="50" s="1"/>
  <c r="Q99" i="50" s="1"/>
  <c r="P72" i="50" a="1"/>
  <c r="P72" i="50" s="1"/>
  <c r="O73" i="50" a="1"/>
  <c r="O73" i="50" s="1"/>
  <c r="O103" i="50" s="1"/>
  <c r="M44" i="50" a="1"/>
  <c r="M44" i="50" s="1"/>
  <c r="M94" i="50" s="1"/>
  <c r="Q44" i="50" a="1"/>
  <c r="Q44" i="50" s="1"/>
  <c r="Q94" i="50" s="1"/>
  <c r="N47" i="50" a="1"/>
  <c r="N47" i="50" s="1"/>
  <c r="N95" i="50" s="1"/>
  <c r="N55" i="50" a="1"/>
  <c r="N55" i="50" s="1"/>
  <c r="M56" i="50" a="1"/>
  <c r="M56" i="50" s="1"/>
  <c r="Q56" i="50" a="1"/>
  <c r="Q56" i="50" s="1"/>
  <c r="P57" i="50" a="1"/>
  <c r="P57" i="50" s="1"/>
  <c r="P97" i="50" s="1"/>
  <c r="P61" i="50" a="1"/>
  <c r="P61" i="50" s="1"/>
  <c r="P98" i="50" s="1"/>
  <c r="N67" i="50" a="1"/>
  <c r="N67" i="50" s="1"/>
  <c r="N99" i="50" s="1"/>
  <c r="M72" i="50" a="1"/>
  <c r="M72" i="50" s="1"/>
  <c r="Q72" i="50" a="1"/>
  <c r="Q72" i="50" s="1"/>
  <c r="P73" i="50" a="1"/>
  <c r="P73" i="50" s="1"/>
  <c r="P103" i="50" s="1"/>
  <c r="N44" i="50" a="1"/>
  <c r="N44" i="50" s="1"/>
  <c r="N94" i="50" s="1"/>
  <c r="O47" i="50" a="1"/>
  <c r="O47" i="50" s="1"/>
  <c r="O95" i="50" s="1"/>
  <c r="O55" i="50" a="1"/>
  <c r="O55" i="50" s="1"/>
  <c r="N56" i="50" a="1"/>
  <c r="N56" i="50" s="1"/>
  <c r="M57" i="50" a="1"/>
  <c r="M57" i="50" s="1"/>
  <c r="M97" i="50" s="1"/>
  <c r="Q57" i="50" a="1"/>
  <c r="Q57" i="50" s="1"/>
  <c r="Q97" i="50" s="1"/>
  <c r="M61" i="50" a="1"/>
  <c r="M61" i="50" s="1"/>
  <c r="M98" i="50" s="1"/>
  <c r="Q61" i="50" a="1"/>
  <c r="Q61" i="50" s="1"/>
  <c r="Q98" i="50" s="1"/>
  <c r="O67" i="50" a="1"/>
  <c r="O67" i="50" s="1"/>
  <c r="O99" i="50" s="1"/>
  <c r="N72" i="50" a="1"/>
  <c r="N72" i="50" s="1"/>
  <c r="M73" i="50" a="1"/>
  <c r="M73" i="50" s="1"/>
  <c r="Q73" i="50" a="1"/>
  <c r="Q73" i="50" s="1"/>
  <c r="Q103" i="50" s="1"/>
  <c r="M44" i="49" a="1"/>
  <c r="M44" i="49" s="1"/>
  <c r="M94" i="49" s="1"/>
  <c r="Q44" i="49" a="1"/>
  <c r="Q44" i="49" s="1"/>
  <c r="Q94" i="49" s="1"/>
  <c r="P73" i="49" a="1"/>
  <c r="P73" i="49" s="1"/>
  <c r="P103" i="49" s="1"/>
  <c r="P57" i="49" a="1"/>
  <c r="P57" i="49" s="1"/>
  <c r="P97" i="49" s="1"/>
  <c r="P61" i="49" a="1"/>
  <c r="P61" i="49" s="1"/>
  <c r="P98" i="49" s="1"/>
  <c r="N67" i="49" a="1"/>
  <c r="N67" i="49" s="1"/>
  <c r="N71" i="49" a="1"/>
  <c r="N71" i="49" s="1"/>
  <c r="N44" i="49" a="1"/>
  <c r="N44" i="49" s="1"/>
  <c r="N94" i="49" s="1"/>
  <c r="O47" i="49" a="1"/>
  <c r="O47" i="49" s="1"/>
  <c r="O95" i="49" s="1"/>
  <c r="O55" i="49" a="1"/>
  <c r="O55" i="49" s="1"/>
  <c r="O96" i="49" s="1"/>
  <c r="M57" i="49" a="1"/>
  <c r="M57" i="49" s="1"/>
  <c r="M97" i="49" s="1"/>
  <c r="Q57" i="49" a="1"/>
  <c r="Q57" i="49" s="1"/>
  <c r="Q97" i="49" s="1"/>
  <c r="M61" i="49" a="1"/>
  <c r="M61" i="49" s="1"/>
  <c r="M98" i="49" s="1"/>
  <c r="Q61" i="49" a="1"/>
  <c r="Q61" i="49" s="1"/>
  <c r="Q98" i="49" s="1"/>
  <c r="O67" i="49" a="1"/>
  <c r="O67" i="49" s="1"/>
  <c r="O71" i="49" a="1"/>
  <c r="O71" i="49" s="1"/>
  <c r="M73" i="49" a="1"/>
  <c r="M73" i="49" s="1"/>
  <c r="M103" i="49" s="1"/>
  <c r="Q73" i="49" a="1"/>
  <c r="Q73" i="49" s="1"/>
  <c r="Q103" i="49" s="1"/>
  <c r="N47" i="49" a="1"/>
  <c r="N47" i="49" s="1"/>
  <c r="N95" i="49" s="1"/>
  <c r="P47" i="49" a="1"/>
  <c r="P47" i="49" s="1"/>
  <c r="P95" i="49" s="1"/>
  <c r="N57" i="49" a="1"/>
  <c r="N57" i="49" s="1"/>
  <c r="N97" i="49" s="1"/>
  <c r="N61" i="49" a="1"/>
  <c r="N61" i="49" s="1"/>
  <c r="N98" i="49" s="1"/>
  <c r="P67" i="49" a="1"/>
  <c r="P67" i="49" s="1"/>
  <c r="P71" i="49" a="1"/>
  <c r="P71" i="49" s="1"/>
  <c r="N73" i="49" a="1"/>
  <c r="N73" i="49" s="1"/>
  <c r="N103" i="49" s="1"/>
  <c r="N55" i="49" a="1"/>
  <c r="N55" i="49" s="1"/>
  <c r="N96" i="49" s="1"/>
  <c r="O44" i="49" a="1"/>
  <c r="O44" i="49" s="1"/>
  <c r="O94" i="49" s="1"/>
  <c r="P55" i="49" a="1"/>
  <c r="P55" i="49" s="1"/>
  <c r="P96" i="49" s="1"/>
  <c r="P44" i="49" a="1"/>
  <c r="P44" i="49" s="1"/>
  <c r="P94" i="49" s="1"/>
  <c r="M47" i="49" a="1"/>
  <c r="M47" i="49" s="1"/>
  <c r="M95" i="49" s="1"/>
  <c r="Q47" i="49" a="1"/>
  <c r="Q47" i="49" s="1"/>
  <c r="Q95" i="49" s="1"/>
  <c r="M55" i="49" a="1"/>
  <c r="M55" i="49" s="1"/>
  <c r="M96" i="49" s="1"/>
  <c r="Q55" i="49" a="1"/>
  <c r="Q55" i="49" s="1"/>
  <c r="Q96" i="49" s="1"/>
  <c r="O57" i="49" a="1"/>
  <c r="O57" i="49" s="1"/>
  <c r="O97" i="49" s="1"/>
  <c r="O61" i="49" a="1"/>
  <c r="O61" i="49" s="1"/>
  <c r="O98" i="49" s="1"/>
  <c r="M67" i="49" a="1"/>
  <c r="M67" i="49" s="1"/>
  <c r="Q67" i="49" a="1"/>
  <c r="Q67" i="49" s="1"/>
  <c r="M71" i="49" a="1"/>
  <c r="M71" i="49" s="1"/>
  <c r="B108" i="49"/>
  <c r="Q71" i="49" a="1"/>
  <c r="Q71" i="49" s="1"/>
  <c r="O73" i="49" a="1"/>
  <c r="O73" i="49" s="1"/>
  <c r="O103" i="49" s="1"/>
  <c r="O44" i="48" a="1"/>
  <c r="O44" i="48" s="1"/>
  <c r="O94" i="48" s="1"/>
  <c r="P47" i="48" a="1"/>
  <c r="P47" i="48" s="1"/>
  <c r="P95" i="48" s="1"/>
  <c r="P55" i="48" a="1"/>
  <c r="P55" i="48" s="1"/>
  <c r="P96" i="48" s="1"/>
  <c r="N57" i="48" a="1"/>
  <c r="N57" i="48" s="1"/>
  <c r="N97" i="48" s="1"/>
  <c r="N61" i="48" a="1"/>
  <c r="N61" i="48" s="1"/>
  <c r="N98" i="48" s="1"/>
  <c r="P67" i="48" a="1"/>
  <c r="P67" i="48" s="1"/>
  <c r="P99" i="48" s="1"/>
  <c r="P71" i="48" a="1"/>
  <c r="P71" i="48" s="1"/>
  <c r="N73" i="48" a="1"/>
  <c r="N73" i="48" s="1"/>
  <c r="N103" i="48" s="1"/>
  <c r="P44" i="48" a="1"/>
  <c r="P44" i="48" s="1"/>
  <c r="P94" i="48" s="1"/>
  <c r="M47" i="48" a="1"/>
  <c r="M47" i="48" s="1"/>
  <c r="M95" i="48" s="1"/>
  <c r="Q47" i="48" a="1"/>
  <c r="Q47" i="48" s="1"/>
  <c r="Q95" i="48" s="1"/>
  <c r="M55" i="48" a="1"/>
  <c r="M55" i="48" s="1"/>
  <c r="M96" i="48" s="1"/>
  <c r="Q55" i="48" a="1"/>
  <c r="Q55" i="48" s="1"/>
  <c r="Q96" i="48" s="1"/>
  <c r="O57" i="48" a="1"/>
  <c r="O57" i="48" s="1"/>
  <c r="O97" i="48" s="1"/>
  <c r="O61" i="48" a="1"/>
  <c r="O61" i="48" s="1"/>
  <c r="O98" i="48" s="1"/>
  <c r="M67" i="48" a="1"/>
  <c r="M67" i="48" s="1"/>
  <c r="M99" i="48" s="1"/>
  <c r="Q67" i="48" a="1"/>
  <c r="Q67" i="48" s="1"/>
  <c r="Q99" i="48" s="1"/>
  <c r="M71" i="48" a="1"/>
  <c r="M71" i="48" s="1"/>
  <c r="B108" i="48"/>
  <c r="Q71" i="48" a="1"/>
  <c r="Q71" i="48" s="1"/>
  <c r="O73" i="48" a="1"/>
  <c r="O73" i="48" s="1"/>
  <c r="O103" i="48" s="1"/>
  <c r="M44" i="48" a="1"/>
  <c r="M44" i="48" s="1"/>
  <c r="M94" i="48" s="1"/>
  <c r="Q44" i="48" a="1"/>
  <c r="Q44" i="48" s="1"/>
  <c r="Q94" i="48" s="1"/>
  <c r="N47" i="48" a="1"/>
  <c r="N47" i="48" s="1"/>
  <c r="N95" i="48" s="1"/>
  <c r="N55" i="48" a="1"/>
  <c r="N55" i="48" s="1"/>
  <c r="N96" i="48" s="1"/>
  <c r="P57" i="48" a="1"/>
  <c r="P57" i="48" s="1"/>
  <c r="P97" i="48" s="1"/>
  <c r="P61" i="48" a="1"/>
  <c r="P61" i="48" s="1"/>
  <c r="P98" i="48" s="1"/>
  <c r="N67" i="48" a="1"/>
  <c r="N67" i="48" s="1"/>
  <c r="N99" i="48" s="1"/>
  <c r="N71" i="48" a="1"/>
  <c r="N71" i="48" s="1"/>
  <c r="P73" i="48" a="1"/>
  <c r="P73" i="48" s="1"/>
  <c r="P103" i="48" s="1"/>
  <c r="N44" i="48" a="1"/>
  <c r="N44" i="48" s="1"/>
  <c r="N94" i="48" s="1"/>
  <c r="O47" i="48" a="1"/>
  <c r="O47" i="48" s="1"/>
  <c r="O95" i="48" s="1"/>
  <c r="O55" i="48" a="1"/>
  <c r="O55" i="48" s="1"/>
  <c r="O96" i="48" s="1"/>
  <c r="M57" i="48" a="1"/>
  <c r="M57" i="48" s="1"/>
  <c r="M97" i="48" s="1"/>
  <c r="Q57" i="48" a="1"/>
  <c r="Q57" i="48" s="1"/>
  <c r="Q97" i="48" s="1"/>
  <c r="M61" i="48" a="1"/>
  <c r="M61" i="48" s="1"/>
  <c r="M98" i="48" s="1"/>
  <c r="Q61" i="48" a="1"/>
  <c r="Q61" i="48" s="1"/>
  <c r="Q98" i="48" s="1"/>
  <c r="O67" i="48" a="1"/>
  <c r="O67" i="48" s="1"/>
  <c r="O99" i="48" s="1"/>
  <c r="O71" i="48" a="1"/>
  <c r="O71" i="48" s="1"/>
  <c r="M73" i="48" a="1"/>
  <c r="M73" i="48" s="1"/>
  <c r="M103" i="48" s="1"/>
  <c r="Q73" i="48" a="1"/>
  <c r="Q73" i="48" s="1"/>
  <c r="Q103" i="48" s="1"/>
  <c r="M76" i="50" a="1"/>
  <c r="M76" i="50" s="1"/>
  <c r="R52" i="48" a="1"/>
  <c r="R52" i="48" s="1"/>
  <c r="R63" i="50" a="1"/>
  <c r="R63" i="50" s="1"/>
  <c r="R49" i="50" a="1"/>
  <c r="R49" i="50" s="1"/>
  <c r="D120" i="48"/>
  <c r="L123" i="52"/>
  <c r="K124" i="52"/>
  <c r="R192" i="28" s="1"/>
  <c r="C120" i="48"/>
  <c r="C125" i="48"/>
  <c r="F119" i="49"/>
  <c r="L137" i="54"/>
  <c r="K138" i="54"/>
  <c r="R177" i="28" s="1"/>
  <c r="F125" i="48"/>
  <c r="D125" i="48"/>
  <c r="E125" i="48"/>
  <c r="L143" i="54"/>
  <c r="T218" i="28" s="1"/>
  <c r="E120" i="48"/>
  <c r="F120" i="48"/>
  <c r="B113" i="50"/>
  <c r="B114" i="50" s="1"/>
  <c r="B119" i="49"/>
  <c r="B120" i="49" s="1"/>
  <c r="C113" i="50"/>
  <c r="C119" i="49"/>
  <c r="D113" i="50"/>
  <c r="J129" i="52"/>
  <c r="K128" i="52"/>
  <c r="D119" i="49"/>
  <c r="E113" i="50"/>
  <c r="B120" i="48"/>
  <c r="B121" i="48" s="1"/>
  <c r="B125" i="48"/>
  <c r="B126" i="48" s="1"/>
  <c r="E119" i="49"/>
  <c r="F113" i="50"/>
  <c r="L138" i="53"/>
  <c r="S178" i="28" s="1"/>
  <c r="B90" i="50"/>
  <c r="F90" i="50"/>
  <c r="C90" i="50"/>
  <c r="D90" i="50"/>
  <c r="E90" i="50"/>
  <c r="C90" i="49"/>
  <c r="D90" i="49"/>
  <c r="B90" i="49"/>
  <c r="E90" i="49"/>
  <c r="F90" i="49"/>
  <c r="B90" i="48"/>
  <c r="F90" i="48"/>
  <c r="C90" i="48"/>
  <c r="E90" i="48"/>
  <c r="D90" i="48"/>
  <c r="R59" i="50" a="1"/>
  <c r="R59" i="50" s="1"/>
  <c r="R66" i="48" a="1"/>
  <c r="R66" i="48" s="1"/>
  <c r="R66" i="50" a="1"/>
  <c r="R66" i="50" s="1"/>
  <c r="R50" i="49" a="1"/>
  <c r="R50" i="49" s="1"/>
  <c r="R59" i="49" a="1"/>
  <c r="R59" i="49" s="1"/>
  <c r="R64" i="50" a="1"/>
  <c r="R64" i="50" s="1"/>
  <c r="R48" i="50" a="1"/>
  <c r="R48" i="50" s="1"/>
  <c r="R53" i="50" a="1"/>
  <c r="R53" i="50" s="1"/>
  <c r="R70" i="50" a="1"/>
  <c r="R70" i="50" s="1"/>
  <c r="R74" i="50" a="1"/>
  <c r="R74" i="50" s="1"/>
  <c r="R48" i="49" a="1"/>
  <c r="R48" i="49" s="1"/>
  <c r="R46" i="49" a="1"/>
  <c r="R46" i="49" s="1"/>
  <c r="R63" i="49" a="1"/>
  <c r="R63" i="49" s="1"/>
  <c r="R45" i="50" a="1"/>
  <c r="R45" i="50" s="1"/>
  <c r="R86" i="50" a="1"/>
  <c r="R86" i="50" s="1"/>
  <c r="R82" i="50" a="1"/>
  <c r="R82" i="50" s="1"/>
  <c r="R65" i="50" a="1"/>
  <c r="R65" i="50" s="1"/>
  <c r="R76" i="50" a="1"/>
  <c r="R76" i="50" s="1"/>
  <c r="R80" i="50" a="1"/>
  <c r="R80" i="50" s="1"/>
  <c r="R69" i="50" a="1"/>
  <c r="R69" i="50" s="1"/>
  <c r="R84" i="50" a="1"/>
  <c r="R84" i="50" s="1"/>
  <c r="R75" i="50" a="1"/>
  <c r="R75" i="50" s="1"/>
  <c r="R77" i="50" a="1"/>
  <c r="R77" i="50" s="1"/>
  <c r="R79" i="50" a="1"/>
  <c r="R79" i="50" s="1"/>
  <c r="R83" i="50" a="1"/>
  <c r="R83" i="50" s="1"/>
  <c r="R87" i="50" a="1"/>
  <c r="R87" i="50" s="1"/>
  <c r="R89" i="50" a="1"/>
  <c r="R89" i="50" s="1"/>
  <c r="R65" i="49" a="1"/>
  <c r="R65" i="49" s="1"/>
  <c r="R82" i="49" a="1"/>
  <c r="R82" i="49" s="1"/>
  <c r="R45" i="49" a="1"/>
  <c r="R45" i="49" s="1"/>
  <c r="R49" i="49" a="1"/>
  <c r="R49" i="49" s="1"/>
  <c r="R78" i="49" a="1"/>
  <c r="R78" i="49" s="1"/>
  <c r="R86" i="49" a="1"/>
  <c r="R86" i="49" s="1"/>
  <c r="R52" i="49" a="1"/>
  <c r="R52" i="49" s="1"/>
  <c r="R54" i="49" a="1"/>
  <c r="R54" i="49" s="1"/>
  <c r="R56" i="49" a="1"/>
  <c r="R56" i="49" s="1"/>
  <c r="R58" i="49" a="1"/>
  <c r="R58" i="49" s="1"/>
  <c r="R60" i="49" a="1"/>
  <c r="R60" i="49" s="1"/>
  <c r="R62" i="49" a="1"/>
  <c r="R62" i="49" s="1"/>
  <c r="R64" i="49" a="1"/>
  <c r="R64" i="49" s="1"/>
  <c r="R80" i="49" a="1"/>
  <c r="R80" i="49" s="1"/>
  <c r="R84" i="49" a="1"/>
  <c r="R84" i="49" s="1"/>
  <c r="R88" i="49" a="1"/>
  <c r="R88" i="49" s="1"/>
  <c r="R75" i="49" a="1"/>
  <c r="R75" i="49" s="1"/>
  <c r="R66" i="49" a="1"/>
  <c r="R66" i="49" s="1"/>
  <c r="R68" i="49" a="1"/>
  <c r="R68" i="49" s="1"/>
  <c r="R72" i="49" a="1"/>
  <c r="R72" i="49" s="1"/>
  <c r="R74" i="49" a="1"/>
  <c r="R74" i="49" s="1"/>
  <c r="R77" i="49" a="1"/>
  <c r="R77" i="49" s="1"/>
  <c r="R79" i="49" a="1"/>
  <c r="R79" i="49" s="1"/>
  <c r="R81" i="49" a="1"/>
  <c r="R81" i="49" s="1"/>
  <c r="R83" i="49" a="1"/>
  <c r="R83" i="49" s="1"/>
  <c r="R85" i="49" a="1"/>
  <c r="R85" i="49" s="1"/>
  <c r="R87" i="49" a="1"/>
  <c r="R87" i="49" s="1"/>
  <c r="R89" i="49" a="1"/>
  <c r="R89" i="49" s="1"/>
  <c r="R49" i="48" a="1"/>
  <c r="R49" i="48" s="1"/>
  <c r="R72" i="48" a="1"/>
  <c r="R72" i="48" s="1"/>
  <c r="R74" i="48" a="1"/>
  <c r="R74" i="48" s="1"/>
  <c r="R45" i="48" a="1"/>
  <c r="R45" i="48" s="1"/>
  <c r="R82" i="48" a="1"/>
  <c r="R82" i="48" s="1"/>
  <c r="R62" i="48" a="1"/>
  <c r="R62" i="48" s="1"/>
  <c r="R64" i="48" a="1"/>
  <c r="R64" i="48" s="1"/>
  <c r="R46" i="48" a="1"/>
  <c r="R46" i="48" s="1"/>
  <c r="R48" i="48" a="1"/>
  <c r="R48" i="48" s="1"/>
  <c r="R50" i="48" a="1"/>
  <c r="R50" i="48" s="1"/>
  <c r="R69" i="48" a="1"/>
  <c r="R69" i="48" s="1"/>
  <c r="R54" i="48" a="1"/>
  <c r="R54" i="48" s="1"/>
  <c r="R56" i="48" a="1"/>
  <c r="R56" i="48" s="1"/>
  <c r="R58" i="48" a="1"/>
  <c r="R58" i="48" s="1"/>
  <c r="R60" i="48" a="1"/>
  <c r="R60" i="48" s="1"/>
  <c r="R51" i="48" a="1"/>
  <c r="R51" i="48" s="1"/>
  <c r="R86" i="48" a="1"/>
  <c r="R86" i="48" s="1"/>
  <c r="R65" i="48" a="1"/>
  <c r="R65" i="48" s="1"/>
  <c r="R53" i="48" a="1"/>
  <c r="R53" i="48" s="1"/>
  <c r="R59" i="48" a="1"/>
  <c r="R59" i="48" s="1"/>
  <c r="R63" i="48" a="1"/>
  <c r="R63" i="48" s="1"/>
  <c r="R76" i="48" a="1"/>
  <c r="R76" i="48" s="1"/>
  <c r="R80" i="48" a="1"/>
  <c r="R80" i="48" s="1"/>
  <c r="R84" i="48" a="1"/>
  <c r="R84" i="48" s="1"/>
  <c r="R75" i="48" a="1"/>
  <c r="R75" i="48" s="1"/>
  <c r="R77" i="48" a="1"/>
  <c r="R77" i="48" s="1"/>
  <c r="R79" i="48" a="1"/>
  <c r="R79" i="48" s="1"/>
  <c r="R83" i="48" a="1"/>
  <c r="R83" i="48" s="1"/>
  <c r="R87" i="48" a="1"/>
  <c r="R87" i="48" s="1"/>
  <c r="R89" i="48" a="1"/>
  <c r="R89" i="48" s="1"/>
  <c r="Q89" i="47" a="1"/>
  <c r="Q89" i="47" s="1"/>
  <c r="P89" i="47" a="1"/>
  <c r="P89" i="47" s="1"/>
  <c r="O89" i="47" a="1"/>
  <c r="O89" i="47" s="1"/>
  <c r="N89" i="47" a="1"/>
  <c r="N89" i="47" s="1"/>
  <c r="M89" i="47" a="1"/>
  <c r="M89" i="47" s="1"/>
  <c r="Q87" i="47" a="1"/>
  <c r="Q87" i="47" s="1"/>
  <c r="P87" i="47" a="1"/>
  <c r="P87" i="47" s="1"/>
  <c r="O87" i="47" a="1"/>
  <c r="O87" i="47" s="1"/>
  <c r="N87" i="47" a="1"/>
  <c r="N87" i="47" s="1"/>
  <c r="M87" i="47" a="1"/>
  <c r="M87" i="47" s="1"/>
  <c r="Q86" i="47" a="1"/>
  <c r="Q86" i="47" s="1"/>
  <c r="P86" i="47" a="1"/>
  <c r="P86" i="47" s="1"/>
  <c r="O86" i="47" a="1"/>
  <c r="O86" i="47" s="1"/>
  <c r="N86" i="47" a="1"/>
  <c r="N86" i="47" s="1"/>
  <c r="M86" i="47" a="1"/>
  <c r="M86" i="47" s="1"/>
  <c r="Q84" i="47" a="1"/>
  <c r="Q84" i="47" s="1"/>
  <c r="P84" i="47" a="1"/>
  <c r="P84" i="47" s="1"/>
  <c r="O84" i="47" a="1"/>
  <c r="O84" i="47" s="1"/>
  <c r="N84" i="47" a="1"/>
  <c r="N84" i="47" s="1"/>
  <c r="M84" i="47" a="1"/>
  <c r="M84" i="47" s="1"/>
  <c r="Q83" i="47" a="1"/>
  <c r="Q83" i="47" s="1"/>
  <c r="P83" i="47" a="1"/>
  <c r="P83" i="47" s="1"/>
  <c r="O83" i="47" a="1"/>
  <c r="O83" i="47" s="1"/>
  <c r="N83" i="47" a="1"/>
  <c r="N83" i="47" s="1"/>
  <c r="M83" i="47" a="1"/>
  <c r="M83" i="47" s="1"/>
  <c r="Q82" i="47" a="1"/>
  <c r="Q82" i="47" s="1"/>
  <c r="P82" i="47" a="1"/>
  <c r="P82" i="47" s="1"/>
  <c r="O82" i="47" a="1"/>
  <c r="O82" i="47" s="1"/>
  <c r="N82" i="47" a="1"/>
  <c r="N82" i="47" s="1"/>
  <c r="M82" i="47" a="1"/>
  <c r="M82" i="47" s="1"/>
  <c r="Q80" i="47" a="1"/>
  <c r="Q80" i="47" s="1"/>
  <c r="P80" i="47" a="1"/>
  <c r="P80" i="47" s="1"/>
  <c r="O80" i="47" a="1"/>
  <c r="O80" i="47" s="1"/>
  <c r="N80" i="47" a="1"/>
  <c r="N80" i="47" s="1"/>
  <c r="M80" i="47" a="1"/>
  <c r="M80" i="47" s="1"/>
  <c r="Q79" i="47" a="1"/>
  <c r="Q79" i="47" s="1"/>
  <c r="P79" i="47" a="1"/>
  <c r="P79" i="47" s="1"/>
  <c r="O79" i="47" a="1"/>
  <c r="O79" i="47" s="1"/>
  <c r="N79" i="47" a="1"/>
  <c r="N79" i="47" s="1"/>
  <c r="M79" i="47" a="1"/>
  <c r="M79" i="47" s="1"/>
  <c r="Q77" i="47" a="1"/>
  <c r="Q77" i="47" s="1"/>
  <c r="P77" i="47" a="1"/>
  <c r="P77" i="47" s="1"/>
  <c r="O77" i="47" a="1"/>
  <c r="O77" i="47" s="1"/>
  <c r="N77" i="47" a="1"/>
  <c r="N77" i="47" s="1"/>
  <c r="M77" i="47" a="1"/>
  <c r="M77" i="47" s="1"/>
  <c r="Q76" i="47" a="1"/>
  <c r="Q76" i="47" s="1"/>
  <c r="P76" i="47" a="1"/>
  <c r="P76" i="47" s="1"/>
  <c r="O76" i="47" a="1"/>
  <c r="O76" i="47" s="1"/>
  <c r="N76" i="47" a="1"/>
  <c r="N76" i="47" s="1"/>
  <c r="Q75" i="47" a="1"/>
  <c r="Q75" i="47" s="1"/>
  <c r="P75" i="47" a="1"/>
  <c r="P75" i="47" s="1"/>
  <c r="O75" i="47" a="1"/>
  <c r="O75" i="47" s="1"/>
  <c r="N75" i="47" a="1"/>
  <c r="N75" i="47" s="1"/>
  <c r="M75" i="47" a="1"/>
  <c r="M75" i="47" s="1"/>
  <c r="Q74" i="47" a="1"/>
  <c r="Q74" i="47" s="1"/>
  <c r="P74" i="47" a="1"/>
  <c r="P74" i="47" s="1"/>
  <c r="O74" i="47" a="1"/>
  <c r="O74" i="47" s="1"/>
  <c r="N74" i="47" a="1"/>
  <c r="N74" i="47" s="1"/>
  <c r="M74" i="47" a="1"/>
  <c r="M74" i="47" s="1"/>
  <c r="Q72" i="47" a="1"/>
  <c r="Q72" i="47" s="1"/>
  <c r="P72" i="47" a="1"/>
  <c r="P72" i="47" s="1"/>
  <c r="O72" i="47" a="1"/>
  <c r="O72" i="47" s="1"/>
  <c r="N72" i="47" a="1"/>
  <c r="N72" i="47" s="1"/>
  <c r="M72" i="47" a="1"/>
  <c r="M72" i="47" s="1"/>
  <c r="Q70" i="47" a="1"/>
  <c r="Q70" i="47" s="1"/>
  <c r="P70" i="47" a="1"/>
  <c r="P70" i="47" s="1"/>
  <c r="O70" i="47" a="1"/>
  <c r="O70" i="47" s="1"/>
  <c r="N70" i="47" a="1"/>
  <c r="N70" i="47" s="1"/>
  <c r="M70" i="47" a="1"/>
  <c r="M70" i="47" s="1"/>
  <c r="Q69" i="47" a="1"/>
  <c r="Q69" i="47" s="1"/>
  <c r="P69" i="47" a="1"/>
  <c r="P69" i="47" s="1"/>
  <c r="O69" i="47" a="1"/>
  <c r="O69" i="47" s="1"/>
  <c r="N69" i="47" a="1"/>
  <c r="N69" i="47" s="1"/>
  <c r="M69" i="47" a="1"/>
  <c r="M69" i="47" s="1"/>
  <c r="Q68" i="47" a="1"/>
  <c r="Q68" i="47" s="1"/>
  <c r="P68" i="47" a="1"/>
  <c r="P68" i="47" s="1"/>
  <c r="O68" i="47" a="1"/>
  <c r="O68" i="47" s="1"/>
  <c r="N68" i="47" a="1"/>
  <c r="N68" i="47" s="1"/>
  <c r="M68" i="47" a="1"/>
  <c r="M68" i="47" s="1"/>
  <c r="Q66" i="47" a="1"/>
  <c r="Q66" i="47" s="1"/>
  <c r="P66" i="47" a="1"/>
  <c r="P66" i="47" s="1"/>
  <c r="O66" i="47" a="1"/>
  <c r="O66" i="47" s="1"/>
  <c r="N66" i="47" a="1"/>
  <c r="N66" i="47" s="1"/>
  <c r="M66" i="47" a="1"/>
  <c r="M66" i="47" s="1"/>
  <c r="Q65" i="47" a="1"/>
  <c r="Q65" i="47" s="1"/>
  <c r="P65" i="47" a="1"/>
  <c r="P65" i="47" s="1"/>
  <c r="O65" i="47" a="1"/>
  <c r="O65" i="47" s="1"/>
  <c r="N65" i="47" a="1"/>
  <c r="N65" i="47" s="1"/>
  <c r="M65" i="47" a="1"/>
  <c r="M65" i="47" s="1"/>
  <c r="Q64" i="47" a="1"/>
  <c r="Q64" i="47" s="1"/>
  <c r="P64" i="47" a="1"/>
  <c r="P64" i="47" s="1"/>
  <c r="O64" i="47" a="1"/>
  <c r="O64" i="47" s="1"/>
  <c r="N64" i="47" a="1"/>
  <c r="N64" i="47" s="1"/>
  <c r="M64" i="47" a="1"/>
  <c r="M64" i="47" s="1"/>
  <c r="Q63" i="47" a="1"/>
  <c r="Q63" i="47" s="1"/>
  <c r="P63" i="47" a="1"/>
  <c r="P63" i="47" s="1"/>
  <c r="O63" i="47" a="1"/>
  <c r="O63" i="47" s="1"/>
  <c r="N63" i="47" a="1"/>
  <c r="N63" i="47" s="1"/>
  <c r="M63" i="47" a="1"/>
  <c r="M63" i="47" s="1"/>
  <c r="Q62" i="47" a="1"/>
  <c r="Q62" i="47" s="1"/>
  <c r="P62" i="47" a="1"/>
  <c r="P62" i="47" s="1"/>
  <c r="O62" i="47" a="1"/>
  <c r="O62" i="47" s="1"/>
  <c r="N62" i="47" a="1"/>
  <c r="N62" i="47" s="1"/>
  <c r="M62" i="47" a="1"/>
  <c r="M62" i="47" s="1"/>
  <c r="Q60" i="47" a="1"/>
  <c r="Q60" i="47" s="1"/>
  <c r="P60" i="47" a="1"/>
  <c r="P60" i="47" s="1"/>
  <c r="O60" i="47" a="1"/>
  <c r="O60" i="47" s="1"/>
  <c r="N60" i="47" a="1"/>
  <c r="N60" i="47" s="1"/>
  <c r="M60" i="47" a="1"/>
  <c r="M60" i="47" s="1"/>
  <c r="Q59" i="47" a="1"/>
  <c r="Q59" i="47" s="1"/>
  <c r="P59" i="47" a="1"/>
  <c r="P59" i="47" s="1"/>
  <c r="O59" i="47" a="1"/>
  <c r="O59" i="47" s="1"/>
  <c r="N59" i="47" a="1"/>
  <c r="N59" i="47" s="1"/>
  <c r="M59" i="47" a="1"/>
  <c r="M59" i="47" s="1"/>
  <c r="Q58" i="47" a="1"/>
  <c r="Q58" i="47" s="1"/>
  <c r="P58" i="47" a="1"/>
  <c r="P58" i="47" s="1"/>
  <c r="O58" i="47" a="1"/>
  <c r="O58" i="47" s="1"/>
  <c r="N58" i="47" a="1"/>
  <c r="N58" i="47" s="1"/>
  <c r="M58" i="47" a="1"/>
  <c r="M58" i="47" s="1"/>
  <c r="Q56" i="47" a="1"/>
  <c r="Q56" i="47" s="1"/>
  <c r="P56" i="47" a="1"/>
  <c r="P56" i="47" s="1"/>
  <c r="O56" i="47" a="1"/>
  <c r="O56" i="47" s="1"/>
  <c r="N56" i="47" a="1"/>
  <c r="N56" i="47" s="1"/>
  <c r="M56" i="47" a="1"/>
  <c r="M56" i="47" s="1"/>
  <c r="Q54" i="47" a="1"/>
  <c r="Q54" i="47" s="1"/>
  <c r="P54" i="47" a="1"/>
  <c r="P54" i="47" s="1"/>
  <c r="O54" i="47" a="1"/>
  <c r="O54" i="47" s="1"/>
  <c r="N54" i="47" a="1"/>
  <c r="N54" i="47" s="1"/>
  <c r="M54" i="47" a="1"/>
  <c r="M54" i="47" s="1"/>
  <c r="Q53" i="47" a="1"/>
  <c r="Q53" i="47" s="1"/>
  <c r="P53" i="47" a="1"/>
  <c r="P53" i="47" s="1"/>
  <c r="O53" i="47" a="1"/>
  <c r="O53" i="47" s="1"/>
  <c r="N53" i="47" a="1"/>
  <c r="N53" i="47" s="1"/>
  <c r="M53" i="47" a="1"/>
  <c r="M53" i="47" s="1"/>
  <c r="Q52" i="47" a="1"/>
  <c r="Q52" i="47" s="1"/>
  <c r="P52" i="47" a="1"/>
  <c r="P52" i="47" s="1"/>
  <c r="O52" i="47" a="1"/>
  <c r="O52" i="47" s="1"/>
  <c r="N52" i="47" a="1"/>
  <c r="N52" i="47" s="1"/>
  <c r="M52" i="47" a="1"/>
  <c r="M52" i="47" s="1"/>
  <c r="Q51" i="47" a="1"/>
  <c r="Q51" i="47" s="1"/>
  <c r="P51" i="47" a="1"/>
  <c r="P51" i="47" s="1"/>
  <c r="O51" i="47" a="1"/>
  <c r="O51" i="47" s="1"/>
  <c r="N51" i="47" a="1"/>
  <c r="N51" i="47" s="1"/>
  <c r="M51" i="47" a="1"/>
  <c r="M51" i="47" s="1"/>
  <c r="Q50" i="47" a="1"/>
  <c r="Q50" i="47" s="1"/>
  <c r="P50" i="47" a="1"/>
  <c r="P50" i="47" s="1"/>
  <c r="O50" i="47" a="1"/>
  <c r="O50" i="47" s="1"/>
  <c r="N50" i="47" a="1"/>
  <c r="N50" i="47" s="1"/>
  <c r="M50" i="47" a="1"/>
  <c r="M50" i="47" s="1"/>
  <c r="Q49" i="47" a="1"/>
  <c r="Q49" i="47" s="1"/>
  <c r="P49" i="47" a="1"/>
  <c r="P49" i="47" s="1"/>
  <c r="O49" i="47" a="1"/>
  <c r="O49" i="47" s="1"/>
  <c r="N49" i="47" a="1"/>
  <c r="N49" i="47" s="1"/>
  <c r="M49" i="47" a="1"/>
  <c r="M49" i="47" s="1"/>
  <c r="Q48" i="47" a="1"/>
  <c r="Q48" i="47" s="1"/>
  <c r="P48" i="47" a="1"/>
  <c r="P48" i="47" s="1"/>
  <c r="O48" i="47" a="1"/>
  <c r="O48" i="47" s="1"/>
  <c r="N48" i="47" a="1"/>
  <c r="N48" i="47" s="1"/>
  <c r="M48" i="47" a="1"/>
  <c r="M48" i="47" s="1"/>
  <c r="Q46" i="47" a="1"/>
  <c r="Q46" i="47" s="1"/>
  <c r="P46" i="47" a="1"/>
  <c r="P46" i="47" s="1"/>
  <c r="O46" i="47" a="1"/>
  <c r="O46" i="47" s="1"/>
  <c r="N46" i="47" a="1"/>
  <c r="N46" i="47" s="1"/>
  <c r="M46" i="47" a="1"/>
  <c r="M46" i="47" s="1"/>
  <c r="Q45" i="47" a="1"/>
  <c r="Q45" i="47" s="1"/>
  <c r="P45" i="47" a="1"/>
  <c r="P45" i="47" s="1"/>
  <c r="O45" i="47" a="1"/>
  <c r="O45" i="47" s="1"/>
  <c r="N45" i="47" a="1"/>
  <c r="N45" i="47" s="1"/>
  <c r="M45" i="47" a="1"/>
  <c r="M45" i="47" s="1"/>
  <c r="M72" i="46" a="1"/>
  <c r="M72" i="46" s="1"/>
  <c r="M74" i="46" a="1"/>
  <c r="M74" i="46" s="1"/>
  <c r="M75" i="46" a="1"/>
  <c r="M75" i="46" s="1"/>
  <c r="M77" i="46" a="1"/>
  <c r="M77" i="46" s="1"/>
  <c r="M79" i="46" a="1"/>
  <c r="M79" i="46" s="1"/>
  <c r="M80" i="46" a="1"/>
  <c r="M80" i="46" s="1"/>
  <c r="M82" i="46" a="1"/>
  <c r="M82" i="46" s="1"/>
  <c r="M83" i="46" a="1"/>
  <c r="M83" i="46" s="1"/>
  <c r="M84" i="46" a="1"/>
  <c r="M84" i="46" s="1"/>
  <c r="M86" i="46" a="1"/>
  <c r="M86" i="46" s="1"/>
  <c r="M87" i="46" a="1"/>
  <c r="M87" i="46" s="1"/>
  <c r="M89" i="46" a="1"/>
  <c r="M89" i="46" s="1"/>
  <c r="N72" i="46" a="1"/>
  <c r="N72" i="46" s="1"/>
  <c r="N74" i="46" a="1"/>
  <c r="N74" i="46" s="1"/>
  <c r="N75" i="46" a="1"/>
  <c r="N75" i="46" s="1"/>
  <c r="N77" i="46" a="1"/>
  <c r="N77" i="46" s="1"/>
  <c r="N79" i="46" a="1"/>
  <c r="N79" i="46" s="1"/>
  <c r="N80" i="46" a="1"/>
  <c r="N80" i="46" s="1"/>
  <c r="N82" i="46" a="1"/>
  <c r="N82" i="46" s="1"/>
  <c r="N83" i="46" a="1"/>
  <c r="N83" i="46" s="1"/>
  <c r="N84" i="46" a="1"/>
  <c r="N84" i="46" s="1"/>
  <c r="N86" i="46" a="1"/>
  <c r="N86" i="46" s="1"/>
  <c r="N87" i="46" a="1"/>
  <c r="N87" i="46" s="1"/>
  <c r="N89" i="46" a="1"/>
  <c r="N89" i="46" s="1"/>
  <c r="O72" i="46" a="1"/>
  <c r="O72" i="46" s="1"/>
  <c r="O74" i="46" a="1"/>
  <c r="O74" i="46" s="1"/>
  <c r="O75" i="46" a="1"/>
  <c r="O75" i="46" s="1"/>
  <c r="O77" i="46" a="1"/>
  <c r="O77" i="46" s="1"/>
  <c r="O79" i="46" a="1"/>
  <c r="O79" i="46" s="1"/>
  <c r="O80" i="46" a="1"/>
  <c r="O80" i="46" s="1"/>
  <c r="O82" i="46" a="1"/>
  <c r="O82" i="46" s="1"/>
  <c r="O83" i="46" a="1"/>
  <c r="O83" i="46" s="1"/>
  <c r="O84" i="46" a="1"/>
  <c r="O84" i="46" s="1"/>
  <c r="O86" i="46" a="1"/>
  <c r="O86" i="46" s="1"/>
  <c r="O87" i="46" a="1"/>
  <c r="O87" i="46" s="1"/>
  <c r="O89" i="46" a="1"/>
  <c r="O89" i="46" s="1"/>
  <c r="P72" i="46" a="1"/>
  <c r="P72" i="46" s="1"/>
  <c r="P74" i="46" a="1"/>
  <c r="P74" i="46" s="1"/>
  <c r="P75" i="46" a="1"/>
  <c r="P75" i="46" s="1"/>
  <c r="P77" i="46" a="1"/>
  <c r="P77" i="46" s="1"/>
  <c r="P79" i="46" a="1"/>
  <c r="P79" i="46" s="1"/>
  <c r="P80" i="46" a="1"/>
  <c r="P80" i="46" s="1"/>
  <c r="P82" i="46" a="1"/>
  <c r="P82" i="46" s="1"/>
  <c r="P83" i="46" a="1"/>
  <c r="P83" i="46" s="1"/>
  <c r="P84" i="46" a="1"/>
  <c r="P84" i="46" s="1"/>
  <c r="P86" i="46" a="1"/>
  <c r="P86" i="46" s="1"/>
  <c r="P87" i="46" a="1"/>
  <c r="P87" i="46" s="1"/>
  <c r="P89" i="46" a="1"/>
  <c r="P89" i="46" s="1"/>
  <c r="Q72" i="46" a="1"/>
  <c r="Q72" i="46" s="1"/>
  <c r="Q75" i="46" a="1"/>
  <c r="Q75" i="46" s="1"/>
  <c r="Q77" i="46" a="1"/>
  <c r="Q77" i="46" s="1"/>
  <c r="Q79" i="46" a="1"/>
  <c r="Q79" i="46" s="1"/>
  <c r="Q80" i="46" a="1"/>
  <c r="Q80" i="46" s="1"/>
  <c r="Q82" i="46" a="1"/>
  <c r="Q82" i="46" s="1"/>
  <c r="Q83" i="46" a="1"/>
  <c r="Q83" i="46" s="1"/>
  <c r="Q84" i="46" a="1"/>
  <c r="Q84" i="46" s="1"/>
  <c r="Q86" i="46" a="1"/>
  <c r="Q86" i="46" s="1"/>
  <c r="Q87" i="46" a="1"/>
  <c r="Q87" i="46" s="1"/>
  <c r="Q89" i="46" a="1"/>
  <c r="Q89" i="46" s="1"/>
  <c r="Q70" i="46" a="1"/>
  <c r="Q70" i="46" s="1"/>
  <c r="P70" i="46" a="1"/>
  <c r="P70" i="46" s="1"/>
  <c r="O70" i="46" a="1"/>
  <c r="O70" i="46" s="1"/>
  <c r="N70" i="46" a="1"/>
  <c r="N70" i="46" s="1"/>
  <c r="M70" i="46" a="1"/>
  <c r="M70" i="46" s="1"/>
  <c r="Q69" i="46" a="1"/>
  <c r="Q69" i="46" s="1"/>
  <c r="P69" i="46" a="1"/>
  <c r="P69" i="46" s="1"/>
  <c r="O69" i="46" a="1"/>
  <c r="O69" i="46" s="1"/>
  <c r="N69" i="46" a="1"/>
  <c r="N69" i="46" s="1"/>
  <c r="M69" i="46" a="1"/>
  <c r="M69" i="46" s="1"/>
  <c r="Q68" i="46" a="1"/>
  <c r="Q68" i="46" s="1"/>
  <c r="P68" i="46" a="1"/>
  <c r="P68" i="46" s="1"/>
  <c r="O68" i="46" a="1"/>
  <c r="O68" i="46" s="1"/>
  <c r="N68" i="46" a="1"/>
  <c r="N68" i="46" s="1"/>
  <c r="M68" i="46" a="1"/>
  <c r="M68" i="46" s="1"/>
  <c r="F99" i="46"/>
  <c r="Q66" i="46" a="1"/>
  <c r="Q66" i="46" s="1"/>
  <c r="P66" i="46" a="1"/>
  <c r="P66" i="46" s="1"/>
  <c r="O66" i="46" a="1"/>
  <c r="O66" i="46" s="1"/>
  <c r="N66" i="46" a="1"/>
  <c r="N66" i="46" s="1"/>
  <c r="M66" i="46" a="1"/>
  <c r="M66" i="46" s="1"/>
  <c r="Q65" i="46" a="1"/>
  <c r="Q65" i="46" s="1"/>
  <c r="P65" i="46" a="1"/>
  <c r="P65" i="46" s="1"/>
  <c r="O65" i="46" a="1"/>
  <c r="O65" i="46" s="1"/>
  <c r="N65" i="46" a="1"/>
  <c r="N65" i="46" s="1"/>
  <c r="M65" i="46" a="1"/>
  <c r="M65" i="46" s="1"/>
  <c r="Q64" i="46" a="1"/>
  <c r="Q64" i="46" s="1"/>
  <c r="P64" i="46" a="1"/>
  <c r="P64" i="46" s="1"/>
  <c r="O64" i="46" a="1"/>
  <c r="O64" i="46" s="1"/>
  <c r="N64" i="46" a="1"/>
  <c r="N64" i="46" s="1"/>
  <c r="M64" i="46" a="1"/>
  <c r="M64" i="46" s="1"/>
  <c r="Q63" i="46" a="1"/>
  <c r="Q63" i="46" s="1"/>
  <c r="P63" i="46" a="1"/>
  <c r="P63" i="46" s="1"/>
  <c r="O63" i="46" a="1"/>
  <c r="O63" i="46" s="1"/>
  <c r="N63" i="46" a="1"/>
  <c r="N63" i="46" s="1"/>
  <c r="M63" i="46" a="1"/>
  <c r="M63" i="46" s="1"/>
  <c r="Q62" i="46" a="1"/>
  <c r="Q62" i="46" s="1"/>
  <c r="P62" i="46" a="1"/>
  <c r="P62" i="46" s="1"/>
  <c r="O62" i="46" a="1"/>
  <c r="O62" i="46" s="1"/>
  <c r="N62" i="46" a="1"/>
  <c r="N62" i="46" s="1"/>
  <c r="M62" i="46" a="1"/>
  <c r="M62" i="46" s="1"/>
  <c r="Q60" i="46" a="1"/>
  <c r="Q60" i="46" s="1"/>
  <c r="P60" i="46" a="1"/>
  <c r="P60" i="46" s="1"/>
  <c r="O60" i="46" a="1"/>
  <c r="O60" i="46" s="1"/>
  <c r="N60" i="46" a="1"/>
  <c r="N60" i="46" s="1"/>
  <c r="M60" i="46" a="1"/>
  <c r="M60" i="46" s="1"/>
  <c r="Q59" i="46" a="1"/>
  <c r="Q59" i="46" s="1"/>
  <c r="P59" i="46" a="1"/>
  <c r="P59" i="46" s="1"/>
  <c r="O59" i="46" a="1"/>
  <c r="O59" i="46" s="1"/>
  <c r="N59" i="46" a="1"/>
  <c r="N59" i="46" s="1"/>
  <c r="M59" i="46" a="1"/>
  <c r="M59" i="46" s="1"/>
  <c r="Q58" i="46" a="1"/>
  <c r="Q58" i="46" s="1"/>
  <c r="P58" i="46" a="1"/>
  <c r="P58" i="46" s="1"/>
  <c r="O58" i="46" a="1"/>
  <c r="O58" i="46" s="1"/>
  <c r="N58" i="46" a="1"/>
  <c r="N58" i="46" s="1"/>
  <c r="M58" i="46" a="1"/>
  <c r="M58" i="46" s="1"/>
  <c r="Q56" i="46" a="1"/>
  <c r="Q56" i="46" s="1"/>
  <c r="P56" i="46" a="1"/>
  <c r="P56" i="46" s="1"/>
  <c r="O56" i="46" a="1"/>
  <c r="O56" i="46" s="1"/>
  <c r="N56" i="46" a="1"/>
  <c r="N56" i="46" s="1"/>
  <c r="M56" i="46" a="1"/>
  <c r="M56" i="46" s="1"/>
  <c r="F96" i="46"/>
  <c r="Q54" i="46" a="1"/>
  <c r="Q54" i="46" s="1"/>
  <c r="P54" i="46" a="1"/>
  <c r="P54" i="46" s="1"/>
  <c r="O54" i="46" a="1"/>
  <c r="O54" i="46" s="1"/>
  <c r="N54" i="46" a="1"/>
  <c r="N54" i="46" s="1"/>
  <c r="M54" i="46" a="1"/>
  <c r="M54" i="46" s="1"/>
  <c r="Q53" i="46" a="1"/>
  <c r="Q53" i="46" s="1"/>
  <c r="P53" i="46" a="1"/>
  <c r="P53" i="46" s="1"/>
  <c r="O53" i="46" a="1"/>
  <c r="O53" i="46" s="1"/>
  <c r="N53" i="46" a="1"/>
  <c r="N53" i="46" s="1"/>
  <c r="M53" i="46" a="1"/>
  <c r="M53" i="46" s="1"/>
  <c r="Q52" i="46" a="1"/>
  <c r="Q52" i="46" s="1"/>
  <c r="P52" i="46" a="1"/>
  <c r="P52" i="46" s="1"/>
  <c r="O52" i="46" a="1"/>
  <c r="O52" i="46" s="1"/>
  <c r="N52" i="46" a="1"/>
  <c r="N52" i="46" s="1"/>
  <c r="M52" i="46" a="1"/>
  <c r="M52" i="46" s="1"/>
  <c r="Q51" i="46" a="1"/>
  <c r="Q51" i="46" s="1"/>
  <c r="P51" i="46" a="1"/>
  <c r="P51" i="46" s="1"/>
  <c r="O51" i="46" a="1"/>
  <c r="O51" i="46" s="1"/>
  <c r="N51" i="46" a="1"/>
  <c r="N51" i="46" s="1"/>
  <c r="M51" i="46" a="1"/>
  <c r="M51" i="46" s="1"/>
  <c r="Q50" i="46" a="1"/>
  <c r="Q50" i="46" s="1"/>
  <c r="P50" i="46" a="1"/>
  <c r="P50" i="46" s="1"/>
  <c r="O50" i="46" a="1"/>
  <c r="O50" i="46" s="1"/>
  <c r="N50" i="46" a="1"/>
  <c r="N50" i="46" s="1"/>
  <c r="M50" i="46" a="1"/>
  <c r="M50" i="46" s="1"/>
  <c r="Q49" i="46" a="1"/>
  <c r="Q49" i="46" s="1"/>
  <c r="P49" i="46" a="1"/>
  <c r="P49" i="46" s="1"/>
  <c r="O49" i="46" a="1"/>
  <c r="O49" i="46" s="1"/>
  <c r="N49" i="46" a="1"/>
  <c r="N49" i="46" s="1"/>
  <c r="M49" i="46" a="1"/>
  <c r="M49" i="46" s="1"/>
  <c r="Q48" i="46" a="1"/>
  <c r="Q48" i="46" s="1"/>
  <c r="P48" i="46" a="1"/>
  <c r="P48" i="46" s="1"/>
  <c r="O48" i="46" a="1"/>
  <c r="O48" i="46" s="1"/>
  <c r="N48" i="46" a="1"/>
  <c r="N48" i="46" s="1"/>
  <c r="M48" i="46" a="1"/>
  <c r="M48" i="46" s="1"/>
  <c r="Q46" i="46" a="1"/>
  <c r="Q46" i="46" s="1"/>
  <c r="P46" i="46" a="1"/>
  <c r="P46" i="46" s="1"/>
  <c r="O46" i="46" a="1"/>
  <c r="O46" i="46" s="1"/>
  <c r="N46" i="46" a="1"/>
  <c r="N46" i="46" s="1"/>
  <c r="M46" i="46" a="1"/>
  <c r="M46" i="46" s="1"/>
  <c r="Q45" i="46" a="1"/>
  <c r="Q45" i="46" s="1"/>
  <c r="P45" i="46" a="1"/>
  <c r="P45" i="46" s="1"/>
  <c r="O45" i="46" a="1"/>
  <c r="O45" i="46" s="1"/>
  <c r="N45" i="46" a="1"/>
  <c r="N45" i="46" s="1"/>
  <c r="M45" i="46" a="1"/>
  <c r="M45" i="46" s="1"/>
  <c r="M99" i="49" l="1"/>
  <c r="F96" i="47"/>
  <c r="N480" i="28" s="1"/>
  <c r="F97" i="47"/>
  <c r="F98" i="47"/>
  <c r="F99" i="47"/>
  <c r="N452" i="28" s="1"/>
  <c r="F108" i="47"/>
  <c r="F103" i="47"/>
  <c r="F97" i="46"/>
  <c r="F98" i="46"/>
  <c r="F95" i="47"/>
  <c r="F95" i="46"/>
  <c r="B94" i="47"/>
  <c r="E97" i="47"/>
  <c r="E98" i="47"/>
  <c r="E103" i="47"/>
  <c r="E95" i="47"/>
  <c r="E96" i="47"/>
  <c r="E99" i="47"/>
  <c r="E108" i="47"/>
  <c r="G94" i="50"/>
  <c r="E94" i="47"/>
  <c r="E94" i="46"/>
  <c r="B94" i="46"/>
  <c r="C95" i="46"/>
  <c r="C96" i="46"/>
  <c r="C97" i="46"/>
  <c r="C98" i="46"/>
  <c r="C99" i="46"/>
  <c r="D103" i="46"/>
  <c r="C95" i="47"/>
  <c r="C96" i="47"/>
  <c r="C97" i="47"/>
  <c r="C98" i="47"/>
  <c r="C99" i="47"/>
  <c r="C108" i="47"/>
  <c r="C103" i="47"/>
  <c r="O96" i="50"/>
  <c r="D95" i="46"/>
  <c r="D96" i="46"/>
  <c r="D97" i="46"/>
  <c r="D98" i="46"/>
  <c r="D99" i="46"/>
  <c r="D95" i="47"/>
  <c r="D96" i="47"/>
  <c r="D97" i="47"/>
  <c r="D98" i="47"/>
  <c r="D99" i="47"/>
  <c r="D108" i="47"/>
  <c r="D103" i="47"/>
  <c r="P108" i="49"/>
  <c r="P115" i="49" s="1"/>
  <c r="Q99" i="49"/>
  <c r="O99" i="49"/>
  <c r="M108" i="49"/>
  <c r="M115" i="49" s="1"/>
  <c r="G103" i="49"/>
  <c r="G96" i="49"/>
  <c r="Q88" i="46" a="1"/>
  <c r="Q88" i="46" s="1"/>
  <c r="Q107" i="46" s="1"/>
  <c r="F107" i="46"/>
  <c r="R85" i="50" a="1"/>
  <c r="R85" i="50" s="1"/>
  <c r="R106" i="50" s="1"/>
  <c r="G106" i="50"/>
  <c r="P41" i="46" a="1"/>
  <c r="P41" i="46" s="1"/>
  <c r="E100" i="46"/>
  <c r="E95" i="46"/>
  <c r="E96" i="46"/>
  <c r="E97" i="46"/>
  <c r="E98" i="46"/>
  <c r="E99" i="46"/>
  <c r="E103" i="46"/>
  <c r="D108" i="46"/>
  <c r="M88" i="46" a="1"/>
  <c r="M88" i="46" s="1"/>
  <c r="M107" i="46" s="1"/>
  <c r="B107" i="46"/>
  <c r="M78" i="46" a="1"/>
  <c r="M78" i="46" s="1"/>
  <c r="M104" i="46" s="1"/>
  <c r="B104" i="46"/>
  <c r="P41" i="47" a="1"/>
  <c r="P41" i="47" s="1"/>
  <c r="E100" i="47"/>
  <c r="P81" i="47" a="1"/>
  <c r="P81" i="47" s="1"/>
  <c r="P105" i="47" s="1"/>
  <c r="E105" i="47"/>
  <c r="P85" i="47" a="1"/>
  <c r="P85" i="47" s="1"/>
  <c r="P106" i="47" s="1"/>
  <c r="E106" i="47"/>
  <c r="R88" i="48" a="1"/>
  <c r="R88" i="48" s="1"/>
  <c r="R107" i="48" s="1"/>
  <c r="G107" i="48"/>
  <c r="G96" i="48"/>
  <c r="R81" i="50" a="1"/>
  <c r="R81" i="50" s="1"/>
  <c r="R105" i="50" s="1"/>
  <c r="G105" i="50"/>
  <c r="G94" i="49"/>
  <c r="N108" i="48"/>
  <c r="N115" i="48" s="1"/>
  <c r="Q85" i="46" a="1"/>
  <c r="Q85" i="46" s="1"/>
  <c r="Q106" i="46" s="1"/>
  <c r="F106" i="46"/>
  <c r="O81" i="46" a="1"/>
  <c r="O81" i="46" s="1"/>
  <c r="D105" i="46"/>
  <c r="Q41" i="47" a="1"/>
  <c r="Q41" i="47" s="1"/>
  <c r="F100" i="47"/>
  <c r="Q81" i="47" a="1"/>
  <c r="Q81" i="47" s="1"/>
  <c r="Q105" i="47" s="1"/>
  <c r="F105" i="47"/>
  <c r="Q85" i="47" a="1"/>
  <c r="Q85" i="47" s="1"/>
  <c r="F106" i="47"/>
  <c r="G95" i="49"/>
  <c r="R41" i="48" a="1"/>
  <c r="R41" i="48" s="1"/>
  <c r="G100" i="48"/>
  <c r="N41" i="46" a="1"/>
  <c r="N41" i="46" s="1"/>
  <c r="C100" i="46"/>
  <c r="F103" i="46"/>
  <c r="E108" i="46"/>
  <c r="N88" i="46" a="1"/>
  <c r="N88" i="46" s="1"/>
  <c r="N107" i="46" s="1"/>
  <c r="C107" i="46"/>
  <c r="N78" i="46" a="1"/>
  <c r="N78" i="46" s="1"/>
  <c r="N104" i="46" s="1"/>
  <c r="C104" i="46"/>
  <c r="M78" i="47" a="1"/>
  <c r="M78" i="47" s="1"/>
  <c r="M104" i="47" s="1"/>
  <c r="B104" i="47"/>
  <c r="M88" i="47" a="1"/>
  <c r="M88" i="47" s="1"/>
  <c r="M107" i="47" s="1"/>
  <c r="B107" i="47"/>
  <c r="O85" i="47" a="1"/>
  <c r="O85" i="47" s="1"/>
  <c r="O106" i="47" s="1"/>
  <c r="D106" i="47"/>
  <c r="Q41" i="46" a="1"/>
  <c r="Q41" i="46" s="1"/>
  <c r="F100" i="46"/>
  <c r="P81" i="46" a="1"/>
  <c r="P81" i="46" s="1"/>
  <c r="E105" i="46"/>
  <c r="M85" i="46" a="1"/>
  <c r="M85" i="46" s="1"/>
  <c r="B106" i="46"/>
  <c r="C94" i="47"/>
  <c r="N78" i="47" a="1"/>
  <c r="N78" i="47" s="1"/>
  <c r="N104" i="47" s="1"/>
  <c r="C104" i="47"/>
  <c r="N88" i="47" a="1"/>
  <c r="N88" i="47" s="1"/>
  <c r="N107" i="47" s="1"/>
  <c r="C107" i="47"/>
  <c r="G108" i="48"/>
  <c r="G95" i="48"/>
  <c r="R41" i="49" a="1"/>
  <c r="R41" i="49" s="1"/>
  <c r="G100" i="49"/>
  <c r="G97" i="50"/>
  <c r="G98" i="50"/>
  <c r="G108" i="49"/>
  <c r="N85" i="47" a="1"/>
  <c r="N85" i="47" s="1"/>
  <c r="N106" i="47" s="1"/>
  <c r="C106" i="47"/>
  <c r="F108" i="46"/>
  <c r="O88" i="46" a="1"/>
  <c r="O88" i="46" s="1"/>
  <c r="O107" i="46" s="1"/>
  <c r="D107" i="46"/>
  <c r="O78" i="46" a="1"/>
  <c r="O78" i="46" s="1"/>
  <c r="D104" i="46"/>
  <c r="B103" i="46"/>
  <c r="D94" i="47"/>
  <c r="O78" i="47" a="1"/>
  <c r="O78" i="47" s="1"/>
  <c r="O104" i="47" s="1"/>
  <c r="D104" i="47"/>
  <c r="O88" i="47" a="1"/>
  <c r="O88" i="47" s="1"/>
  <c r="O107" i="47" s="1"/>
  <c r="D107" i="47"/>
  <c r="R85" i="48" a="1"/>
  <c r="R85" i="48" s="1"/>
  <c r="R106" i="48" s="1"/>
  <c r="G106" i="48"/>
  <c r="G103" i="48"/>
  <c r="R70" i="49" a="1"/>
  <c r="R70" i="49" s="1"/>
  <c r="R107" i="49" s="1"/>
  <c r="G107" i="49"/>
  <c r="R88" i="50" a="1"/>
  <c r="R88" i="50" s="1"/>
  <c r="R107" i="50" s="1"/>
  <c r="G107" i="50"/>
  <c r="R78" i="50" a="1"/>
  <c r="R78" i="50" s="1"/>
  <c r="R104" i="50" s="1"/>
  <c r="G104" i="50"/>
  <c r="N99" i="49"/>
  <c r="N81" i="46" a="1"/>
  <c r="N81" i="46" s="1"/>
  <c r="C105" i="46"/>
  <c r="O41" i="47" a="1"/>
  <c r="O41" i="47" s="1"/>
  <c r="D100" i="47"/>
  <c r="O81" i="47" a="1"/>
  <c r="O81" i="47" s="1"/>
  <c r="O105" i="47" s="1"/>
  <c r="D105" i="47"/>
  <c r="G97" i="48"/>
  <c r="F105" i="46"/>
  <c r="N85" i="46" a="1"/>
  <c r="N85" i="46" s="1"/>
  <c r="N106" i="46" s="1"/>
  <c r="C106" i="46"/>
  <c r="P78" i="47" a="1"/>
  <c r="P78" i="47" s="1"/>
  <c r="P104" i="47" s="1"/>
  <c r="E104" i="47"/>
  <c r="P88" i="47" a="1"/>
  <c r="P88" i="47" s="1"/>
  <c r="P107" i="47" s="1"/>
  <c r="E107" i="47"/>
  <c r="G99" i="48"/>
  <c r="R78" i="48" a="1"/>
  <c r="R78" i="48" s="1"/>
  <c r="R104" i="48" s="1"/>
  <c r="G104" i="48"/>
  <c r="G94" i="48"/>
  <c r="G99" i="50"/>
  <c r="G98" i="49"/>
  <c r="G96" i="50"/>
  <c r="O41" i="46" a="1"/>
  <c r="O41" i="46" s="1"/>
  <c r="D100" i="46"/>
  <c r="P85" i="46" a="1"/>
  <c r="P85" i="46" s="1"/>
  <c r="P106" i="46" s="1"/>
  <c r="E106" i="46"/>
  <c r="C94" i="46"/>
  <c r="K478" i="28" s="1"/>
  <c r="P88" i="46" a="1"/>
  <c r="P88" i="46" s="1"/>
  <c r="P107" i="46" s="1"/>
  <c r="E107" i="46"/>
  <c r="P78" i="46" a="1"/>
  <c r="P78" i="46" s="1"/>
  <c r="P104" i="46" s="1"/>
  <c r="E104" i="46"/>
  <c r="C103" i="46"/>
  <c r="F94" i="47"/>
  <c r="Q78" i="47" a="1"/>
  <c r="Q78" i="47" s="1"/>
  <c r="Q104" i="47" s="1"/>
  <c r="F104" i="47"/>
  <c r="Q88" i="47" a="1"/>
  <c r="Q88" i="47" s="1"/>
  <c r="Q107" i="47" s="1"/>
  <c r="F107" i="47"/>
  <c r="R81" i="48" a="1"/>
  <c r="R81" i="48" s="1"/>
  <c r="R105" i="48" s="1"/>
  <c r="G105" i="48"/>
  <c r="G103" i="50"/>
  <c r="R41" i="50" a="1"/>
  <c r="R41" i="50" s="1"/>
  <c r="G100" i="50"/>
  <c r="G97" i="49"/>
  <c r="G95" i="50"/>
  <c r="Q78" i="46" a="1"/>
  <c r="Q78" i="46" s="1"/>
  <c r="Q104" i="46" s="1"/>
  <c r="F104" i="46"/>
  <c r="C108" i="46"/>
  <c r="N41" i="47" a="1"/>
  <c r="N41" i="47" s="1"/>
  <c r="C100" i="47"/>
  <c r="N81" i="47" a="1"/>
  <c r="N81" i="47" s="1"/>
  <c r="N105" i="47" s="1"/>
  <c r="C105" i="47"/>
  <c r="D94" i="46"/>
  <c r="F94" i="46"/>
  <c r="N478" i="28" s="1"/>
  <c r="M41" i="46" a="1"/>
  <c r="M41" i="46" s="1"/>
  <c r="B100" i="46"/>
  <c r="B95" i="46"/>
  <c r="B96" i="46"/>
  <c r="B97" i="46"/>
  <c r="B98" i="46"/>
  <c r="B99" i="46"/>
  <c r="O85" i="46" a="1"/>
  <c r="O85" i="46" s="1"/>
  <c r="O106" i="46" s="1"/>
  <c r="D106" i="46"/>
  <c r="M81" i="46" a="1"/>
  <c r="M81" i="46" s="1"/>
  <c r="M105" i="46" s="1"/>
  <c r="B105" i="46"/>
  <c r="M41" i="47" a="1"/>
  <c r="M41" i="47" s="1"/>
  <c r="B100" i="47"/>
  <c r="B95" i="47"/>
  <c r="B96" i="47"/>
  <c r="B97" i="47"/>
  <c r="B98" i="47"/>
  <c r="B99" i="47"/>
  <c r="B103" i="47"/>
  <c r="M81" i="47" a="1"/>
  <c r="M81" i="47" s="1"/>
  <c r="M105" i="47" s="1"/>
  <c r="B105" i="47"/>
  <c r="M85" i="47" a="1"/>
  <c r="M85" i="47" s="1"/>
  <c r="M106" i="47" s="1"/>
  <c r="B106" i="47"/>
  <c r="G98" i="48"/>
  <c r="R71" i="50" a="1"/>
  <c r="R71" i="50" s="1"/>
  <c r="G108" i="50"/>
  <c r="G99" i="49"/>
  <c r="P99" i="49"/>
  <c r="O108" i="50"/>
  <c r="N108" i="50"/>
  <c r="O104" i="46"/>
  <c r="M108" i="50"/>
  <c r="P100" i="49"/>
  <c r="P108" i="48"/>
  <c r="P115" i="48" s="1"/>
  <c r="O108" i="49"/>
  <c r="O115" i="49" s="1"/>
  <c r="Q108" i="50"/>
  <c r="P108" i="50"/>
  <c r="P96" i="50"/>
  <c r="Q100" i="49"/>
  <c r="O100" i="48"/>
  <c r="M90" i="50"/>
  <c r="Q100" i="48"/>
  <c r="O105" i="46"/>
  <c r="M106" i="46"/>
  <c r="Q106" i="47"/>
  <c r="Q108" i="48"/>
  <c r="Q115" i="48" s="1"/>
  <c r="Q96" i="50"/>
  <c r="O100" i="50"/>
  <c r="M100" i="49"/>
  <c r="N100" i="48"/>
  <c r="P90" i="49"/>
  <c r="Q100" i="50"/>
  <c r="O90" i="49"/>
  <c r="M100" i="48"/>
  <c r="O108" i="48"/>
  <c r="O115" i="48" s="1"/>
  <c r="Q108" i="49"/>
  <c r="Q115" i="49" s="1"/>
  <c r="N96" i="50"/>
  <c r="M96" i="50"/>
  <c r="O90" i="50"/>
  <c r="M90" i="49"/>
  <c r="N90" i="50"/>
  <c r="P100" i="48"/>
  <c r="Q90" i="50"/>
  <c r="O100" i="49"/>
  <c r="N90" i="49"/>
  <c r="P100" i="50"/>
  <c r="P105" i="46"/>
  <c r="N105" i="46"/>
  <c r="M108" i="48"/>
  <c r="M115" i="48" s="1"/>
  <c r="N108" i="49"/>
  <c r="N115" i="49" s="1"/>
  <c r="M103" i="50"/>
  <c r="Q90" i="49"/>
  <c r="N100" i="50"/>
  <c r="M100" i="50"/>
  <c r="N100" i="49"/>
  <c r="P90" i="50"/>
  <c r="R61" i="50" a="1"/>
  <c r="R61" i="50" s="1"/>
  <c r="R73" i="50" a="1"/>
  <c r="R73" i="50" s="1"/>
  <c r="R103" i="50" s="1"/>
  <c r="R57" i="50" a="1"/>
  <c r="R57" i="50" s="1"/>
  <c r="R44" i="50" a="1"/>
  <c r="R44" i="50" s="1"/>
  <c r="R67" i="50" a="1"/>
  <c r="R67" i="50" s="1"/>
  <c r="R72" i="50" a="1"/>
  <c r="R72" i="50" s="1"/>
  <c r="R44" i="49" a="1"/>
  <c r="R44" i="49" s="1"/>
  <c r="R94" i="49" s="1"/>
  <c r="R73" i="49" a="1"/>
  <c r="R73" i="49" s="1"/>
  <c r="R103" i="49" s="1"/>
  <c r="R61" i="49" a="1"/>
  <c r="R61" i="49" s="1"/>
  <c r="R98" i="49" s="1"/>
  <c r="R71" i="49" a="1"/>
  <c r="R71" i="49" s="1"/>
  <c r="R57" i="49" a="1"/>
  <c r="R57" i="49" s="1"/>
  <c r="R97" i="49" s="1"/>
  <c r="R47" i="49" a="1"/>
  <c r="R47" i="49" s="1"/>
  <c r="R55" i="48" a="1"/>
  <c r="R55" i="48" s="1"/>
  <c r="R96" i="48" s="1"/>
  <c r="R61" i="48" a="1"/>
  <c r="R61" i="48" s="1"/>
  <c r="R98" i="48" s="1"/>
  <c r="Q90" i="48"/>
  <c r="O90" i="48"/>
  <c r="N90" i="48"/>
  <c r="M90" i="48"/>
  <c r="R73" i="48" a="1"/>
  <c r="R73" i="48" s="1"/>
  <c r="R103" i="48" s="1"/>
  <c r="R67" i="48" a="1"/>
  <c r="R67" i="48" s="1"/>
  <c r="R57" i="48" a="1"/>
  <c r="R57" i="48" s="1"/>
  <c r="R97" i="48" s="1"/>
  <c r="R71" i="48" a="1"/>
  <c r="R71" i="48" s="1"/>
  <c r="R44" i="48" a="1"/>
  <c r="R44" i="48" s="1"/>
  <c r="R94" i="48" s="1"/>
  <c r="R47" i="48" a="1"/>
  <c r="R47" i="48" s="1"/>
  <c r="R95" i="48" s="1"/>
  <c r="P90" i="48"/>
  <c r="P44" i="47" a="1"/>
  <c r="P44" i="47" s="1"/>
  <c r="P94" i="47" s="1"/>
  <c r="M47" i="47" a="1"/>
  <c r="M47" i="47" s="1"/>
  <c r="M95" i="47" s="1"/>
  <c r="Q47" i="47" a="1"/>
  <c r="Q47" i="47" s="1"/>
  <c r="Q95" i="47" s="1"/>
  <c r="M55" i="47" a="1"/>
  <c r="M55" i="47" s="1"/>
  <c r="M96" i="47" s="1"/>
  <c r="Q55" i="47" a="1"/>
  <c r="Q55" i="47" s="1"/>
  <c r="Q96" i="47" s="1"/>
  <c r="O57" i="47" a="1"/>
  <c r="O57" i="47" s="1"/>
  <c r="O97" i="47" s="1"/>
  <c r="O61" i="47" a="1"/>
  <c r="O61" i="47" s="1"/>
  <c r="O98" i="47" s="1"/>
  <c r="M67" i="47" a="1"/>
  <c r="M67" i="47" s="1"/>
  <c r="M99" i="47" s="1"/>
  <c r="Q67" i="47" a="1"/>
  <c r="Q67" i="47" s="1"/>
  <c r="Q99" i="47" s="1"/>
  <c r="M71" i="47" a="1"/>
  <c r="M71" i="47" s="1"/>
  <c r="B108" i="47"/>
  <c r="Q71" i="47" a="1"/>
  <c r="Q71" i="47" s="1"/>
  <c r="O73" i="47" a="1"/>
  <c r="O73" i="47" s="1"/>
  <c r="O103" i="47" s="1"/>
  <c r="M44" i="47" a="1"/>
  <c r="M44" i="47" s="1"/>
  <c r="M94" i="47" s="1"/>
  <c r="Q44" i="47" a="1"/>
  <c r="Q44" i="47" s="1"/>
  <c r="Q94" i="47" s="1"/>
  <c r="N47" i="47" a="1"/>
  <c r="N47" i="47" s="1"/>
  <c r="N95" i="47" s="1"/>
  <c r="N55" i="47" a="1"/>
  <c r="N55" i="47" s="1"/>
  <c r="N96" i="47" s="1"/>
  <c r="P57" i="47" a="1"/>
  <c r="P57" i="47" s="1"/>
  <c r="P97" i="47" s="1"/>
  <c r="P61" i="47" a="1"/>
  <c r="P61" i="47" s="1"/>
  <c r="P98" i="47" s="1"/>
  <c r="N67" i="47" a="1"/>
  <c r="N67" i="47" s="1"/>
  <c r="N99" i="47" s="1"/>
  <c r="N71" i="47" a="1"/>
  <c r="N71" i="47" s="1"/>
  <c r="P73" i="47" a="1"/>
  <c r="P73" i="47" s="1"/>
  <c r="P103" i="47" s="1"/>
  <c r="N44" i="47" a="1"/>
  <c r="N44" i="47" s="1"/>
  <c r="N94" i="47" s="1"/>
  <c r="O47" i="47" a="1"/>
  <c r="O47" i="47" s="1"/>
  <c r="O95" i="47" s="1"/>
  <c r="O55" i="47" a="1"/>
  <c r="O55" i="47" s="1"/>
  <c r="O96" i="47" s="1"/>
  <c r="M57" i="47" a="1"/>
  <c r="M57" i="47" s="1"/>
  <c r="M97" i="47" s="1"/>
  <c r="Q57" i="47" a="1"/>
  <c r="Q57" i="47" s="1"/>
  <c r="Q97" i="47" s="1"/>
  <c r="M61" i="47" a="1"/>
  <c r="M61" i="47" s="1"/>
  <c r="M98" i="47" s="1"/>
  <c r="Q61" i="47" a="1"/>
  <c r="Q61" i="47" s="1"/>
  <c r="Q98" i="47" s="1"/>
  <c r="O67" i="47" a="1"/>
  <c r="O67" i="47" s="1"/>
  <c r="O99" i="47" s="1"/>
  <c r="O71" i="47" a="1"/>
  <c r="O71" i="47" s="1"/>
  <c r="M73" i="47" a="1"/>
  <c r="M73" i="47" s="1"/>
  <c r="Q73" i="47" a="1"/>
  <c r="Q73" i="47" s="1"/>
  <c r="Q103" i="47" s="1"/>
  <c r="O44" i="47" a="1"/>
  <c r="O44" i="47" s="1"/>
  <c r="O94" i="47" s="1"/>
  <c r="P47" i="47" a="1"/>
  <c r="P47" i="47" s="1"/>
  <c r="P95" i="47" s="1"/>
  <c r="P55" i="47" a="1"/>
  <c r="P55" i="47" s="1"/>
  <c r="P96" i="47" s="1"/>
  <c r="N57" i="47" a="1"/>
  <c r="N57" i="47" s="1"/>
  <c r="N97" i="47" s="1"/>
  <c r="N61" i="47" a="1"/>
  <c r="N61" i="47" s="1"/>
  <c r="N98" i="47" s="1"/>
  <c r="P67" i="47" a="1"/>
  <c r="P67" i="47" s="1"/>
  <c r="P99" i="47" s="1"/>
  <c r="P71" i="47" a="1"/>
  <c r="P71" i="47" s="1"/>
  <c r="N73" i="47" a="1"/>
  <c r="N73" i="47" s="1"/>
  <c r="N103" i="47" s="1"/>
  <c r="N44" i="46" a="1"/>
  <c r="N44" i="46" s="1"/>
  <c r="N94" i="46" s="1"/>
  <c r="O55" i="46" a="1"/>
  <c r="O55" i="46" s="1"/>
  <c r="O96" i="46" s="1"/>
  <c r="M57" i="46" a="1"/>
  <c r="M57" i="46" s="1"/>
  <c r="M97" i="46" s="1"/>
  <c r="Q57" i="46" a="1"/>
  <c r="Q57" i="46" s="1"/>
  <c r="Q97" i="46" s="1"/>
  <c r="M61" i="46" a="1"/>
  <c r="M61" i="46" s="1"/>
  <c r="M98" i="46" s="1"/>
  <c r="Q61" i="46" a="1"/>
  <c r="Q61" i="46" s="1"/>
  <c r="Q98" i="46" s="1"/>
  <c r="O67" i="46" a="1"/>
  <c r="O67" i="46" s="1"/>
  <c r="O99" i="46" s="1"/>
  <c r="O47" i="46" a="1"/>
  <c r="O47" i="46" s="1"/>
  <c r="O95" i="46" s="1"/>
  <c r="O44" i="46" a="1"/>
  <c r="O44" i="46" s="1"/>
  <c r="O94" i="46" s="1"/>
  <c r="P47" i="46" a="1"/>
  <c r="P47" i="46" s="1"/>
  <c r="P95" i="46" s="1"/>
  <c r="P55" i="46" a="1"/>
  <c r="P55" i="46" s="1"/>
  <c r="P96" i="46" s="1"/>
  <c r="N57" i="46" a="1"/>
  <c r="N57" i="46" s="1"/>
  <c r="N97" i="46" s="1"/>
  <c r="N61" i="46" a="1"/>
  <c r="N61" i="46" s="1"/>
  <c r="N98" i="46" s="1"/>
  <c r="P67" i="46" a="1"/>
  <c r="P67" i="46" s="1"/>
  <c r="P99" i="46" s="1"/>
  <c r="Q73" i="46" a="1"/>
  <c r="Q73" i="46" s="1"/>
  <c r="P71" i="46" a="1"/>
  <c r="P71" i="46" s="1"/>
  <c r="O73" i="46" a="1"/>
  <c r="O73" i="46" s="1"/>
  <c r="N71" i="46" a="1"/>
  <c r="N71" i="46" s="1"/>
  <c r="M73" i="46" a="1"/>
  <c r="M73" i="46" s="1"/>
  <c r="Q47" i="46" a="1"/>
  <c r="Q47" i="46" s="1"/>
  <c r="Q95" i="46" s="1"/>
  <c r="M55" i="46" a="1"/>
  <c r="M55" i="46" s="1"/>
  <c r="M96" i="46" s="1"/>
  <c r="Q55" i="46" a="1"/>
  <c r="Q55" i="46" s="1"/>
  <c r="Q96" i="46" s="1"/>
  <c r="O57" i="46" a="1"/>
  <c r="O57" i="46" s="1"/>
  <c r="O97" i="46" s="1"/>
  <c r="O61" i="46" a="1"/>
  <c r="O61" i="46" s="1"/>
  <c r="O98" i="46" s="1"/>
  <c r="M67" i="46" a="1"/>
  <c r="M67" i="46" s="1"/>
  <c r="M99" i="46" s="1"/>
  <c r="Q67" i="46" a="1"/>
  <c r="Q67" i="46" s="1"/>
  <c r="Q99" i="46" s="1"/>
  <c r="P44" i="46" a="1"/>
  <c r="P44" i="46" s="1"/>
  <c r="P94" i="46" s="1"/>
  <c r="M47" i="46" a="1"/>
  <c r="M47" i="46" s="1"/>
  <c r="M95" i="46" s="1"/>
  <c r="M44" i="46" a="1"/>
  <c r="M44" i="46" s="1"/>
  <c r="M94" i="46" s="1"/>
  <c r="J494" i="28" s="1"/>
  <c r="Q44" i="46" a="1"/>
  <c r="Q44" i="46" s="1"/>
  <c r="Q94" i="46" s="1"/>
  <c r="N47" i="46" a="1"/>
  <c r="N47" i="46" s="1"/>
  <c r="N95" i="46" s="1"/>
  <c r="N55" i="46" a="1"/>
  <c r="N55" i="46" s="1"/>
  <c r="N96" i="46" s="1"/>
  <c r="P57" i="46" a="1"/>
  <c r="P57" i="46" s="1"/>
  <c r="P97" i="46" s="1"/>
  <c r="P61" i="46" a="1"/>
  <c r="P61" i="46" s="1"/>
  <c r="P98" i="46" s="1"/>
  <c r="N67" i="46" a="1"/>
  <c r="N67" i="46" s="1"/>
  <c r="N99" i="46" s="1"/>
  <c r="Q71" i="46" a="1"/>
  <c r="Q71" i="46" s="1"/>
  <c r="P73" i="46" a="1"/>
  <c r="P73" i="46" s="1"/>
  <c r="O71" i="46" a="1"/>
  <c r="O71" i="46" s="1"/>
  <c r="N73" i="46" a="1"/>
  <c r="N73" i="46" s="1"/>
  <c r="M71" i="46" a="1"/>
  <c r="M71" i="46" s="1"/>
  <c r="B108" i="46"/>
  <c r="S63" i="50" a="1"/>
  <c r="S63" i="50" s="1"/>
  <c r="M76" i="47" a="1"/>
  <c r="M76" i="47" s="1"/>
  <c r="O76" i="46" a="1"/>
  <c r="O76" i="46" s="1"/>
  <c r="P76" i="46" a="1"/>
  <c r="P76" i="46" s="1"/>
  <c r="Q76" i="46" a="1"/>
  <c r="Q76" i="46" s="1"/>
  <c r="M76" i="46" a="1"/>
  <c r="M76" i="46" s="1"/>
  <c r="N76" i="46" a="1"/>
  <c r="N76" i="46" s="1"/>
  <c r="S58" i="50" a="1"/>
  <c r="S58" i="50" s="1"/>
  <c r="R58" i="50" a="1"/>
  <c r="R58" i="50" s="1"/>
  <c r="S54" i="50" a="1"/>
  <c r="S54" i="50" s="1"/>
  <c r="R54" i="50" a="1"/>
  <c r="R54" i="50" s="1"/>
  <c r="R56" i="50" a="1"/>
  <c r="R56" i="50" s="1"/>
  <c r="R46" i="50" a="1"/>
  <c r="R46" i="50" s="1"/>
  <c r="R52" i="50" a="1"/>
  <c r="R52" i="50" s="1"/>
  <c r="S50" i="50" a="1"/>
  <c r="S50" i="50" s="1"/>
  <c r="R50" i="50" a="1"/>
  <c r="R50" i="50" s="1"/>
  <c r="S62" i="50" a="1"/>
  <c r="S62" i="50" s="1"/>
  <c r="R62" i="50" a="1"/>
  <c r="R62" i="50" s="1"/>
  <c r="S68" i="50" a="1"/>
  <c r="S68" i="50" s="1"/>
  <c r="R68" i="50" a="1"/>
  <c r="R68" i="50" s="1"/>
  <c r="R60" i="50" a="1"/>
  <c r="R60" i="50" s="1"/>
  <c r="R47" i="50" a="1"/>
  <c r="R47" i="50" s="1"/>
  <c r="S51" i="50" a="1"/>
  <c r="S51" i="50" s="1"/>
  <c r="R51" i="50" a="1"/>
  <c r="R51" i="50" s="1"/>
  <c r="R55" i="50" a="1"/>
  <c r="R55" i="50" s="1"/>
  <c r="R55" i="49" a="1"/>
  <c r="R55" i="49" s="1"/>
  <c r="R96" i="49" s="1"/>
  <c r="S53" i="49" a="1"/>
  <c r="S53" i="49" s="1"/>
  <c r="R53" i="49" a="1"/>
  <c r="R53" i="49" s="1"/>
  <c r="S51" i="49" a="1"/>
  <c r="S51" i="49" s="1"/>
  <c r="R51" i="49" a="1"/>
  <c r="R51" i="49" s="1"/>
  <c r="S59" i="49" a="1"/>
  <c r="S59" i="49" s="1"/>
  <c r="S69" i="49" a="1"/>
  <c r="S69" i="49" s="1"/>
  <c r="R69" i="49" a="1"/>
  <c r="R69" i="49" s="1"/>
  <c r="R67" i="49" a="1"/>
  <c r="R67" i="49" s="1"/>
  <c r="S68" i="48" a="1"/>
  <c r="S68" i="48" s="1"/>
  <c r="R68" i="48" a="1"/>
  <c r="R68" i="48" s="1"/>
  <c r="T52" i="48" a="1"/>
  <c r="T52" i="48" s="1"/>
  <c r="S52" i="48" a="1"/>
  <c r="S52" i="48" s="1"/>
  <c r="S70" i="48" a="1"/>
  <c r="S70" i="48" s="1"/>
  <c r="R70" i="48" a="1"/>
  <c r="R70" i="48" s="1"/>
  <c r="R74" i="46" a="1"/>
  <c r="R74" i="46" s="1"/>
  <c r="Q74" i="46" a="1"/>
  <c r="Q74" i="46" s="1"/>
  <c r="Q81" i="46" a="1"/>
  <c r="Q81" i="46" s="1"/>
  <c r="Q105" i="46" s="1"/>
  <c r="S59" i="50" a="1"/>
  <c r="S59" i="50" s="1"/>
  <c r="B120" i="46"/>
  <c r="B121" i="46" s="1"/>
  <c r="S49" i="50" a="1"/>
  <c r="S49" i="50" s="1"/>
  <c r="B74" i="59"/>
  <c r="E83" i="59"/>
  <c r="P83" i="59" s="1"/>
  <c r="D114" i="47"/>
  <c r="C120" i="49"/>
  <c r="D120" i="49" s="1"/>
  <c r="B68" i="59"/>
  <c r="M68" i="59" s="1"/>
  <c r="C74" i="59"/>
  <c r="F83" i="59"/>
  <c r="Q83" i="59" s="1"/>
  <c r="C121" i="48"/>
  <c r="D121" i="48" s="1"/>
  <c r="B62" i="59"/>
  <c r="C68" i="59"/>
  <c r="N68" i="59" s="1"/>
  <c r="D74" i="59"/>
  <c r="C62" i="59"/>
  <c r="D68" i="59"/>
  <c r="O68" i="59" s="1"/>
  <c r="E74" i="59"/>
  <c r="G119" i="49"/>
  <c r="F62" i="59"/>
  <c r="D83" i="59"/>
  <c r="O83" i="59" s="1"/>
  <c r="D62" i="59"/>
  <c r="E68" i="59"/>
  <c r="P68" i="59" s="1"/>
  <c r="F74" i="59"/>
  <c r="C83" i="59"/>
  <c r="N83" i="59" s="1"/>
  <c r="E62" i="59"/>
  <c r="F68" i="59"/>
  <c r="Q68" i="59" s="1"/>
  <c r="B83" i="59"/>
  <c r="M83" i="59" s="1"/>
  <c r="L124" i="52"/>
  <c r="S192" i="28" s="1"/>
  <c r="E120" i="46"/>
  <c r="B125" i="46"/>
  <c r="B126" i="46" s="1"/>
  <c r="C114" i="47"/>
  <c r="G120" i="48"/>
  <c r="F114" i="47"/>
  <c r="L138" i="54"/>
  <c r="S177" i="28" s="1"/>
  <c r="G125" i="48"/>
  <c r="G113" i="50"/>
  <c r="F120" i="46"/>
  <c r="F125" i="46"/>
  <c r="S50" i="49" a="1"/>
  <c r="S50" i="49" s="1"/>
  <c r="C120" i="46"/>
  <c r="E125" i="46"/>
  <c r="S46" i="49" a="1"/>
  <c r="S46" i="49" s="1"/>
  <c r="L128" i="52"/>
  <c r="K129" i="52"/>
  <c r="R89" i="46" a="1"/>
  <c r="R89" i="46" s="1"/>
  <c r="R79" i="46" a="1"/>
  <c r="R79" i="46" s="1"/>
  <c r="D125" i="46"/>
  <c r="C126" i="48"/>
  <c r="E114" i="47"/>
  <c r="D120" i="46"/>
  <c r="C125" i="46"/>
  <c r="B114" i="47"/>
  <c r="B115" i="47" s="1"/>
  <c r="B90" i="46"/>
  <c r="C114" i="50"/>
  <c r="D114" i="50" s="1"/>
  <c r="G90" i="50"/>
  <c r="G92" i="50" s="1"/>
  <c r="G90" i="49"/>
  <c r="G90" i="48"/>
  <c r="E90" i="47"/>
  <c r="B90" i="47"/>
  <c r="F90" i="47"/>
  <c r="C90" i="47"/>
  <c r="D90" i="47"/>
  <c r="F90" i="46"/>
  <c r="C90" i="46"/>
  <c r="D90" i="46"/>
  <c r="E90" i="46"/>
  <c r="T50" i="50" a="1"/>
  <c r="T50" i="50" s="1"/>
  <c r="R56" i="46" a="1"/>
  <c r="R56" i="46" s="1"/>
  <c r="S53" i="50" a="1"/>
  <c r="S53" i="50" s="1"/>
  <c r="T54" i="50" a="1"/>
  <c r="T54" i="50" s="1"/>
  <c r="R86" i="46" a="1"/>
  <c r="R86" i="46" s="1"/>
  <c r="R89" i="47" a="1"/>
  <c r="R89" i="47" s="1"/>
  <c r="R48" i="47" a="1"/>
  <c r="R48" i="47" s="1"/>
  <c r="R79" i="47" a="1"/>
  <c r="R79" i="47" s="1"/>
  <c r="E77" i="57"/>
  <c r="B83" i="57"/>
  <c r="J358" i="28" s="1"/>
  <c r="E89" i="57"/>
  <c r="B98" i="57"/>
  <c r="R62" i="47" a="1"/>
  <c r="R62" i="47" s="1"/>
  <c r="R83" i="47" a="1"/>
  <c r="R83" i="47" s="1"/>
  <c r="F89" i="57"/>
  <c r="C98" i="57"/>
  <c r="N188" i="57" s="1"/>
  <c r="R56" i="47" a="1"/>
  <c r="R56" i="47" s="1"/>
  <c r="D98" i="57"/>
  <c r="O188" i="57" s="1"/>
  <c r="R60" i="47" a="1"/>
  <c r="R60" i="47" s="1"/>
  <c r="R74" i="47" a="1"/>
  <c r="R74" i="47" s="1"/>
  <c r="R87" i="47" a="1"/>
  <c r="R87" i="47" s="1"/>
  <c r="T58" i="50" a="1"/>
  <c r="T58" i="50" s="1"/>
  <c r="R54" i="47" a="1"/>
  <c r="R54" i="47" s="1"/>
  <c r="R75" i="47" a="1"/>
  <c r="R75" i="47" s="1"/>
  <c r="S48" i="49" a="1"/>
  <c r="S48" i="49" s="1"/>
  <c r="F77" i="57"/>
  <c r="C83" i="57"/>
  <c r="K358" i="28" s="1"/>
  <c r="R46" i="47" a="1"/>
  <c r="R46" i="47" s="1"/>
  <c r="D83" i="57"/>
  <c r="L358" i="28" s="1"/>
  <c r="B77" i="57"/>
  <c r="E83" i="57"/>
  <c r="M358" i="28" s="1"/>
  <c r="B89" i="57"/>
  <c r="E98" i="57"/>
  <c r="P188" i="57" s="1"/>
  <c r="C77" i="57"/>
  <c r="F83" i="57"/>
  <c r="N358" i="28" s="1"/>
  <c r="C89" i="57"/>
  <c r="F98" i="57"/>
  <c r="Q188" i="57" s="1"/>
  <c r="R52" i="47" a="1"/>
  <c r="R52" i="47" s="1"/>
  <c r="S63" i="49" a="1"/>
  <c r="S63" i="49" s="1"/>
  <c r="S74" i="50" a="1"/>
  <c r="S74" i="50" s="1"/>
  <c r="D77" i="57"/>
  <c r="D89" i="57"/>
  <c r="R50" i="47" a="1"/>
  <c r="R50" i="47" s="1"/>
  <c r="R66" i="47" a="1"/>
  <c r="R66" i="47" s="1"/>
  <c r="S65" i="49" a="1"/>
  <c r="S65" i="49" s="1"/>
  <c r="S45" i="50" a="1"/>
  <c r="S45" i="50" s="1"/>
  <c r="S77" i="50" a="1"/>
  <c r="S77" i="50" s="1"/>
  <c r="S69" i="50" a="1"/>
  <c r="S69" i="50" s="1"/>
  <c r="T68" i="50" a="1"/>
  <c r="T68" i="50" s="1"/>
  <c r="S83" i="50" a="1"/>
  <c r="S83" i="50" s="1"/>
  <c r="S75" i="50" a="1"/>
  <c r="S75" i="50" s="1"/>
  <c r="S89" i="50" a="1"/>
  <c r="S89" i="50" s="1"/>
  <c r="S76" i="50" a="1"/>
  <c r="S76" i="50" s="1"/>
  <c r="S65" i="50" a="1"/>
  <c r="S65" i="50" s="1"/>
  <c r="T51" i="50" a="1"/>
  <c r="T51" i="50" s="1"/>
  <c r="S82" i="50" a="1"/>
  <c r="S82" i="50" s="1"/>
  <c r="S84" i="50" a="1"/>
  <c r="S84" i="50" s="1"/>
  <c r="S80" i="50" a="1"/>
  <c r="S80" i="50" s="1"/>
  <c r="S86" i="50" a="1"/>
  <c r="S86" i="50" s="1"/>
  <c r="T49" i="50" a="1"/>
  <c r="T49" i="50" s="1"/>
  <c r="T63" i="50" a="1"/>
  <c r="T63" i="50" s="1"/>
  <c r="S87" i="50" a="1"/>
  <c r="S87" i="50" s="1"/>
  <c r="S79" i="50" a="1"/>
  <c r="S79" i="50" s="1"/>
  <c r="S79" i="49" a="1"/>
  <c r="S79" i="49" s="1"/>
  <c r="S68" i="49" a="1"/>
  <c r="S68" i="49" s="1"/>
  <c r="S88" i="49" a="1"/>
  <c r="S88" i="49" s="1"/>
  <c r="S80" i="49" a="1"/>
  <c r="S80" i="49" s="1"/>
  <c r="S56" i="49" a="1"/>
  <c r="S56" i="49" s="1"/>
  <c r="T51" i="49" a="1"/>
  <c r="T51" i="49" s="1"/>
  <c r="S82" i="49" a="1"/>
  <c r="S82" i="49" s="1"/>
  <c r="S85" i="49" a="1"/>
  <c r="S85" i="49" s="1"/>
  <c r="S77" i="49" a="1"/>
  <c r="S77" i="49" s="1"/>
  <c r="S72" i="49" a="1"/>
  <c r="S72" i="49" s="1"/>
  <c r="S66" i="49" a="1"/>
  <c r="S66" i="49" s="1"/>
  <c r="S62" i="49" a="1"/>
  <c r="S62" i="49" s="1"/>
  <c r="S54" i="49" a="1"/>
  <c r="S54" i="49" s="1"/>
  <c r="S86" i="49" a="1"/>
  <c r="S86" i="49" s="1"/>
  <c r="S87" i="49" a="1"/>
  <c r="S87" i="49" s="1"/>
  <c r="S74" i="49" a="1"/>
  <c r="S74" i="49" s="1"/>
  <c r="S64" i="49" a="1"/>
  <c r="S64" i="49" s="1"/>
  <c r="S83" i="49" a="1"/>
  <c r="S83" i="49" s="1"/>
  <c r="S75" i="49" a="1"/>
  <c r="S75" i="49" s="1"/>
  <c r="S84" i="49" a="1"/>
  <c r="S84" i="49" s="1"/>
  <c r="S60" i="49" a="1"/>
  <c r="S60" i="49" s="1"/>
  <c r="S52" i="49" a="1"/>
  <c r="S52" i="49" s="1"/>
  <c r="S45" i="49" a="1"/>
  <c r="S45" i="49" s="1"/>
  <c r="T69" i="49" a="1"/>
  <c r="T69" i="49" s="1"/>
  <c r="S49" i="49" a="1"/>
  <c r="S49" i="49" s="1"/>
  <c r="S89" i="49" a="1"/>
  <c r="S89" i="49" s="1"/>
  <c r="S81" i="49" a="1"/>
  <c r="S81" i="49" s="1"/>
  <c r="S58" i="49" a="1"/>
  <c r="S58" i="49" s="1"/>
  <c r="T53" i="49" a="1"/>
  <c r="T53" i="49" s="1"/>
  <c r="S78" i="49" a="1"/>
  <c r="S78" i="49" s="1"/>
  <c r="S49" i="48" a="1"/>
  <c r="S49" i="48" s="1"/>
  <c r="S74" i="48" a="1"/>
  <c r="S74" i="48" s="1"/>
  <c r="S45" i="48" a="1"/>
  <c r="S45" i="48" s="1"/>
  <c r="S72" i="48" a="1"/>
  <c r="S72" i="48" s="1"/>
  <c r="S77" i="48" a="1"/>
  <c r="S77" i="48" s="1"/>
  <c r="S53" i="48" a="1"/>
  <c r="S53" i="48" s="1"/>
  <c r="S86" i="48" a="1"/>
  <c r="S86" i="48" s="1"/>
  <c r="S51" i="48" a="1"/>
  <c r="S51" i="48" s="1"/>
  <c r="S64" i="48" a="1"/>
  <c r="S64" i="48" s="1"/>
  <c r="U52" i="48" a="1"/>
  <c r="U52" i="48" s="1"/>
  <c r="S83" i="48" a="1"/>
  <c r="S83" i="48" s="1"/>
  <c r="S75" i="48" a="1"/>
  <c r="S75" i="48" s="1"/>
  <c r="S84" i="48" a="1"/>
  <c r="S84" i="48" s="1"/>
  <c r="S76" i="48" a="1"/>
  <c r="S76" i="48" s="1"/>
  <c r="S59" i="48" a="1"/>
  <c r="S59" i="48" s="1"/>
  <c r="S65" i="48" a="1"/>
  <c r="S65" i="48" s="1"/>
  <c r="S60" i="48" a="1"/>
  <c r="S60" i="48" s="1"/>
  <c r="S56" i="48" a="1"/>
  <c r="S56" i="48" s="1"/>
  <c r="S69" i="48" a="1"/>
  <c r="S69" i="48" s="1"/>
  <c r="S48" i="48" a="1"/>
  <c r="S48" i="48" s="1"/>
  <c r="S89" i="48" a="1"/>
  <c r="S89" i="48" s="1"/>
  <c r="S62" i="48" a="1"/>
  <c r="S62" i="48" s="1"/>
  <c r="S82" i="48" a="1"/>
  <c r="S82" i="48" s="1"/>
  <c r="S87" i="48" a="1"/>
  <c r="S87" i="48" s="1"/>
  <c r="S79" i="48" a="1"/>
  <c r="S79" i="48" s="1"/>
  <c r="S80" i="48" a="1"/>
  <c r="S80" i="48" s="1"/>
  <c r="S63" i="48" a="1"/>
  <c r="S63" i="48" s="1"/>
  <c r="S58" i="48" a="1"/>
  <c r="S58" i="48" s="1"/>
  <c r="S54" i="48" a="1"/>
  <c r="S54" i="48" s="1"/>
  <c r="S50" i="48" a="1"/>
  <c r="S50" i="48" s="1"/>
  <c r="S46" i="48" a="1"/>
  <c r="S46" i="48" s="1"/>
  <c r="T68" i="48" a="1"/>
  <c r="T68" i="48" s="1"/>
  <c r="R77" i="47" a="1"/>
  <c r="R77" i="47" s="1"/>
  <c r="R45" i="47" a="1"/>
  <c r="R45" i="47" s="1"/>
  <c r="R70" i="47" a="1"/>
  <c r="R70" i="47" s="1"/>
  <c r="R59" i="47" a="1"/>
  <c r="R59" i="47" s="1"/>
  <c r="R49" i="47" a="1"/>
  <c r="R49" i="47" s="1"/>
  <c r="R53" i="47" a="1"/>
  <c r="R53" i="47" s="1"/>
  <c r="R51" i="47" a="1"/>
  <c r="R51" i="47" s="1"/>
  <c r="R72" i="47" a="1"/>
  <c r="R72" i="47" s="1"/>
  <c r="R80" i="47" a="1"/>
  <c r="R80" i="47" s="1"/>
  <c r="R63" i="47" a="1"/>
  <c r="R63" i="47" s="1"/>
  <c r="R65" i="47" a="1"/>
  <c r="R65" i="47" s="1"/>
  <c r="R68" i="47" a="1"/>
  <c r="R68" i="47" s="1"/>
  <c r="R69" i="47" a="1"/>
  <c r="R69" i="47" s="1"/>
  <c r="R82" i="47" a="1"/>
  <c r="R82" i="47" s="1"/>
  <c r="R86" i="47" a="1"/>
  <c r="R86" i="47" s="1"/>
  <c r="R76" i="47" a="1"/>
  <c r="R76" i="47" s="1"/>
  <c r="R84" i="47" a="1"/>
  <c r="R84" i="47" s="1"/>
  <c r="R83" i="46" a="1"/>
  <c r="R83" i="46" s="1"/>
  <c r="R84" i="46" a="1"/>
  <c r="R84" i="46" s="1"/>
  <c r="R80" i="46" a="1"/>
  <c r="R80" i="46" s="1"/>
  <c r="R72" i="46" a="1"/>
  <c r="R72" i="46" s="1"/>
  <c r="R45" i="46" a="1"/>
  <c r="R45" i="46" s="1"/>
  <c r="R49" i="46" a="1"/>
  <c r="R49" i="46" s="1"/>
  <c r="R51" i="46" a="1"/>
  <c r="R51" i="46" s="1"/>
  <c r="G96" i="46"/>
  <c r="R48" i="46" a="1"/>
  <c r="R48" i="46" s="1"/>
  <c r="R46" i="46" a="1"/>
  <c r="R46" i="46" s="1"/>
  <c r="R50" i="46" a="1"/>
  <c r="R50" i="46" s="1"/>
  <c r="R52" i="46" a="1"/>
  <c r="R52" i="46" s="1"/>
  <c r="R54" i="46" a="1"/>
  <c r="R54" i="46" s="1"/>
  <c r="R58" i="46" a="1"/>
  <c r="R58" i="46" s="1"/>
  <c r="R60" i="46" a="1"/>
  <c r="R60" i="46" s="1"/>
  <c r="R62" i="46" a="1"/>
  <c r="R62" i="46" s="1"/>
  <c r="R64" i="46" a="1"/>
  <c r="R64" i="46" s="1"/>
  <c r="R66" i="46" a="1"/>
  <c r="R66" i="46" s="1"/>
  <c r="R68" i="46" a="1"/>
  <c r="R68" i="46" s="1"/>
  <c r="R70" i="46" a="1"/>
  <c r="R70" i="46" s="1"/>
  <c r="R59" i="46" a="1"/>
  <c r="R59" i="46" s="1"/>
  <c r="R63" i="46" a="1"/>
  <c r="R63" i="46" s="1"/>
  <c r="R65" i="46" a="1"/>
  <c r="R65" i="46" s="1"/>
  <c r="R69" i="46" a="1"/>
  <c r="R69" i="46" s="1"/>
  <c r="L448" i="28" l="1"/>
  <c r="J478" i="28"/>
  <c r="J496" i="28"/>
  <c r="N450" i="28"/>
  <c r="L451" i="28"/>
  <c r="K452" i="28"/>
  <c r="N448" i="28"/>
  <c r="K496" i="28"/>
  <c r="O179" i="57"/>
  <c r="L359" i="28"/>
  <c r="N179" i="57"/>
  <c r="K359" i="28"/>
  <c r="M179" i="57"/>
  <c r="J359" i="28"/>
  <c r="Q179" i="57"/>
  <c r="N359" i="28"/>
  <c r="P179" i="57"/>
  <c r="M359" i="28"/>
  <c r="L496" i="28"/>
  <c r="M496" i="28"/>
  <c r="N496" i="28"/>
  <c r="N494" i="28"/>
  <c r="N449" i="28"/>
  <c r="N483" i="28"/>
  <c r="M478" i="28"/>
  <c r="M481" i="28"/>
  <c r="L478" i="28"/>
  <c r="L494" i="28"/>
  <c r="C122" i="48"/>
  <c r="K466" i="28"/>
  <c r="K497" i="28"/>
  <c r="J448" i="28"/>
  <c r="J479" i="28"/>
  <c r="M448" i="28"/>
  <c r="M479" i="28"/>
  <c r="K450" i="28"/>
  <c r="K481" i="28"/>
  <c r="K464" i="28"/>
  <c r="K495" i="28"/>
  <c r="K494" i="28"/>
  <c r="K449" i="28"/>
  <c r="K480" i="28"/>
  <c r="N464" i="28"/>
  <c r="N495" i="28"/>
  <c r="M464" i="28"/>
  <c r="M495" i="28"/>
  <c r="K448" i="28"/>
  <c r="K479" i="28"/>
  <c r="M450" i="28"/>
  <c r="J464" i="28"/>
  <c r="J495" i="28"/>
  <c r="L464" i="28"/>
  <c r="L495" i="28"/>
  <c r="L452" i="28"/>
  <c r="L483" i="28"/>
  <c r="M494" i="28"/>
  <c r="L468" i="28"/>
  <c r="L499" i="28"/>
  <c r="L482" i="28"/>
  <c r="N479" i="28"/>
  <c r="N468" i="28"/>
  <c r="N499" i="28"/>
  <c r="N467" i="28"/>
  <c r="N498" i="28"/>
  <c r="J452" i="28"/>
  <c r="J483" i="28"/>
  <c r="M452" i="28"/>
  <c r="M483" i="28"/>
  <c r="L450" i="28"/>
  <c r="L481" i="28"/>
  <c r="K468" i="28"/>
  <c r="K499" i="28"/>
  <c r="J468" i="28"/>
  <c r="J499" i="28"/>
  <c r="J467" i="28"/>
  <c r="J498" i="28"/>
  <c r="J451" i="28"/>
  <c r="J482" i="28"/>
  <c r="M451" i="28"/>
  <c r="M482" i="28"/>
  <c r="L449" i="28"/>
  <c r="L480" i="28"/>
  <c r="N451" i="28"/>
  <c r="N482" i="28"/>
  <c r="M467" i="28"/>
  <c r="M498" i="28"/>
  <c r="L467" i="28"/>
  <c r="L498" i="28"/>
  <c r="M468" i="28"/>
  <c r="M499" i="28"/>
  <c r="N466" i="28"/>
  <c r="N497" i="28"/>
  <c r="J450" i="28"/>
  <c r="J481" i="28"/>
  <c r="L479" i="28"/>
  <c r="K483" i="28"/>
  <c r="N481" i="28"/>
  <c r="M466" i="28"/>
  <c r="M497" i="28"/>
  <c r="L466" i="28"/>
  <c r="L497" i="28"/>
  <c r="K467" i="28"/>
  <c r="K498" i="28"/>
  <c r="J466" i="28"/>
  <c r="J497" i="28"/>
  <c r="J449" i="28"/>
  <c r="J480" i="28"/>
  <c r="M449" i="28"/>
  <c r="M480" i="28"/>
  <c r="K451" i="28"/>
  <c r="K482" i="28"/>
  <c r="G96" i="47"/>
  <c r="O449" i="28" s="1"/>
  <c r="P114" i="48"/>
  <c r="P116" i="48" s="1"/>
  <c r="L465" i="28"/>
  <c r="S56" i="47" a="1"/>
  <c r="S56" i="47" s="1"/>
  <c r="P114" i="49"/>
  <c r="Q114" i="48"/>
  <c r="Q116" i="48" s="1"/>
  <c r="N114" i="48"/>
  <c r="N116" i="48" s="1"/>
  <c r="J465" i="28"/>
  <c r="M114" i="49"/>
  <c r="O114" i="48"/>
  <c r="O116" i="48" s="1"/>
  <c r="K465" i="28"/>
  <c r="Q114" i="49"/>
  <c r="Q116" i="49" s="1"/>
  <c r="N114" i="49"/>
  <c r="N116" i="49" s="1"/>
  <c r="N465" i="28"/>
  <c r="M465" i="28"/>
  <c r="O114" i="49"/>
  <c r="O116" i="49" s="1"/>
  <c r="M114" i="48"/>
  <c r="M116" i="48" s="1"/>
  <c r="M62" i="59"/>
  <c r="M74" i="59"/>
  <c r="Q74" i="59"/>
  <c r="Q62" i="59"/>
  <c r="N62" i="59"/>
  <c r="O74" i="59"/>
  <c r="P62" i="59"/>
  <c r="O62" i="59"/>
  <c r="P74" i="59"/>
  <c r="N74" i="59"/>
  <c r="P108" i="47"/>
  <c r="M116" i="49"/>
  <c r="P116" i="49"/>
  <c r="H99" i="48"/>
  <c r="G103" i="46"/>
  <c r="H94" i="50"/>
  <c r="G94" i="46"/>
  <c r="G99" i="47"/>
  <c r="G94" i="47"/>
  <c r="S89" i="46" a="1"/>
  <c r="S89" i="46" s="1"/>
  <c r="G103" i="47"/>
  <c r="H97" i="50"/>
  <c r="R108" i="50"/>
  <c r="T59" i="49" a="1"/>
  <c r="T59" i="49" s="1"/>
  <c r="R99" i="49"/>
  <c r="S81" i="46" a="1"/>
  <c r="S81" i="46" s="1"/>
  <c r="R85" i="47" a="1"/>
  <c r="R85" i="47" s="1"/>
  <c r="R106" i="47" s="1"/>
  <c r="G106" i="47"/>
  <c r="S81" i="48" a="1"/>
  <c r="S81" i="48" s="1"/>
  <c r="S105" i="48" s="1"/>
  <c r="H105" i="48"/>
  <c r="H98" i="48"/>
  <c r="H95" i="49"/>
  <c r="H103" i="50"/>
  <c r="R88" i="47" a="1"/>
  <c r="R88" i="47" s="1"/>
  <c r="R107" i="47" s="1"/>
  <c r="G107" i="47"/>
  <c r="H94" i="48"/>
  <c r="S85" i="48" a="1"/>
  <c r="S85" i="48" s="1"/>
  <c r="S106" i="48" s="1"/>
  <c r="H106" i="48"/>
  <c r="S70" i="49" a="1"/>
  <c r="S70" i="49" s="1"/>
  <c r="S107" i="49" s="1"/>
  <c r="H107" i="49"/>
  <c r="S81" i="50" a="1"/>
  <c r="S81" i="50" s="1"/>
  <c r="S105" i="50" s="1"/>
  <c r="H105" i="50"/>
  <c r="G99" i="46"/>
  <c r="G97" i="47"/>
  <c r="S78" i="48" a="1"/>
  <c r="S78" i="48" s="1"/>
  <c r="H104" i="48"/>
  <c r="S41" i="49" a="1"/>
  <c r="S41" i="49" s="1"/>
  <c r="H100" i="49"/>
  <c r="H96" i="48"/>
  <c r="H97" i="48"/>
  <c r="H97" i="49"/>
  <c r="G97" i="46"/>
  <c r="R41" i="46" a="1"/>
  <c r="R41" i="46" s="1"/>
  <c r="G100" i="46"/>
  <c r="G98" i="47"/>
  <c r="S88" i="48" a="1"/>
  <c r="S88" i="48" s="1"/>
  <c r="S107" i="48" s="1"/>
  <c r="H107" i="48"/>
  <c r="H95" i="48"/>
  <c r="N173" i="57"/>
  <c r="H94" i="49"/>
  <c r="H103" i="49"/>
  <c r="R78" i="47" a="1"/>
  <c r="R78" i="47" s="1"/>
  <c r="R104" i="47" s="1"/>
  <c r="G104" i="47"/>
  <c r="S85" i="50" a="1"/>
  <c r="S85" i="50" s="1"/>
  <c r="S106" i="50" s="1"/>
  <c r="H106" i="50"/>
  <c r="R78" i="46" a="1"/>
  <c r="R78" i="46" s="1"/>
  <c r="R104" i="46" s="1"/>
  <c r="G104" i="46"/>
  <c r="G95" i="47"/>
  <c r="P173" i="57"/>
  <c r="G105" i="47"/>
  <c r="H99" i="50"/>
  <c r="S41" i="48" a="1"/>
  <c r="S41" i="48" s="1"/>
  <c r="H100" i="48"/>
  <c r="Q173" i="57"/>
  <c r="H96" i="49"/>
  <c r="S41" i="50" a="1"/>
  <c r="S41" i="50" s="1"/>
  <c r="H100" i="50"/>
  <c r="S78" i="50" a="1"/>
  <c r="S78" i="50" s="1"/>
  <c r="S104" i="50" s="1"/>
  <c r="H104" i="50"/>
  <c r="S71" i="50" a="1"/>
  <c r="S71" i="50" s="1"/>
  <c r="H108" i="50"/>
  <c r="R81" i="46" a="1"/>
  <c r="R81" i="46" s="1"/>
  <c r="G105" i="46"/>
  <c r="H99" i="49"/>
  <c r="R96" i="50"/>
  <c r="G108" i="46"/>
  <c r="H108" i="49"/>
  <c r="H96" i="50"/>
  <c r="H98" i="49"/>
  <c r="R85" i="46" a="1"/>
  <c r="R85" i="46" s="1"/>
  <c r="G106" i="46"/>
  <c r="H98" i="50"/>
  <c r="O108" i="47"/>
  <c r="R88" i="46" a="1"/>
  <c r="R88" i="46" s="1"/>
  <c r="R107" i="46" s="1"/>
  <c r="G107" i="46"/>
  <c r="G108" i="47"/>
  <c r="H108" i="48"/>
  <c r="H95" i="50"/>
  <c r="G98" i="46"/>
  <c r="G95" i="46"/>
  <c r="H103" i="48"/>
  <c r="S88" i="50" a="1"/>
  <c r="S88" i="50" s="1"/>
  <c r="S107" i="50" s="1"/>
  <c r="H107" i="50"/>
  <c r="O173" i="57"/>
  <c r="G100" i="47"/>
  <c r="R95" i="50"/>
  <c r="R108" i="48"/>
  <c r="R115" i="48" s="1"/>
  <c r="R108" i="49"/>
  <c r="R115" i="49" s="1"/>
  <c r="O108" i="46"/>
  <c r="O115" i="46" s="1"/>
  <c r="R100" i="50"/>
  <c r="M108" i="46"/>
  <c r="M115" i="46" s="1"/>
  <c r="Q108" i="46"/>
  <c r="Q115" i="46" s="1"/>
  <c r="P108" i="46"/>
  <c r="P115" i="46" s="1"/>
  <c r="N108" i="47"/>
  <c r="M100" i="47"/>
  <c r="N100" i="46"/>
  <c r="R90" i="49"/>
  <c r="M100" i="46"/>
  <c r="R90" i="50"/>
  <c r="N103" i="46"/>
  <c r="M103" i="46"/>
  <c r="Q103" i="46"/>
  <c r="M103" i="47"/>
  <c r="Q108" i="47"/>
  <c r="R99" i="48"/>
  <c r="R95" i="49"/>
  <c r="R99" i="50"/>
  <c r="R98" i="50"/>
  <c r="O100" i="46"/>
  <c r="P100" i="46"/>
  <c r="R100" i="49"/>
  <c r="O100" i="47"/>
  <c r="S104" i="48"/>
  <c r="N108" i="46"/>
  <c r="N115" i="46" s="1"/>
  <c r="R94" i="50"/>
  <c r="P100" i="47"/>
  <c r="P103" i="46"/>
  <c r="O103" i="46"/>
  <c r="M108" i="47"/>
  <c r="R97" i="50"/>
  <c r="Q100" i="47"/>
  <c r="R100" i="48"/>
  <c r="Q100" i="46"/>
  <c r="N100" i="47"/>
  <c r="X83" i="57" a="1"/>
  <c r="X83" i="57" s="1"/>
  <c r="M173" i="57"/>
  <c r="X98" i="57" a="1"/>
  <c r="X98" i="57" s="1"/>
  <c r="M188" i="57"/>
  <c r="S44" i="50" a="1"/>
  <c r="S44" i="50" s="1"/>
  <c r="S67" i="50" a="1"/>
  <c r="S67" i="50" s="1"/>
  <c r="T55" i="50" a="1"/>
  <c r="T55" i="50" s="1"/>
  <c r="S73" i="50" a="1"/>
  <c r="S73" i="50" s="1"/>
  <c r="S103" i="50" s="1"/>
  <c r="T47" i="50" a="1"/>
  <c r="T47" i="50" s="1"/>
  <c r="S56" i="50" a="1"/>
  <c r="S56" i="50" s="1"/>
  <c r="S72" i="50" a="1"/>
  <c r="S72" i="50" s="1"/>
  <c r="S55" i="50" a="1"/>
  <c r="S55" i="50" s="1"/>
  <c r="S47" i="50" a="1"/>
  <c r="S47" i="50" s="1"/>
  <c r="S61" i="49" a="1"/>
  <c r="S61" i="49" s="1"/>
  <c r="S98" i="49" s="1"/>
  <c r="S47" i="49" a="1"/>
  <c r="S47" i="49" s="1"/>
  <c r="S95" i="49" s="1"/>
  <c r="S67" i="49" a="1"/>
  <c r="S67" i="49" s="1"/>
  <c r="S73" i="49" a="1"/>
  <c r="S73" i="49" s="1"/>
  <c r="S103" i="49" s="1"/>
  <c r="T55" i="49" a="1"/>
  <c r="T55" i="49" s="1"/>
  <c r="T67" i="49" a="1"/>
  <c r="T67" i="49" s="1"/>
  <c r="T73" i="49" a="1"/>
  <c r="T73" i="49" s="1"/>
  <c r="S71" i="49" a="1"/>
  <c r="S71" i="49" s="1"/>
  <c r="S55" i="49" a="1"/>
  <c r="S55" i="49" s="1"/>
  <c r="S96" i="49" s="1"/>
  <c r="S44" i="49" a="1"/>
  <c r="S44" i="49" s="1"/>
  <c r="S94" i="49" s="1"/>
  <c r="R90" i="48"/>
  <c r="S55" i="48" a="1"/>
  <c r="S55" i="48" s="1"/>
  <c r="S96" i="48" s="1"/>
  <c r="S44" i="48" a="1"/>
  <c r="S44" i="48" s="1"/>
  <c r="S94" i="48" s="1"/>
  <c r="S57" i="48" a="1"/>
  <c r="S57" i="48" s="1"/>
  <c r="S97" i="48" s="1"/>
  <c r="S47" i="48" a="1"/>
  <c r="S47" i="48" s="1"/>
  <c r="S95" i="48" s="1"/>
  <c r="S67" i="48" a="1"/>
  <c r="S67" i="48" s="1"/>
  <c r="S99" i="48" s="1"/>
  <c r="S73" i="48" a="1"/>
  <c r="S73" i="48" s="1"/>
  <c r="S103" i="48" s="1"/>
  <c r="S71" i="48" a="1"/>
  <c r="S71" i="48" s="1"/>
  <c r="S61" i="48" a="1"/>
  <c r="S61" i="48" s="1"/>
  <c r="R73" i="47" a="1"/>
  <c r="R73" i="47" s="1"/>
  <c r="R103" i="47" s="1"/>
  <c r="R55" i="47" a="1"/>
  <c r="R55" i="47" s="1"/>
  <c r="R96" i="47" s="1"/>
  <c r="R47" i="47" a="1"/>
  <c r="R47" i="47" s="1"/>
  <c r="R95" i="47" s="1"/>
  <c r="R67" i="47" a="1"/>
  <c r="R67" i="47" s="1"/>
  <c r="R99" i="47" s="1"/>
  <c r="R61" i="47" a="1"/>
  <c r="R61" i="47" s="1"/>
  <c r="R71" i="47" a="1"/>
  <c r="R71" i="47" s="1"/>
  <c r="R57" i="47" a="1"/>
  <c r="R57" i="47" s="1"/>
  <c r="Q90" i="47"/>
  <c r="P90" i="47"/>
  <c r="O90" i="47"/>
  <c r="N90" i="47"/>
  <c r="M90" i="47"/>
  <c r="R57" i="46" a="1"/>
  <c r="R57" i="46" s="1"/>
  <c r="R97" i="46" s="1"/>
  <c r="M90" i="46"/>
  <c r="R61" i="46" a="1"/>
  <c r="R61" i="46" s="1"/>
  <c r="R98" i="46" s="1"/>
  <c r="R55" i="46" a="1"/>
  <c r="R55" i="46" s="1"/>
  <c r="R96" i="46" s="1"/>
  <c r="R47" i="46" a="1"/>
  <c r="R47" i="46" s="1"/>
  <c r="R67" i="46" a="1"/>
  <c r="R67" i="46" s="1"/>
  <c r="R99" i="46" s="1"/>
  <c r="S71" i="46" a="1"/>
  <c r="S71" i="46" s="1"/>
  <c r="Q90" i="46"/>
  <c r="P90" i="46"/>
  <c r="R73" i="46" a="1"/>
  <c r="R73" i="46" s="1"/>
  <c r="R71" i="46" a="1"/>
  <c r="R71" i="46" s="1"/>
  <c r="N90" i="46"/>
  <c r="O90" i="46"/>
  <c r="I96" i="50"/>
  <c r="T62" i="50" a="1"/>
  <c r="T62" i="50" s="1"/>
  <c r="R76" i="46" a="1"/>
  <c r="R76" i="46" s="1"/>
  <c r="S46" i="50" a="1"/>
  <c r="S46" i="50" s="1"/>
  <c r="U54" i="50" a="1"/>
  <c r="U54" i="50" s="1"/>
  <c r="S61" i="50" a="1"/>
  <c r="S61" i="50" s="1"/>
  <c r="S57" i="50" a="1"/>
  <c r="S57" i="50" s="1"/>
  <c r="T64" i="50" a="1"/>
  <c r="T64" i="50" s="1"/>
  <c r="S64" i="50" a="1"/>
  <c r="S64" i="50" s="1"/>
  <c r="S70" i="50" a="1"/>
  <c r="S70" i="50" s="1"/>
  <c r="T59" i="50" a="1"/>
  <c r="T59" i="50" s="1"/>
  <c r="S48" i="50" a="1"/>
  <c r="S48" i="50" s="1"/>
  <c r="T66" i="50" a="1"/>
  <c r="T66" i="50" s="1"/>
  <c r="S66" i="50" a="1"/>
  <c r="S66" i="50" s="1"/>
  <c r="S60" i="50" a="1"/>
  <c r="S60" i="50" s="1"/>
  <c r="S52" i="50" a="1"/>
  <c r="S52" i="50" s="1"/>
  <c r="S57" i="49" a="1"/>
  <c r="S57" i="49" s="1"/>
  <c r="S97" i="49" s="1"/>
  <c r="S66" i="48" a="1"/>
  <c r="S66" i="48" s="1"/>
  <c r="U70" i="48" a="1"/>
  <c r="U70" i="48" s="1"/>
  <c r="T70" i="48" a="1"/>
  <c r="T70" i="48" s="1"/>
  <c r="R81" i="47" a="1"/>
  <c r="R81" i="47" s="1"/>
  <c r="R105" i="47" s="1"/>
  <c r="R41" i="47" a="1"/>
  <c r="R41" i="47" s="1"/>
  <c r="T89" i="47" a="1"/>
  <c r="T89" i="47" s="1"/>
  <c r="S89" i="47" a="1"/>
  <c r="S89" i="47" s="1"/>
  <c r="S64" i="47" a="1"/>
  <c r="S64" i="47" s="1"/>
  <c r="R64" i="47" a="1"/>
  <c r="R64" i="47" s="1"/>
  <c r="R58" i="47" a="1"/>
  <c r="R58" i="47" s="1"/>
  <c r="R44" i="47" a="1"/>
  <c r="R44" i="47" s="1"/>
  <c r="R94" i="47" s="1"/>
  <c r="S66" i="47" a="1"/>
  <c r="S66" i="47" s="1"/>
  <c r="S53" i="46" a="1"/>
  <c r="S53" i="46" s="1"/>
  <c r="R53" i="46" a="1"/>
  <c r="R53" i="46" s="1"/>
  <c r="S77" i="46" a="1"/>
  <c r="S77" i="46" s="1"/>
  <c r="R77" i="46" a="1"/>
  <c r="R77" i="46" s="1"/>
  <c r="S87" i="46" a="1"/>
  <c r="S87" i="46" s="1"/>
  <c r="R87" i="46" a="1"/>
  <c r="R87" i="46" s="1"/>
  <c r="R44" i="46" a="1"/>
  <c r="R44" i="46" s="1"/>
  <c r="R94" i="46" s="1"/>
  <c r="T74" i="46" a="1"/>
  <c r="T74" i="46" s="1"/>
  <c r="S74" i="46" a="1"/>
  <c r="S74" i="46" s="1"/>
  <c r="S75" i="46" a="1"/>
  <c r="S75" i="46" s="1"/>
  <c r="R75" i="46" a="1"/>
  <c r="R75" i="46" s="1"/>
  <c r="S82" i="46" a="1"/>
  <c r="S82" i="46" s="1"/>
  <c r="R82" i="46" a="1"/>
  <c r="R82" i="46" s="1"/>
  <c r="U50" i="50" a="1"/>
  <c r="U50" i="50" s="1"/>
  <c r="T53" i="50" a="1"/>
  <c r="T53" i="50" s="1"/>
  <c r="S79" i="46" a="1"/>
  <c r="S79" i="46" s="1"/>
  <c r="S62" i="47" a="1"/>
  <c r="S62" i="47" s="1"/>
  <c r="T48" i="49" a="1"/>
  <c r="T48" i="49" s="1"/>
  <c r="C121" i="49"/>
  <c r="T46" i="49" a="1"/>
  <c r="T46" i="49" s="1"/>
  <c r="T63" i="49" a="1"/>
  <c r="T63" i="49" s="1"/>
  <c r="T50" i="49" a="1"/>
  <c r="T50" i="49" s="1"/>
  <c r="S83" i="47" a="1"/>
  <c r="S83" i="47" s="1"/>
  <c r="S86" i="46" a="1"/>
  <c r="S86" i="46" s="1"/>
  <c r="G68" i="59"/>
  <c r="R68" i="59" s="1"/>
  <c r="G62" i="59"/>
  <c r="G89" i="57"/>
  <c r="O359" i="28" s="1"/>
  <c r="G74" i="59"/>
  <c r="H113" i="50"/>
  <c r="G83" i="59"/>
  <c r="R83" i="59" s="1"/>
  <c r="S56" i="46" a="1"/>
  <c r="S56" i="46" s="1"/>
  <c r="X89" i="57" a="1"/>
  <c r="X89" i="57" s="1"/>
  <c r="X77" i="57" a="1"/>
  <c r="X77" i="57" s="1"/>
  <c r="Y98" i="57" a="1"/>
  <c r="Y98" i="57" s="1"/>
  <c r="Z89" i="57" a="1"/>
  <c r="Z89" i="57" s="1"/>
  <c r="Y83" i="57" a="1"/>
  <c r="Y83" i="57" s="1"/>
  <c r="AA98" i="57" a="1"/>
  <c r="AA98" i="57" s="1"/>
  <c r="Z77" i="57" a="1"/>
  <c r="Z77" i="57" s="1"/>
  <c r="AB77" i="57" a="1"/>
  <c r="AB77" i="57" s="1"/>
  <c r="AA89" i="57" a="1"/>
  <c r="AA89" i="57" s="1"/>
  <c r="Y77" i="57" a="1"/>
  <c r="Y77" i="57" s="1"/>
  <c r="AB89" i="57" a="1"/>
  <c r="AB89" i="57" s="1"/>
  <c r="AA77" i="57" a="1"/>
  <c r="AA77" i="57" s="1"/>
  <c r="Z83" i="57" a="1"/>
  <c r="Z83" i="57" s="1"/>
  <c r="AB83" i="57" a="1"/>
  <c r="AB83" i="57" s="1"/>
  <c r="Z98" i="57" a="1"/>
  <c r="Z98" i="57" s="1"/>
  <c r="AB98" i="57" a="1"/>
  <c r="AB98" i="57" s="1"/>
  <c r="Y89" i="57" a="1"/>
  <c r="Y89" i="57" s="1"/>
  <c r="AA83" i="57" a="1"/>
  <c r="AA83" i="57" s="1"/>
  <c r="H120" i="48"/>
  <c r="S52" i="47" a="1"/>
  <c r="S52" i="47" s="1"/>
  <c r="H119" i="49"/>
  <c r="G120" i="46"/>
  <c r="G125" i="46"/>
  <c r="E121" i="48"/>
  <c r="D122" i="48"/>
  <c r="L129" i="52"/>
  <c r="G114" i="47"/>
  <c r="C127" i="48"/>
  <c r="D126" i="48"/>
  <c r="C126" i="46"/>
  <c r="H125" i="48"/>
  <c r="V50" i="50" a="1"/>
  <c r="V50" i="50" s="1"/>
  <c r="C115" i="50"/>
  <c r="C121" i="46"/>
  <c r="C122" i="46" s="1"/>
  <c r="D115" i="50"/>
  <c r="E114" i="50"/>
  <c r="H90" i="50"/>
  <c r="H92" i="50" s="1"/>
  <c r="D121" i="49"/>
  <c r="E120" i="49"/>
  <c r="H90" i="49"/>
  <c r="H90" i="48"/>
  <c r="G90" i="47"/>
  <c r="G83" i="57"/>
  <c r="O358" i="28" s="1"/>
  <c r="G90" i="46"/>
  <c r="G98" i="57"/>
  <c r="R188" i="57" s="1"/>
  <c r="G77" i="57"/>
  <c r="U58" i="50" a="1"/>
  <c r="U58" i="50" s="1"/>
  <c r="S87" i="47" a="1"/>
  <c r="S87" i="47" s="1"/>
  <c r="S75" i="47" a="1"/>
  <c r="S75" i="47" s="1"/>
  <c r="S50" i="47" a="1"/>
  <c r="S50" i="47" s="1"/>
  <c r="S54" i="47" a="1"/>
  <c r="S54" i="47" s="1"/>
  <c r="S60" i="47" a="1"/>
  <c r="S60" i="47" s="1"/>
  <c r="T65" i="49" a="1"/>
  <c r="T65" i="49" s="1"/>
  <c r="T74" i="50" a="1"/>
  <c r="T74" i="50" s="1"/>
  <c r="T45" i="50" a="1"/>
  <c r="T45" i="50" s="1"/>
  <c r="T86" i="50" a="1"/>
  <c r="T86" i="50" s="1"/>
  <c r="T80" i="50" a="1"/>
  <c r="T80" i="50" s="1"/>
  <c r="U51" i="50" a="1"/>
  <c r="U51" i="50" s="1"/>
  <c r="T65" i="50" a="1"/>
  <c r="T65" i="50" s="1"/>
  <c r="U68" i="50" a="1"/>
  <c r="U68" i="50" s="1"/>
  <c r="T69" i="50" a="1"/>
  <c r="T69" i="50" s="1"/>
  <c r="T79" i="50" a="1"/>
  <c r="T79" i="50" s="1"/>
  <c r="T75" i="50" a="1"/>
  <c r="T75" i="50" s="1"/>
  <c r="T87" i="50" a="1"/>
  <c r="T87" i="50" s="1"/>
  <c r="U63" i="50" a="1"/>
  <c r="U63" i="50" s="1"/>
  <c r="U49" i="50" a="1"/>
  <c r="U49" i="50" s="1"/>
  <c r="T84" i="50" a="1"/>
  <c r="T84" i="50" s="1"/>
  <c r="T82" i="50" a="1"/>
  <c r="T82" i="50" s="1"/>
  <c r="T76" i="50" a="1"/>
  <c r="T76" i="50" s="1"/>
  <c r="T89" i="50" a="1"/>
  <c r="T89" i="50" s="1"/>
  <c r="T83" i="50" a="1"/>
  <c r="T83" i="50" s="1"/>
  <c r="T77" i="50" a="1"/>
  <c r="T77" i="50" s="1"/>
  <c r="T58" i="49" a="1"/>
  <c r="T58" i="49" s="1"/>
  <c r="T45" i="49" a="1"/>
  <c r="T45" i="49" s="1"/>
  <c r="T66" i="49" a="1"/>
  <c r="T66" i="49" s="1"/>
  <c r="T82" i="49" a="1"/>
  <c r="T82" i="49" s="1"/>
  <c r="T80" i="49" a="1"/>
  <c r="T80" i="49" s="1"/>
  <c r="T89" i="49" a="1"/>
  <c r="T89" i="49" s="1"/>
  <c r="T87" i="49" a="1"/>
  <c r="T87" i="49" s="1"/>
  <c r="T77" i="49" a="1"/>
  <c r="T77" i="49" s="1"/>
  <c r="T86" i="49" a="1"/>
  <c r="T86" i="49" s="1"/>
  <c r="U51" i="49" a="1"/>
  <c r="U51" i="49" s="1"/>
  <c r="T78" i="49" a="1"/>
  <c r="T78" i="49" s="1"/>
  <c r="T49" i="49" a="1"/>
  <c r="T49" i="49" s="1"/>
  <c r="U69" i="49" a="1"/>
  <c r="U69" i="49" s="1"/>
  <c r="T60" i="49" a="1"/>
  <c r="T60" i="49" s="1"/>
  <c r="T84" i="49" a="1"/>
  <c r="T84" i="49" s="1"/>
  <c r="T75" i="49" a="1"/>
  <c r="T75" i="49" s="1"/>
  <c r="T64" i="49" a="1"/>
  <c r="T64" i="49" s="1"/>
  <c r="T74" i="49" a="1"/>
  <c r="T74" i="49" s="1"/>
  <c r="T62" i="49" a="1"/>
  <c r="T62" i="49" s="1"/>
  <c r="T72" i="49" a="1"/>
  <c r="T72" i="49" s="1"/>
  <c r="T56" i="49" a="1"/>
  <c r="T56" i="49" s="1"/>
  <c r="T88" i="49" a="1"/>
  <c r="T88" i="49" s="1"/>
  <c r="U53" i="49" a="1"/>
  <c r="U53" i="49" s="1"/>
  <c r="U59" i="49" a="1"/>
  <c r="U59" i="49" s="1"/>
  <c r="T52" i="49" a="1"/>
  <c r="T52" i="49" s="1"/>
  <c r="T54" i="49" a="1"/>
  <c r="T54" i="49" s="1"/>
  <c r="T68" i="49" a="1"/>
  <c r="T68" i="49" s="1"/>
  <c r="T81" i="49" a="1"/>
  <c r="T81" i="49" s="1"/>
  <c r="T83" i="49" a="1"/>
  <c r="T83" i="49" s="1"/>
  <c r="T85" i="49" a="1"/>
  <c r="T85" i="49" s="1"/>
  <c r="T79" i="49" a="1"/>
  <c r="T79" i="49" s="1"/>
  <c r="T45" i="48" a="1"/>
  <c r="T45" i="48" s="1"/>
  <c r="T49" i="48" a="1"/>
  <c r="T49" i="48" s="1"/>
  <c r="T74" i="48" a="1"/>
  <c r="T74" i="48" s="1"/>
  <c r="T72" i="48" a="1"/>
  <c r="T72" i="48" s="1"/>
  <c r="T58" i="48" a="1"/>
  <c r="T58" i="48" s="1"/>
  <c r="T82" i="48" a="1"/>
  <c r="T82" i="48" s="1"/>
  <c r="T83" i="48" a="1"/>
  <c r="T83" i="48" s="1"/>
  <c r="T46" i="48" a="1"/>
  <c r="T46" i="48" s="1"/>
  <c r="T54" i="48" a="1"/>
  <c r="T54" i="48" s="1"/>
  <c r="T87" i="48" a="1"/>
  <c r="T87" i="48" s="1"/>
  <c r="T62" i="48" a="1"/>
  <c r="T62" i="48" s="1"/>
  <c r="V70" i="48" a="1"/>
  <c r="V70" i="48" s="1"/>
  <c r="T69" i="48" a="1"/>
  <c r="T69" i="48" s="1"/>
  <c r="T60" i="48" a="1"/>
  <c r="T60" i="48" s="1"/>
  <c r="T75" i="48" a="1"/>
  <c r="T75" i="48" s="1"/>
  <c r="T77" i="48" a="1"/>
  <c r="T77" i="48" s="1"/>
  <c r="T50" i="48" a="1"/>
  <c r="T50" i="48" s="1"/>
  <c r="T89" i="48" a="1"/>
  <c r="T89" i="48" s="1"/>
  <c r="T86" i="48" a="1"/>
  <c r="T86" i="48" s="1"/>
  <c r="T63" i="48" a="1"/>
  <c r="T63" i="48" s="1"/>
  <c r="T65" i="48" a="1"/>
  <c r="T65" i="48" s="1"/>
  <c r="T76" i="48" a="1"/>
  <c r="T76" i="48" s="1"/>
  <c r="V52" i="48" a="1"/>
  <c r="V52" i="48" s="1"/>
  <c r="T51" i="48" a="1"/>
  <c r="T51" i="48" s="1"/>
  <c r="T53" i="48" a="1"/>
  <c r="T53" i="48" s="1"/>
  <c r="T80" i="48" a="1"/>
  <c r="T80" i="48" s="1"/>
  <c r="T56" i="48" a="1"/>
  <c r="T56" i="48" s="1"/>
  <c r="U68" i="48" a="1"/>
  <c r="U68" i="48" s="1"/>
  <c r="T79" i="48" a="1"/>
  <c r="T79" i="48" s="1"/>
  <c r="T48" i="48" a="1"/>
  <c r="T48" i="48" s="1"/>
  <c r="T84" i="48" a="1"/>
  <c r="T84" i="48" s="1"/>
  <c r="T59" i="48" a="1"/>
  <c r="T59" i="48" s="1"/>
  <c r="T64" i="48" a="1"/>
  <c r="T64" i="48" s="1"/>
  <c r="S77" i="47" a="1"/>
  <c r="S77" i="47" s="1"/>
  <c r="S70" i="47" a="1"/>
  <c r="S70" i="47" s="1"/>
  <c r="S82" i="47" a="1"/>
  <c r="S82" i="47" s="1"/>
  <c r="T62" i="47" a="1"/>
  <c r="T62" i="47" s="1"/>
  <c r="U89" i="47" a="1"/>
  <c r="U89" i="47" s="1"/>
  <c r="S68" i="47" a="1"/>
  <c r="S68" i="47" s="1"/>
  <c r="S65" i="47" a="1"/>
  <c r="S65" i="47" s="1"/>
  <c r="S53" i="47" a="1"/>
  <c r="S53" i="47" s="1"/>
  <c r="S84" i="47" a="1"/>
  <c r="S84" i="47" s="1"/>
  <c r="S76" i="47" a="1"/>
  <c r="S76" i="47" s="1"/>
  <c r="T83" i="47" a="1"/>
  <c r="T83" i="47" s="1"/>
  <c r="S69" i="47" a="1"/>
  <c r="S69" i="47" s="1"/>
  <c r="S63" i="47" a="1"/>
  <c r="S63" i="47" s="1"/>
  <c r="S80" i="47" a="1"/>
  <c r="S80" i="47" s="1"/>
  <c r="H96" i="47"/>
  <c r="T56" i="47" a="1"/>
  <c r="T56" i="47" s="1"/>
  <c r="S72" i="47" a="1"/>
  <c r="S72" i="47" s="1"/>
  <c r="S51" i="47" a="1"/>
  <c r="S51" i="47" s="1"/>
  <c r="S49" i="47" a="1"/>
  <c r="S49" i="47" s="1"/>
  <c r="S86" i="47" a="1"/>
  <c r="S86" i="47" s="1"/>
  <c r="S83" i="46" a="1"/>
  <c r="S83" i="46" s="1"/>
  <c r="T82" i="46" a="1"/>
  <c r="T82" i="46" s="1"/>
  <c r="T79" i="46" a="1"/>
  <c r="T79" i="46" s="1"/>
  <c r="S84" i="46" a="1"/>
  <c r="S84" i="46" s="1"/>
  <c r="S72" i="46" a="1"/>
  <c r="S72" i="46" s="1"/>
  <c r="U74" i="46" a="1"/>
  <c r="U74" i="46" s="1"/>
  <c r="S80" i="46" a="1"/>
  <c r="S80" i="46" s="1"/>
  <c r="S51" i="46" a="1"/>
  <c r="S51" i="46" s="1"/>
  <c r="S48" i="46" a="1"/>
  <c r="S48" i="46" s="1"/>
  <c r="S65" i="46" a="1"/>
  <c r="S65" i="46" s="1"/>
  <c r="S64" i="46" a="1"/>
  <c r="S64" i="46" s="1"/>
  <c r="S52" i="46" a="1"/>
  <c r="S52" i="46" s="1"/>
  <c r="S50" i="46" a="1"/>
  <c r="S50" i="46" s="1"/>
  <c r="S70" i="46" a="1"/>
  <c r="S70" i="46" s="1"/>
  <c r="S69" i="46" a="1"/>
  <c r="S69" i="46" s="1"/>
  <c r="S68" i="46" a="1"/>
  <c r="S68" i="46" s="1"/>
  <c r="S46" i="46" a="1"/>
  <c r="S46" i="46" s="1"/>
  <c r="S63" i="46" a="1"/>
  <c r="S63" i="46" s="1"/>
  <c r="S62" i="46" a="1"/>
  <c r="S62" i="46" s="1"/>
  <c r="S60" i="46" a="1"/>
  <c r="S60" i="46" s="1"/>
  <c r="S59" i="46" a="1"/>
  <c r="S59" i="46" s="1"/>
  <c r="S66" i="46" a="1"/>
  <c r="S66" i="46" s="1"/>
  <c r="S58" i="46" a="1"/>
  <c r="S58" i="46" s="1"/>
  <c r="S54" i="46" a="1"/>
  <c r="S54" i="46" s="1"/>
  <c r="Q70" i="45" a="1"/>
  <c r="Q70" i="45" s="1"/>
  <c r="P70" i="45" a="1"/>
  <c r="P70" i="45" s="1"/>
  <c r="O70" i="45" a="1"/>
  <c r="O70" i="45" s="1"/>
  <c r="N70" i="45" a="1"/>
  <c r="N70" i="45" s="1"/>
  <c r="M70" i="45" a="1"/>
  <c r="M70" i="45" s="1"/>
  <c r="Q68" i="45" a="1"/>
  <c r="Q68" i="45" s="1"/>
  <c r="P68" i="45" a="1"/>
  <c r="P68" i="45" s="1"/>
  <c r="O68" i="45" a="1"/>
  <c r="O68" i="45" s="1"/>
  <c r="N68" i="45" a="1"/>
  <c r="N68" i="45" s="1"/>
  <c r="M68" i="45" a="1"/>
  <c r="M68" i="45" s="1"/>
  <c r="Q67" i="45" a="1"/>
  <c r="Q67" i="45" s="1"/>
  <c r="P67" i="45" a="1"/>
  <c r="P67" i="45" s="1"/>
  <c r="O67" i="45" a="1"/>
  <c r="O67" i="45" s="1"/>
  <c r="N67" i="45" a="1"/>
  <c r="N67" i="45" s="1"/>
  <c r="M67" i="45" a="1"/>
  <c r="M67" i="45" s="1"/>
  <c r="Q65" i="45" a="1"/>
  <c r="Q65" i="45" s="1"/>
  <c r="P65" i="45" a="1"/>
  <c r="P65" i="45" s="1"/>
  <c r="O65" i="45" a="1"/>
  <c r="O65" i="45" s="1"/>
  <c r="N65" i="45" a="1"/>
  <c r="N65" i="45" s="1"/>
  <c r="M65" i="45" a="1"/>
  <c r="M65" i="45" s="1"/>
  <c r="Q64" i="45" a="1"/>
  <c r="Q64" i="45" s="1"/>
  <c r="P64" i="45" a="1"/>
  <c r="P64" i="45" s="1"/>
  <c r="O64" i="45" a="1"/>
  <c r="O64" i="45" s="1"/>
  <c r="N64" i="45" a="1"/>
  <c r="N64" i="45" s="1"/>
  <c r="M64" i="45" a="1"/>
  <c r="M64" i="45" s="1"/>
  <c r="Q63" i="45" a="1"/>
  <c r="Q63" i="45" s="1"/>
  <c r="P63" i="45" a="1"/>
  <c r="P63" i="45" s="1"/>
  <c r="O63" i="45" a="1"/>
  <c r="O63" i="45" s="1"/>
  <c r="N63" i="45" a="1"/>
  <c r="N63" i="45" s="1"/>
  <c r="M63" i="45" a="1"/>
  <c r="M63" i="45" s="1"/>
  <c r="Q61" i="45" a="1"/>
  <c r="Q61" i="45" s="1"/>
  <c r="P61" i="45" a="1"/>
  <c r="P61" i="45" s="1"/>
  <c r="O61" i="45" a="1"/>
  <c r="O61" i="45" s="1"/>
  <c r="N61" i="45" a="1"/>
  <c r="N61" i="45" s="1"/>
  <c r="M61" i="45" a="1"/>
  <c r="M61" i="45" s="1"/>
  <c r="Q60" i="45" a="1"/>
  <c r="Q60" i="45" s="1"/>
  <c r="P60" i="45" a="1"/>
  <c r="P60" i="45" s="1"/>
  <c r="O60" i="45" a="1"/>
  <c r="O60" i="45" s="1"/>
  <c r="N60" i="45" a="1"/>
  <c r="N60" i="45" s="1"/>
  <c r="M60" i="45" a="1"/>
  <c r="M60" i="45" s="1"/>
  <c r="Q57" i="45" a="1"/>
  <c r="Q57" i="45" s="1"/>
  <c r="P57" i="45" a="1"/>
  <c r="P57" i="45" s="1"/>
  <c r="O57" i="45" a="1"/>
  <c r="O57" i="45" s="1"/>
  <c r="N57" i="45" a="1"/>
  <c r="N57" i="45" s="1"/>
  <c r="M57" i="45" a="1"/>
  <c r="M57" i="45" s="1"/>
  <c r="Q56" i="45" a="1"/>
  <c r="Q56" i="45" s="1"/>
  <c r="P56" i="45" a="1"/>
  <c r="P56" i="45" s="1"/>
  <c r="O56" i="45" a="1"/>
  <c r="O56" i="45" s="1"/>
  <c r="N56" i="45" a="1"/>
  <c r="N56" i="45" s="1"/>
  <c r="M56" i="45" a="1"/>
  <c r="M56" i="45" s="1"/>
  <c r="Q55" i="45" a="1"/>
  <c r="Q55" i="45" s="1"/>
  <c r="P55" i="45" a="1"/>
  <c r="P55" i="45" s="1"/>
  <c r="O55" i="45" a="1"/>
  <c r="O55" i="45" s="1"/>
  <c r="N55" i="45" a="1"/>
  <c r="N55" i="45" s="1"/>
  <c r="M55" i="45" a="1"/>
  <c r="M55" i="45" s="1"/>
  <c r="Q53" i="45" a="1"/>
  <c r="Q53" i="45" s="1"/>
  <c r="P53" i="45" a="1"/>
  <c r="P53" i="45" s="1"/>
  <c r="O53" i="45" a="1"/>
  <c r="O53" i="45" s="1"/>
  <c r="N53" i="45" a="1"/>
  <c r="N53" i="45" s="1"/>
  <c r="M53" i="45" a="1"/>
  <c r="M53" i="45" s="1"/>
  <c r="B89" i="45"/>
  <c r="F79" i="45"/>
  <c r="E79" i="45"/>
  <c r="D79" i="45"/>
  <c r="C79" i="45"/>
  <c r="B79" i="45"/>
  <c r="Q49" i="45" a="1"/>
  <c r="Q49" i="45" s="1"/>
  <c r="P49" i="45" a="1"/>
  <c r="P49" i="45" s="1"/>
  <c r="O49" i="45" a="1"/>
  <c r="O49" i="45" s="1"/>
  <c r="N49" i="45" a="1"/>
  <c r="N49" i="45" s="1"/>
  <c r="M49" i="45" a="1"/>
  <c r="M49" i="45" s="1"/>
  <c r="Q48" i="45" a="1"/>
  <c r="Q48" i="45" s="1"/>
  <c r="P48" i="45" a="1"/>
  <c r="P48" i="45" s="1"/>
  <c r="O48" i="45" a="1"/>
  <c r="O48" i="45" s="1"/>
  <c r="N48" i="45" a="1"/>
  <c r="N48" i="45" s="1"/>
  <c r="M48" i="45" a="1"/>
  <c r="M48" i="45" s="1"/>
  <c r="Q46" i="45" a="1"/>
  <c r="Q46" i="45" s="1"/>
  <c r="P46" i="45" a="1"/>
  <c r="P46" i="45" s="1"/>
  <c r="O46" i="45" a="1"/>
  <c r="O46" i="45" s="1"/>
  <c r="N46" i="45" a="1"/>
  <c r="N46" i="45" s="1"/>
  <c r="M46" i="45" a="1"/>
  <c r="M46" i="45" s="1"/>
  <c r="F75" i="45"/>
  <c r="E75" i="45"/>
  <c r="D75" i="45"/>
  <c r="C75" i="45"/>
  <c r="B75" i="45"/>
  <c r="E81" i="45"/>
  <c r="D81" i="45"/>
  <c r="B81" i="45"/>
  <c r="Q69" i="44" a="1"/>
  <c r="Q69" i="44" s="1"/>
  <c r="P69" i="44" a="1"/>
  <c r="P69" i="44" s="1"/>
  <c r="O69" i="44" a="1"/>
  <c r="O69" i="44" s="1"/>
  <c r="N69" i="44" a="1"/>
  <c r="N69" i="44" s="1"/>
  <c r="M69" i="44" a="1"/>
  <c r="M69" i="44" s="1"/>
  <c r="Q67" i="44" a="1"/>
  <c r="Q67" i="44" s="1"/>
  <c r="P67" i="44" a="1"/>
  <c r="P67" i="44" s="1"/>
  <c r="O67" i="44" a="1"/>
  <c r="O67" i="44" s="1"/>
  <c r="N67" i="44" a="1"/>
  <c r="N67" i="44" s="1"/>
  <c r="M67" i="44" a="1"/>
  <c r="M67" i="44" s="1"/>
  <c r="Q66" i="44" a="1"/>
  <c r="Q66" i="44" s="1"/>
  <c r="P66" i="44" a="1"/>
  <c r="P66" i="44" s="1"/>
  <c r="O66" i="44" a="1"/>
  <c r="O66" i="44" s="1"/>
  <c r="N66" i="44" a="1"/>
  <c r="N66" i="44" s="1"/>
  <c r="M66" i="44" a="1"/>
  <c r="M66" i="44" s="1"/>
  <c r="Q64" i="44" a="1"/>
  <c r="Q64" i="44" s="1"/>
  <c r="P64" i="44" a="1"/>
  <c r="P64" i="44" s="1"/>
  <c r="O64" i="44" a="1"/>
  <c r="O64" i="44" s="1"/>
  <c r="N64" i="44" a="1"/>
  <c r="N64" i="44" s="1"/>
  <c r="M64" i="44" a="1"/>
  <c r="M64" i="44" s="1"/>
  <c r="Q63" i="44" a="1"/>
  <c r="Q63" i="44" s="1"/>
  <c r="P63" i="44" a="1"/>
  <c r="P63" i="44" s="1"/>
  <c r="O63" i="44" a="1"/>
  <c r="O63" i="44" s="1"/>
  <c r="N63" i="44" a="1"/>
  <c r="N63" i="44" s="1"/>
  <c r="M63" i="44" a="1"/>
  <c r="M63" i="44" s="1"/>
  <c r="P62" i="44" a="1"/>
  <c r="P62" i="44" s="1"/>
  <c r="O62" i="44" a="1"/>
  <c r="O62" i="44" s="1"/>
  <c r="N62" i="44" a="1"/>
  <c r="N62" i="44" s="1"/>
  <c r="M62" i="44" a="1"/>
  <c r="M62" i="44" s="1"/>
  <c r="Q60" i="44" a="1"/>
  <c r="Q60" i="44" s="1"/>
  <c r="P60" i="44" a="1"/>
  <c r="P60" i="44" s="1"/>
  <c r="O60" i="44" a="1"/>
  <c r="O60" i="44" s="1"/>
  <c r="N60" i="44" a="1"/>
  <c r="N60" i="44" s="1"/>
  <c r="M60" i="44" a="1"/>
  <c r="M60" i="44" s="1"/>
  <c r="Q59" i="44" a="1"/>
  <c r="Q59" i="44" s="1"/>
  <c r="P59" i="44" a="1"/>
  <c r="P59" i="44" s="1"/>
  <c r="O59" i="44" a="1"/>
  <c r="O59" i="44" s="1"/>
  <c r="N59" i="44" a="1"/>
  <c r="N59" i="44" s="1"/>
  <c r="M59" i="44" a="1"/>
  <c r="M59" i="44" s="1"/>
  <c r="Q57" i="44" a="1"/>
  <c r="Q57" i="44" s="1"/>
  <c r="P57" i="44" a="1"/>
  <c r="P57" i="44" s="1"/>
  <c r="O57" i="44" a="1"/>
  <c r="O57" i="44" s="1"/>
  <c r="N57" i="44" a="1"/>
  <c r="N57" i="44" s="1"/>
  <c r="M57" i="44" a="1"/>
  <c r="M57" i="44" s="1"/>
  <c r="Q56" i="44" a="1"/>
  <c r="Q56" i="44" s="1"/>
  <c r="P56" i="44" a="1"/>
  <c r="P56" i="44" s="1"/>
  <c r="O56" i="44" a="1"/>
  <c r="O56" i="44" s="1"/>
  <c r="N56" i="44" a="1"/>
  <c r="N56" i="44" s="1"/>
  <c r="M56" i="44" a="1"/>
  <c r="M56" i="44" s="1"/>
  <c r="Q55" i="44" a="1"/>
  <c r="Q55" i="44" s="1"/>
  <c r="P55" i="44" a="1"/>
  <c r="P55" i="44" s="1"/>
  <c r="O55" i="44" a="1"/>
  <c r="O55" i="44" s="1"/>
  <c r="N55" i="44" a="1"/>
  <c r="N55" i="44" s="1"/>
  <c r="M55" i="44" a="1"/>
  <c r="M55" i="44" s="1"/>
  <c r="Q54" i="44" a="1"/>
  <c r="Q54" i="44" s="1"/>
  <c r="P54" i="44" a="1"/>
  <c r="P54" i="44" s="1"/>
  <c r="O54" i="44" a="1"/>
  <c r="O54" i="44" s="1"/>
  <c r="N54" i="44" a="1"/>
  <c r="N54" i="44" s="1"/>
  <c r="M54" i="44" a="1"/>
  <c r="M54" i="44" s="1"/>
  <c r="Q52" i="44" a="1"/>
  <c r="Q52" i="44" s="1"/>
  <c r="P52" i="44" a="1"/>
  <c r="P52" i="44" s="1"/>
  <c r="O52" i="44" a="1"/>
  <c r="O52" i="44" s="1"/>
  <c r="N52" i="44" a="1"/>
  <c r="N52" i="44" s="1"/>
  <c r="M52" i="44" a="1"/>
  <c r="M52" i="44" s="1"/>
  <c r="Q51" i="45" a="1"/>
  <c r="Q51" i="45" s="1"/>
  <c r="P51" i="45" a="1"/>
  <c r="P51" i="45" s="1"/>
  <c r="O51" i="45" a="1"/>
  <c r="O51" i="45" s="1"/>
  <c r="N51" i="45" a="1"/>
  <c r="N51" i="45" s="1"/>
  <c r="M51" i="45" a="1"/>
  <c r="M51" i="45" s="1"/>
  <c r="F76" i="44"/>
  <c r="E76" i="44"/>
  <c r="D76" i="44"/>
  <c r="C76" i="44"/>
  <c r="B76" i="44"/>
  <c r="F74" i="44"/>
  <c r="E74" i="44"/>
  <c r="D74" i="44"/>
  <c r="C74" i="44"/>
  <c r="B74" i="44"/>
  <c r="F73" i="44"/>
  <c r="E73" i="44"/>
  <c r="D73" i="44"/>
  <c r="C73" i="44"/>
  <c r="B73" i="44"/>
  <c r="M82" i="43" a="1"/>
  <c r="M82" i="43" s="1"/>
  <c r="N82" i="43" a="1"/>
  <c r="N82" i="43" s="1"/>
  <c r="O82" i="43" a="1"/>
  <c r="O82" i="43" s="1"/>
  <c r="P82" i="43" a="1"/>
  <c r="P82" i="43" s="1"/>
  <c r="Q80" i="43" a="1"/>
  <c r="Q80" i="43" s="1"/>
  <c r="P80" i="43" a="1"/>
  <c r="P80" i="43" s="1"/>
  <c r="O80" i="43" a="1"/>
  <c r="O80" i="43" s="1"/>
  <c r="N80" i="43" a="1"/>
  <c r="N80" i="43" s="1"/>
  <c r="M80" i="43" a="1"/>
  <c r="M80" i="43" s="1"/>
  <c r="Q79" i="43" a="1"/>
  <c r="Q79" i="43" s="1"/>
  <c r="P79" i="43" a="1"/>
  <c r="P79" i="43" s="1"/>
  <c r="O79" i="43" a="1"/>
  <c r="O79" i="43" s="1"/>
  <c r="N79" i="43" a="1"/>
  <c r="N79" i="43" s="1"/>
  <c r="M79" i="43" a="1"/>
  <c r="M79" i="43" s="1"/>
  <c r="Q77" i="43" a="1"/>
  <c r="Q77" i="43" s="1"/>
  <c r="P77" i="43" a="1"/>
  <c r="P77" i="43" s="1"/>
  <c r="O77" i="43" a="1"/>
  <c r="O77" i="43" s="1"/>
  <c r="N77" i="43" a="1"/>
  <c r="N77" i="43" s="1"/>
  <c r="M77" i="43" a="1"/>
  <c r="M77" i="43" s="1"/>
  <c r="Q75" i="43" a="1"/>
  <c r="Q75" i="43" s="1"/>
  <c r="P75" i="43" a="1"/>
  <c r="P75" i="43" s="1"/>
  <c r="O75" i="43" a="1"/>
  <c r="O75" i="43" s="1"/>
  <c r="N75" i="43" a="1"/>
  <c r="N75" i="43" s="1"/>
  <c r="M75" i="43" a="1"/>
  <c r="M75" i="43" s="1"/>
  <c r="Q73" i="43" a="1"/>
  <c r="Q73" i="43" s="1"/>
  <c r="P73" i="43" a="1"/>
  <c r="P73" i="43" s="1"/>
  <c r="O73" i="43" a="1"/>
  <c r="O73" i="43" s="1"/>
  <c r="N73" i="43" a="1"/>
  <c r="N73" i="43" s="1"/>
  <c r="M73" i="43" a="1"/>
  <c r="M73" i="43" s="1"/>
  <c r="Q72" i="43" a="1"/>
  <c r="Q72" i="43" s="1"/>
  <c r="P72" i="43" a="1"/>
  <c r="P72" i="43" s="1"/>
  <c r="O72" i="43" a="1"/>
  <c r="O72" i="43" s="1"/>
  <c r="N72" i="43" a="1"/>
  <c r="N72" i="43" s="1"/>
  <c r="M72" i="43" a="1"/>
  <c r="M72" i="43" s="1"/>
  <c r="Q70" i="43" a="1"/>
  <c r="Q70" i="43" s="1"/>
  <c r="P70" i="43" a="1"/>
  <c r="P70" i="43" s="1"/>
  <c r="O70" i="43" a="1"/>
  <c r="O70" i="43" s="1"/>
  <c r="N70" i="43" a="1"/>
  <c r="N70" i="43" s="1"/>
  <c r="M70" i="43" a="1"/>
  <c r="M70" i="43" s="1"/>
  <c r="Q69" i="43" a="1"/>
  <c r="Q69" i="43" s="1"/>
  <c r="P69" i="43" a="1"/>
  <c r="P69" i="43" s="1"/>
  <c r="O69" i="43" a="1"/>
  <c r="O69" i="43" s="1"/>
  <c r="N69" i="43" a="1"/>
  <c r="N69" i="43" s="1"/>
  <c r="M69" i="43" a="1"/>
  <c r="M69" i="43" s="1"/>
  <c r="Q68" i="43" a="1"/>
  <c r="Q68" i="43" s="1"/>
  <c r="P68" i="43" a="1"/>
  <c r="P68" i="43" s="1"/>
  <c r="O68" i="43" a="1"/>
  <c r="O68" i="43" s="1"/>
  <c r="N68" i="43" a="1"/>
  <c r="N68" i="43" s="1"/>
  <c r="M68" i="43" a="1"/>
  <c r="M68" i="43" s="1"/>
  <c r="Q67" i="43" a="1"/>
  <c r="Q67" i="43" s="1"/>
  <c r="P67" i="43" a="1"/>
  <c r="P67" i="43" s="1"/>
  <c r="O67" i="43" a="1"/>
  <c r="O67" i="43" s="1"/>
  <c r="N67" i="43" a="1"/>
  <c r="N67" i="43" s="1"/>
  <c r="M67" i="43" a="1"/>
  <c r="M67" i="43" s="1"/>
  <c r="Q65" i="43" a="1"/>
  <c r="Q65" i="43" s="1"/>
  <c r="P65" i="43" a="1"/>
  <c r="P65" i="43" s="1"/>
  <c r="O65" i="43" a="1"/>
  <c r="O65" i="43" s="1"/>
  <c r="N65" i="43" a="1"/>
  <c r="N65" i="43" s="1"/>
  <c r="M65" i="43" a="1"/>
  <c r="M65" i="43" s="1"/>
  <c r="Q63" i="43" a="1"/>
  <c r="Q63" i="43" s="1"/>
  <c r="P63" i="43" a="1"/>
  <c r="P63" i="43" s="1"/>
  <c r="O63" i="43" a="1"/>
  <c r="O63" i="43" s="1"/>
  <c r="N63" i="43" a="1"/>
  <c r="N63" i="43" s="1"/>
  <c r="M63" i="43" a="1"/>
  <c r="M63" i="43" s="1"/>
  <c r="Q62" i="43" a="1"/>
  <c r="Q62" i="43" s="1"/>
  <c r="P62" i="43" a="1"/>
  <c r="P62" i="43" s="1"/>
  <c r="O62" i="43" a="1"/>
  <c r="O62" i="43" s="1"/>
  <c r="N62" i="43" a="1"/>
  <c r="N62" i="43" s="1"/>
  <c r="M62" i="43" a="1"/>
  <c r="M62" i="43" s="1"/>
  <c r="Q60" i="43" a="1"/>
  <c r="Q60" i="43" s="1"/>
  <c r="P60" i="43" a="1"/>
  <c r="P60" i="43" s="1"/>
  <c r="O60" i="43" a="1"/>
  <c r="O60" i="43" s="1"/>
  <c r="N60" i="43" a="1"/>
  <c r="N60" i="43" s="1"/>
  <c r="M60" i="43" a="1"/>
  <c r="M60" i="43" s="1"/>
  <c r="Q59" i="43" a="1"/>
  <c r="Q59" i="43" s="1"/>
  <c r="P59" i="43" a="1"/>
  <c r="P59" i="43" s="1"/>
  <c r="O59" i="43" a="1"/>
  <c r="O59" i="43" s="1"/>
  <c r="N59" i="43" a="1"/>
  <c r="N59" i="43" s="1"/>
  <c r="M59" i="43" a="1"/>
  <c r="M59" i="43" s="1"/>
  <c r="Q58" i="43" a="1"/>
  <c r="Q58" i="43" s="1"/>
  <c r="P58" i="43" a="1"/>
  <c r="P58" i="43" s="1"/>
  <c r="O58" i="43" a="1"/>
  <c r="O58" i="43" s="1"/>
  <c r="N58" i="43" a="1"/>
  <c r="N58" i="43" s="1"/>
  <c r="M58" i="43" a="1"/>
  <c r="M58" i="43" s="1"/>
  <c r="Q55" i="43" a="1"/>
  <c r="Q55" i="43" s="1"/>
  <c r="P55" i="43" a="1"/>
  <c r="P55" i="43" s="1"/>
  <c r="O55" i="43" a="1"/>
  <c r="O55" i="43" s="1"/>
  <c r="N55" i="43" a="1"/>
  <c r="N55" i="43" s="1"/>
  <c r="M55" i="43" a="1"/>
  <c r="M55" i="43" s="1"/>
  <c r="Q54" i="43" a="1"/>
  <c r="Q54" i="43" s="1"/>
  <c r="P54" i="43" a="1"/>
  <c r="P54" i="43" s="1"/>
  <c r="O54" i="43" a="1"/>
  <c r="O54" i="43" s="1"/>
  <c r="N54" i="43" a="1"/>
  <c r="N54" i="43" s="1"/>
  <c r="M54" i="43" a="1"/>
  <c r="M54" i="43" s="1"/>
  <c r="Q52" i="43" a="1"/>
  <c r="Q52" i="43" s="1"/>
  <c r="P52" i="43" a="1"/>
  <c r="P52" i="43" s="1"/>
  <c r="O52" i="43" a="1"/>
  <c r="O52" i="43" s="1"/>
  <c r="N52" i="43" a="1"/>
  <c r="N52" i="43" s="1"/>
  <c r="M52" i="43" a="1"/>
  <c r="M52" i="43" s="1"/>
  <c r="Q51" i="43" a="1"/>
  <c r="Q51" i="43" s="1"/>
  <c r="P51" i="43" a="1"/>
  <c r="P51" i="43" s="1"/>
  <c r="O51" i="43" a="1"/>
  <c r="O51" i="43" s="1"/>
  <c r="N51" i="43" a="1"/>
  <c r="N51" i="43" s="1"/>
  <c r="M51" i="43" a="1"/>
  <c r="M51" i="43" s="1"/>
  <c r="Q50" i="43" a="1"/>
  <c r="Q50" i="43" s="1"/>
  <c r="P50" i="43" a="1"/>
  <c r="P50" i="43" s="1"/>
  <c r="O50" i="43" a="1"/>
  <c r="O50" i="43" s="1"/>
  <c r="N50" i="43" a="1"/>
  <c r="N50" i="43" s="1"/>
  <c r="M50" i="43" a="1"/>
  <c r="M50" i="43" s="1"/>
  <c r="Q49" i="43" a="1"/>
  <c r="Q49" i="43" s="1"/>
  <c r="P49" i="43" a="1"/>
  <c r="P49" i="43" s="1"/>
  <c r="O49" i="43" a="1"/>
  <c r="O49" i="43" s="1"/>
  <c r="N49" i="43" a="1"/>
  <c r="N49" i="43" s="1"/>
  <c r="M49" i="43" a="1"/>
  <c r="M49" i="43" s="1"/>
  <c r="Q47" i="43" a="1"/>
  <c r="Q47" i="43" s="1"/>
  <c r="P47" i="43" a="1"/>
  <c r="P47" i="43" s="1"/>
  <c r="O47" i="43" a="1"/>
  <c r="O47" i="43" s="1"/>
  <c r="N47" i="43" a="1"/>
  <c r="N47" i="43" s="1"/>
  <c r="M47" i="43" a="1"/>
  <c r="M47" i="43" s="1"/>
  <c r="Q45" i="43" a="1"/>
  <c r="Q45" i="43" s="1"/>
  <c r="P45" i="43" a="1"/>
  <c r="P45" i="43" s="1"/>
  <c r="O45" i="43" a="1"/>
  <c r="O45" i="43" s="1"/>
  <c r="N45" i="43" a="1"/>
  <c r="N45" i="43" s="1"/>
  <c r="M45" i="43" a="1"/>
  <c r="M45" i="43" s="1"/>
  <c r="Q76" i="42" a="1"/>
  <c r="Q76" i="42" s="1"/>
  <c r="P76" i="42" a="1"/>
  <c r="P76" i="42" s="1"/>
  <c r="O76" i="42" a="1"/>
  <c r="O76" i="42" s="1"/>
  <c r="N76" i="42" a="1"/>
  <c r="N76" i="42" s="1"/>
  <c r="M76" i="42" a="1"/>
  <c r="M76" i="42" s="1"/>
  <c r="Q74" i="42" a="1"/>
  <c r="Q74" i="42" s="1"/>
  <c r="P74" i="42" a="1"/>
  <c r="P74" i="42" s="1"/>
  <c r="O74" i="42" a="1"/>
  <c r="O74" i="42" s="1"/>
  <c r="N74" i="42" a="1"/>
  <c r="N74" i="42" s="1"/>
  <c r="M74" i="42" a="1"/>
  <c r="M74" i="42" s="1"/>
  <c r="Q73" i="42" a="1"/>
  <c r="Q73" i="42" s="1"/>
  <c r="P73" i="42" a="1"/>
  <c r="P73" i="42" s="1"/>
  <c r="O73" i="42" a="1"/>
  <c r="O73" i="42" s="1"/>
  <c r="N73" i="42" a="1"/>
  <c r="N73" i="42" s="1"/>
  <c r="M73" i="42" a="1"/>
  <c r="M73" i="42" s="1"/>
  <c r="Q71" i="42" a="1"/>
  <c r="Q71" i="42" s="1"/>
  <c r="P71" i="42" a="1"/>
  <c r="P71" i="42" s="1"/>
  <c r="O71" i="42" a="1"/>
  <c r="O71" i="42" s="1"/>
  <c r="N71" i="42" a="1"/>
  <c r="N71" i="42" s="1"/>
  <c r="M71" i="42" a="1"/>
  <c r="M71" i="42" s="1"/>
  <c r="P70" i="42" a="1"/>
  <c r="P70" i="42" s="1"/>
  <c r="O70" i="42" a="1"/>
  <c r="O70" i="42" s="1"/>
  <c r="N70" i="42" a="1"/>
  <c r="N70" i="42" s="1"/>
  <c r="M70" i="42" a="1"/>
  <c r="M70" i="42" s="1"/>
  <c r="Q69" i="42" a="1"/>
  <c r="Q69" i="42" s="1"/>
  <c r="P69" i="42" a="1"/>
  <c r="P69" i="42" s="1"/>
  <c r="O69" i="42" a="1"/>
  <c r="O69" i="42" s="1"/>
  <c r="N69" i="42" a="1"/>
  <c r="N69" i="42" s="1"/>
  <c r="M69" i="42" a="1"/>
  <c r="M69" i="42" s="1"/>
  <c r="Q67" i="42" a="1"/>
  <c r="Q67" i="42" s="1"/>
  <c r="P67" i="42" a="1"/>
  <c r="P67" i="42" s="1"/>
  <c r="O67" i="42" a="1"/>
  <c r="O67" i="42" s="1"/>
  <c r="N67" i="42" a="1"/>
  <c r="N67" i="42" s="1"/>
  <c r="M67" i="42" a="1"/>
  <c r="M67" i="42" s="1"/>
  <c r="Q66" i="42" a="1"/>
  <c r="Q66" i="42" s="1"/>
  <c r="P66" i="42" a="1"/>
  <c r="P66" i="42" s="1"/>
  <c r="O66" i="42" a="1"/>
  <c r="O66" i="42" s="1"/>
  <c r="N66" i="42" a="1"/>
  <c r="N66" i="42" s="1"/>
  <c r="M66" i="42" a="1"/>
  <c r="M66" i="42" s="1"/>
  <c r="Q64" i="42" a="1"/>
  <c r="Q64" i="42" s="1"/>
  <c r="P64" i="42" a="1"/>
  <c r="P64" i="42" s="1"/>
  <c r="O64" i="42" a="1"/>
  <c r="O64" i="42" s="1"/>
  <c r="N64" i="42" a="1"/>
  <c r="N64" i="42" s="1"/>
  <c r="M64" i="42" a="1"/>
  <c r="M64" i="42" s="1"/>
  <c r="Q63" i="42" a="1"/>
  <c r="Q63" i="42" s="1"/>
  <c r="P63" i="42" a="1"/>
  <c r="P63" i="42" s="1"/>
  <c r="O63" i="42" a="1"/>
  <c r="O63" i="42" s="1"/>
  <c r="N63" i="42" a="1"/>
  <c r="N63" i="42" s="1"/>
  <c r="M63" i="42" a="1"/>
  <c r="M63" i="42" s="1"/>
  <c r="Q62" i="42" a="1"/>
  <c r="Q62" i="42" s="1"/>
  <c r="P62" i="42" a="1"/>
  <c r="P62" i="42" s="1"/>
  <c r="O62" i="42" a="1"/>
  <c r="O62" i="42" s="1"/>
  <c r="N62" i="42" a="1"/>
  <c r="N62" i="42" s="1"/>
  <c r="M62" i="42" a="1"/>
  <c r="M62" i="42" s="1"/>
  <c r="Q61" i="42" a="1"/>
  <c r="Q61" i="42" s="1"/>
  <c r="P61" i="42" a="1"/>
  <c r="P61" i="42" s="1"/>
  <c r="O61" i="42" a="1"/>
  <c r="O61" i="42" s="1"/>
  <c r="N61" i="42" a="1"/>
  <c r="N61" i="42" s="1"/>
  <c r="M61" i="42" a="1"/>
  <c r="M61" i="42" s="1"/>
  <c r="Q59" i="42" a="1"/>
  <c r="Q59" i="42" s="1"/>
  <c r="P59" i="42" a="1"/>
  <c r="P59" i="42" s="1"/>
  <c r="O59" i="42" a="1"/>
  <c r="O59" i="42" s="1"/>
  <c r="N59" i="42" a="1"/>
  <c r="N59" i="42" s="1"/>
  <c r="M59" i="42" a="1"/>
  <c r="M59" i="42" s="1"/>
  <c r="Q57" i="42" a="1"/>
  <c r="Q57" i="42" s="1"/>
  <c r="P57" i="42" a="1"/>
  <c r="P57" i="42" s="1"/>
  <c r="O57" i="42" a="1"/>
  <c r="O57" i="42" s="1"/>
  <c r="N57" i="42" a="1"/>
  <c r="N57" i="42" s="1"/>
  <c r="M57" i="42" a="1"/>
  <c r="M57" i="42" s="1"/>
  <c r="Q56" i="42" a="1"/>
  <c r="Q56" i="42" s="1"/>
  <c r="P56" i="42" a="1"/>
  <c r="P56" i="42" s="1"/>
  <c r="O56" i="42" a="1"/>
  <c r="O56" i="42" s="1"/>
  <c r="N56" i="42" a="1"/>
  <c r="N56" i="42" s="1"/>
  <c r="M56" i="42" a="1"/>
  <c r="M56" i="42" s="1"/>
  <c r="Q54" i="42" a="1"/>
  <c r="Q54" i="42" s="1"/>
  <c r="P54" i="42" a="1"/>
  <c r="P54" i="42" s="1"/>
  <c r="O54" i="42" a="1"/>
  <c r="O54" i="42" s="1"/>
  <c r="N54" i="42" a="1"/>
  <c r="N54" i="42" s="1"/>
  <c r="M54" i="42" a="1"/>
  <c r="M54" i="42" s="1"/>
  <c r="Q53" i="42" a="1"/>
  <c r="Q53" i="42" s="1"/>
  <c r="P53" i="42" a="1"/>
  <c r="P53" i="42" s="1"/>
  <c r="O53" i="42" a="1"/>
  <c r="O53" i="42" s="1"/>
  <c r="N53" i="42" a="1"/>
  <c r="N53" i="42" s="1"/>
  <c r="M53" i="42" a="1"/>
  <c r="M53" i="42" s="1"/>
  <c r="Q52" i="42" a="1"/>
  <c r="Q52" i="42" s="1"/>
  <c r="P52" i="42" a="1"/>
  <c r="P52" i="42" s="1"/>
  <c r="O52" i="42" a="1"/>
  <c r="O52" i="42" s="1"/>
  <c r="N52" i="42" a="1"/>
  <c r="N52" i="42" s="1"/>
  <c r="M52" i="42" a="1"/>
  <c r="M52" i="42" s="1"/>
  <c r="Q49" i="42" a="1"/>
  <c r="Q49" i="42" s="1"/>
  <c r="P49" i="42" a="1"/>
  <c r="P49" i="42" s="1"/>
  <c r="O49" i="42" a="1"/>
  <c r="O49" i="42" s="1"/>
  <c r="N49" i="42" a="1"/>
  <c r="N49" i="42" s="1"/>
  <c r="M49" i="42" a="1"/>
  <c r="M49" i="42" s="1"/>
  <c r="Q48" i="42" a="1"/>
  <c r="Q48" i="42" s="1"/>
  <c r="P48" i="42" a="1"/>
  <c r="P48" i="42" s="1"/>
  <c r="O48" i="42" a="1"/>
  <c r="O48" i="42" s="1"/>
  <c r="N48" i="42" a="1"/>
  <c r="N48" i="42" s="1"/>
  <c r="M48" i="42" a="1"/>
  <c r="M48" i="42" s="1"/>
  <c r="F81" i="42"/>
  <c r="E81" i="42"/>
  <c r="D81" i="42"/>
  <c r="C81" i="42"/>
  <c r="B81" i="42"/>
  <c r="J418" i="28" l="1"/>
  <c r="N453" i="28"/>
  <c r="M76" i="43" a="1"/>
  <c r="M76" i="43" s="1"/>
  <c r="N250" i="28"/>
  <c r="N76" i="43" a="1"/>
  <c r="N76" i="43" s="1"/>
  <c r="O250" i="28"/>
  <c r="O76" i="43" a="1"/>
  <c r="O76" i="43" s="1"/>
  <c r="P250" i="28"/>
  <c r="P76" i="43" a="1"/>
  <c r="P76" i="43" s="1"/>
  <c r="Q250" i="28"/>
  <c r="L453" i="28"/>
  <c r="T64" i="47" a="1"/>
  <c r="T64" i="47" s="1"/>
  <c r="L418" i="28"/>
  <c r="O479" i="28"/>
  <c r="O483" i="28"/>
  <c r="O478" i="28"/>
  <c r="O496" i="28"/>
  <c r="N484" i="28"/>
  <c r="K453" i="28"/>
  <c r="K469" i="28"/>
  <c r="K484" i="28"/>
  <c r="J500" i="28"/>
  <c r="J453" i="28"/>
  <c r="J484" i="28"/>
  <c r="M453" i="28"/>
  <c r="M484" i="28"/>
  <c r="L469" i="28"/>
  <c r="L500" i="28"/>
  <c r="L484" i="28"/>
  <c r="N469" i="28"/>
  <c r="O499" i="28"/>
  <c r="N500" i="28"/>
  <c r="O452" i="28"/>
  <c r="O494" i="28"/>
  <c r="O450" i="28"/>
  <c r="O481" i="28"/>
  <c r="K418" i="28"/>
  <c r="O448" i="28"/>
  <c r="J469" i="28"/>
  <c r="M418" i="28"/>
  <c r="O451" i="28"/>
  <c r="O482" i="28"/>
  <c r="M500" i="28"/>
  <c r="K500" i="28"/>
  <c r="E85" i="42"/>
  <c r="T66" i="47" a="1"/>
  <c r="T66" i="47" s="1"/>
  <c r="O465" i="28"/>
  <c r="M469" i="28"/>
  <c r="O480" i="28"/>
  <c r="F81" i="45"/>
  <c r="R114" i="48"/>
  <c r="R116" i="48" s="1"/>
  <c r="R114" i="49"/>
  <c r="R116" i="49" s="1"/>
  <c r="P114" i="46"/>
  <c r="P116" i="46" s="1"/>
  <c r="C81" i="45"/>
  <c r="O114" i="46"/>
  <c r="O116" i="46" s="1"/>
  <c r="M114" i="46"/>
  <c r="M116" i="46" s="1"/>
  <c r="O468" i="28"/>
  <c r="N114" i="46"/>
  <c r="N116" i="46" s="1"/>
  <c r="I418" i="28"/>
  <c r="Q114" i="46"/>
  <c r="R74" i="59"/>
  <c r="R62" i="59"/>
  <c r="B108" i="42"/>
  <c r="H104" i="46"/>
  <c r="R106" i="46"/>
  <c r="T75" i="46" a="1"/>
  <c r="T75" i="46" s="1"/>
  <c r="F108" i="42"/>
  <c r="F82" i="42"/>
  <c r="F84" i="42"/>
  <c r="F90" i="42"/>
  <c r="F92" i="42"/>
  <c r="B94" i="42"/>
  <c r="D87" i="43"/>
  <c r="D91" i="43"/>
  <c r="F96" i="43"/>
  <c r="F98" i="43"/>
  <c r="C83" i="42"/>
  <c r="C85" i="42"/>
  <c r="C86" i="42"/>
  <c r="D94" i="42"/>
  <c r="F87" i="43"/>
  <c r="F88" i="43"/>
  <c r="Q116" i="46"/>
  <c r="C108" i="42"/>
  <c r="E82" i="42"/>
  <c r="B91" i="42"/>
  <c r="E87" i="43"/>
  <c r="C88" i="43"/>
  <c r="E91" i="43"/>
  <c r="C96" i="43"/>
  <c r="D86" i="44"/>
  <c r="I98" i="48"/>
  <c r="D108" i="42"/>
  <c r="C91" i="42"/>
  <c r="D88" i="43"/>
  <c r="F91" i="43"/>
  <c r="D96" i="43"/>
  <c r="D98" i="43"/>
  <c r="E108" i="42"/>
  <c r="B83" i="42"/>
  <c r="E84" i="42"/>
  <c r="B85" i="42"/>
  <c r="B86" i="42"/>
  <c r="E90" i="42"/>
  <c r="E92" i="42"/>
  <c r="F93" i="42"/>
  <c r="C94" i="42"/>
  <c r="C87" i="43"/>
  <c r="E88" i="43"/>
  <c r="C91" i="43"/>
  <c r="E96" i="43"/>
  <c r="E98" i="43"/>
  <c r="C83" i="44"/>
  <c r="R105" i="46"/>
  <c r="I95" i="50"/>
  <c r="I99" i="48"/>
  <c r="U63" i="49" a="1"/>
  <c r="U63" i="49" s="1"/>
  <c r="U46" i="49" a="1"/>
  <c r="U46" i="49" s="1"/>
  <c r="I103" i="50"/>
  <c r="I94" i="50"/>
  <c r="D82" i="42"/>
  <c r="D84" i="42"/>
  <c r="D113" i="42"/>
  <c r="D90" i="42"/>
  <c r="D92" i="42"/>
  <c r="E93" i="42"/>
  <c r="T87" i="46" a="1"/>
  <c r="T87" i="46" s="1"/>
  <c r="H103" i="47"/>
  <c r="H99" i="47"/>
  <c r="U53" i="50" a="1"/>
  <c r="U53" i="50" s="1"/>
  <c r="U59" i="50" a="1"/>
  <c r="U59" i="50" s="1"/>
  <c r="S96" i="50"/>
  <c r="S108" i="50"/>
  <c r="U50" i="49" a="1"/>
  <c r="U50" i="49" s="1"/>
  <c r="S99" i="49"/>
  <c r="S108" i="49"/>
  <c r="S115" i="49" s="1"/>
  <c r="F85" i="45"/>
  <c r="F88" i="45"/>
  <c r="B76" i="45"/>
  <c r="B78" i="45"/>
  <c r="B86" i="45"/>
  <c r="B87" i="45"/>
  <c r="D85" i="45"/>
  <c r="D88" i="45"/>
  <c r="E85" i="45"/>
  <c r="E88" i="45"/>
  <c r="T41" i="46" a="1"/>
  <c r="T41" i="46" s="1"/>
  <c r="S85" i="47" a="1"/>
  <c r="S85" i="47" s="1"/>
  <c r="S106" i="47" s="1"/>
  <c r="H106" i="47"/>
  <c r="T81" i="48" a="1"/>
  <c r="T81" i="48" s="1"/>
  <c r="T105" i="48" s="1"/>
  <c r="I105" i="48"/>
  <c r="T41" i="48" a="1"/>
  <c r="T41" i="48" s="1"/>
  <c r="I100" i="48"/>
  <c r="I98" i="50"/>
  <c r="I94" i="49"/>
  <c r="I103" i="49"/>
  <c r="I96" i="49"/>
  <c r="I97" i="49"/>
  <c r="I99" i="49"/>
  <c r="S78" i="47" a="1"/>
  <c r="S78" i="47" s="1"/>
  <c r="H104" i="47"/>
  <c r="T85" i="48" a="1"/>
  <c r="T85" i="48" s="1"/>
  <c r="T106" i="48" s="1"/>
  <c r="I106" i="48"/>
  <c r="T85" i="50" a="1"/>
  <c r="T85" i="50" s="1"/>
  <c r="T106" i="50" s="1"/>
  <c r="I106" i="50"/>
  <c r="S41" i="46" a="1"/>
  <c r="S41" i="46" s="1"/>
  <c r="H100" i="46"/>
  <c r="F113" i="42"/>
  <c r="D101" i="43"/>
  <c r="H95" i="46"/>
  <c r="S88" i="46" a="1"/>
  <c r="S88" i="46" s="1"/>
  <c r="S107" i="46" s="1"/>
  <c r="H107" i="46"/>
  <c r="T88" i="50" a="1"/>
  <c r="T88" i="50" s="1"/>
  <c r="T107" i="50" s="1"/>
  <c r="I107" i="50"/>
  <c r="T41" i="50" a="1"/>
  <c r="T41" i="50" s="1"/>
  <c r="I100" i="50"/>
  <c r="S88" i="47" a="1"/>
  <c r="S88" i="47" s="1"/>
  <c r="S107" i="47" s="1"/>
  <c r="H107" i="47"/>
  <c r="I97" i="48"/>
  <c r="T88" i="48" a="1"/>
  <c r="T88" i="48" s="1"/>
  <c r="T107" i="48" s="1"/>
  <c r="I107" i="48"/>
  <c r="I95" i="49"/>
  <c r="I108" i="49"/>
  <c r="S41" i="47" a="1"/>
  <c r="S41" i="47" s="1"/>
  <c r="H100" i="47"/>
  <c r="E83" i="42"/>
  <c r="E86" i="42"/>
  <c r="E91" i="42"/>
  <c r="F94" i="42"/>
  <c r="T77" i="46" a="1"/>
  <c r="T77" i="46" s="1"/>
  <c r="H103" i="46"/>
  <c r="I98" i="49"/>
  <c r="H94" i="47"/>
  <c r="S81" i="47" a="1"/>
  <c r="S81" i="47" s="1"/>
  <c r="S105" i="47" s="1"/>
  <c r="H105" i="47"/>
  <c r="H108" i="46"/>
  <c r="E113" i="42"/>
  <c r="I108" i="48"/>
  <c r="T81" i="47" a="1"/>
  <c r="T81" i="47" s="1"/>
  <c r="S85" i="46" a="1"/>
  <c r="S85" i="46" s="1"/>
  <c r="S106" i="46" s="1"/>
  <c r="H106" i="46"/>
  <c r="D85" i="42"/>
  <c r="D86" i="42"/>
  <c r="D91" i="42"/>
  <c r="B90" i="43"/>
  <c r="F86" i="44"/>
  <c r="C86" i="45"/>
  <c r="C87" i="45"/>
  <c r="H99" i="46"/>
  <c r="B93" i="42"/>
  <c r="T41" i="49" a="1"/>
  <c r="T41" i="49" s="1"/>
  <c r="I100" i="49"/>
  <c r="T78" i="50" a="1"/>
  <c r="T78" i="50" s="1"/>
  <c r="T104" i="50" s="1"/>
  <c r="I104" i="50"/>
  <c r="B82" i="42"/>
  <c r="B84" i="42"/>
  <c r="B113" i="42"/>
  <c r="B90" i="42"/>
  <c r="B92" i="42"/>
  <c r="C93" i="42"/>
  <c r="H97" i="47"/>
  <c r="T78" i="48" a="1"/>
  <c r="T78" i="48" s="1"/>
  <c r="T104" i="48" s="1"/>
  <c r="I104" i="48"/>
  <c r="I99" i="50"/>
  <c r="H96" i="46"/>
  <c r="H95" i="47"/>
  <c r="H94" i="46"/>
  <c r="I97" i="50"/>
  <c r="H105" i="46"/>
  <c r="R173" i="57"/>
  <c r="D83" i="42"/>
  <c r="E94" i="42"/>
  <c r="B92" i="43"/>
  <c r="E83" i="44"/>
  <c r="C76" i="45"/>
  <c r="C78" i="45"/>
  <c r="C89" i="45"/>
  <c r="T41" i="47" a="1"/>
  <c r="T41" i="47" s="1"/>
  <c r="I96" i="48"/>
  <c r="I103" i="48"/>
  <c r="I95" i="48"/>
  <c r="T81" i="50" a="1"/>
  <c r="T81" i="50" s="1"/>
  <c r="T105" i="50" s="1"/>
  <c r="I105" i="50"/>
  <c r="F83" i="42"/>
  <c r="F85" i="42"/>
  <c r="F86" i="42"/>
  <c r="F91" i="42"/>
  <c r="H98" i="46"/>
  <c r="T81" i="46" a="1"/>
  <c r="T81" i="46" s="1"/>
  <c r="C82" i="42"/>
  <c r="C84" i="42"/>
  <c r="C113" i="42"/>
  <c r="C90" i="42"/>
  <c r="C92" i="42"/>
  <c r="D93" i="42"/>
  <c r="H97" i="46"/>
  <c r="H98" i="47"/>
  <c r="H108" i="47"/>
  <c r="I94" i="48"/>
  <c r="T70" i="49" a="1"/>
  <c r="T70" i="49" s="1"/>
  <c r="T107" i="49" s="1"/>
  <c r="I107" i="49"/>
  <c r="T71" i="50" a="1"/>
  <c r="T71" i="50" s="1"/>
  <c r="I108" i="50"/>
  <c r="S105" i="46"/>
  <c r="S97" i="50"/>
  <c r="S100" i="50"/>
  <c r="R97" i="47"/>
  <c r="O466" i="28" s="1"/>
  <c r="S108" i="48"/>
  <c r="S115" i="48" s="1"/>
  <c r="T96" i="49"/>
  <c r="S99" i="50"/>
  <c r="R103" i="46"/>
  <c r="R108" i="47"/>
  <c r="S95" i="50"/>
  <c r="S94" i="50"/>
  <c r="R100" i="46"/>
  <c r="S100" i="48"/>
  <c r="S90" i="50"/>
  <c r="S100" i="49"/>
  <c r="R100" i="47"/>
  <c r="R108" i="46"/>
  <c r="R115" i="46" s="1"/>
  <c r="R95" i="46"/>
  <c r="R98" i="47"/>
  <c r="O467" i="28" s="1"/>
  <c r="T103" i="49"/>
  <c r="S90" i="49"/>
  <c r="S98" i="50"/>
  <c r="S98" i="48"/>
  <c r="F78" i="44"/>
  <c r="B86" i="44"/>
  <c r="F87" i="45"/>
  <c r="E90" i="43"/>
  <c r="F78" i="45"/>
  <c r="F92" i="43"/>
  <c r="F97" i="43"/>
  <c r="M78" i="43" a="1"/>
  <c r="M78" i="43" s="1"/>
  <c r="M99" i="43" s="1"/>
  <c r="B99" i="43"/>
  <c r="D78" i="44"/>
  <c r="B88" i="45"/>
  <c r="B87" i="43"/>
  <c r="B88" i="43"/>
  <c r="B91" i="43"/>
  <c r="B96" i="43"/>
  <c r="B98" i="43"/>
  <c r="N78" i="43" a="1"/>
  <c r="N78" i="43" s="1"/>
  <c r="N99" i="43" s="1"/>
  <c r="C99" i="43"/>
  <c r="C85" i="45"/>
  <c r="C88" i="45"/>
  <c r="M41" i="43" a="1"/>
  <c r="M41" i="43" s="1"/>
  <c r="B93" i="43"/>
  <c r="B97" i="43"/>
  <c r="O41" i="43" a="1"/>
  <c r="O41" i="43" s="1"/>
  <c r="D93" i="43"/>
  <c r="D90" i="43"/>
  <c r="D92" i="43"/>
  <c r="D97" i="43"/>
  <c r="P81" i="43" a="1"/>
  <c r="P81" i="43" s="1"/>
  <c r="P100" i="43" s="1"/>
  <c r="E100" i="43"/>
  <c r="B78" i="44"/>
  <c r="B84" i="44"/>
  <c r="C85" i="44"/>
  <c r="E76" i="45"/>
  <c r="E78" i="45"/>
  <c r="E89" i="45"/>
  <c r="P54" i="45" a="1"/>
  <c r="P54" i="45" s="1"/>
  <c r="E84" i="45"/>
  <c r="E86" i="45"/>
  <c r="E87" i="45"/>
  <c r="P41" i="43" a="1"/>
  <c r="P41" i="43" s="1"/>
  <c r="E93" i="43"/>
  <c r="E92" i="43"/>
  <c r="E97" i="43"/>
  <c r="F76" i="45"/>
  <c r="F89" i="45"/>
  <c r="Q54" i="45" a="1"/>
  <c r="Q54" i="45" s="1"/>
  <c r="F84" i="45"/>
  <c r="F86" i="45"/>
  <c r="Q41" i="43" a="1"/>
  <c r="Q41" i="43" s="1"/>
  <c r="F93" i="43"/>
  <c r="F90" i="43"/>
  <c r="O81" i="43" a="1"/>
  <c r="O81" i="43" s="1"/>
  <c r="O100" i="43" s="1"/>
  <c r="D100" i="43"/>
  <c r="D79" i="44"/>
  <c r="B85" i="45"/>
  <c r="C101" i="43"/>
  <c r="C98" i="43"/>
  <c r="O78" i="43" a="1"/>
  <c r="O78" i="43" s="1"/>
  <c r="O99" i="43" s="1"/>
  <c r="D99" i="43"/>
  <c r="N81" i="43" a="1"/>
  <c r="N81" i="43" s="1"/>
  <c r="N100" i="43" s="1"/>
  <c r="C100" i="43"/>
  <c r="F84" i="44"/>
  <c r="P78" i="43" a="1"/>
  <c r="P78" i="43" s="1"/>
  <c r="P99" i="43" s="1"/>
  <c r="E99" i="43"/>
  <c r="Q78" i="43" a="1"/>
  <c r="Q78" i="43" s="1"/>
  <c r="Q99" i="43" s="1"/>
  <c r="F99" i="43"/>
  <c r="E101" i="43"/>
  <c r="M81" i="43" a="1"/>
  <c r="M81" i="43" s="1"/>
  <c r="M100" i="43" s="1"/>
  <c r="B100" i="43"/>
  <c r="F101" i="43"/>
  <c r="M54" i="45" a="1"/>
  <c r="M54" i="45" s="1"/>
  <c r="B84" i="45"/>
  <c r="N54" i="45" a="1"/>
  <c r="N54" i="45" s="1"/>
  <c r="C84" i="45"/>
  <c r="N41" i="43" a="1"/>
  <c r="N41" i="43" s="1"/>
  <c r="C93" i="43"/>
  <c r="C90" i="43"/>
  <c r="C92" i="43"/>
  <c r="C97" i="43"/>
  <c r="D76" i="45"/>
  <c r="D78" i="45"/>
  <c r="D89" i="45"/>
  <c r="O54" i="45" a="1"/>
  <c r="O54" i="45" s="1"/>
  <c r="D84" i="45"/>
  <c r="D86" i="45"/>
  <c r="D87" i="45"/>
  <c r="Q81" i="43" a="1"/>
  <c r="Q81" i="43" s="1"/>
  <c r="F100" i="43"/>
  <c r="AC89" i="57" a="1"/>
  <c r="AC89" i="57" s="1"/>
  <c r="R179" i="57"/>
  <c r="O53" i="44" a="1"/>
  <c r="O53" i="44" s="1"/>
  <c r="O82" i="44" s="1"/>
  <c r="D82" i="44"/>
  <c r="F79" i="44"/>
  <c r="O51" i="44" a="1"/>
  <c r="O51" i="44" s="1"/>
  <c r="D87" i="44"/>
  <c r="B79" i="44"/>
  <c r="M53" i="44" a="1"/>
  <c r="M53" i="44" s="1"/>
  <c r="M82" i="44" s="1"/>
  <c r="B82" i="44"/>
  <c r="Q53" i="44" a="1"/>
  <c r="Q53" i="44" s="1"/>
  <c r="Q82" i="44" s="1"/>
  <c r="F82" i="44"/>
  <c r="C79" i="44"/>
  <c r="C78" i="44"/>
  <c r="P51" i="44" a="1"/>
  <c r="P51" i="44" s="1"/>
  <c r="E87" i="44"/>
  <c r="N53" i="44" a="1"/>
  <c r="N53" i="44" s="1"/>
  <c r="N82" i="44" s="1"/>
  <c r="C82" i="44"/>
  <c r="B83" i="44"/>
  <c r="F83" i="44"/>
  <c r="C84" i="44"/>
  <c r="D85" i="44"/>
  <c r="E86" i="44"/>
  <c r="M51" i="44" a="1"/>
  <c r="M51" i="44" s="1"/>
  <c r="B87" i="44"/>
  <c r="D84" i="44"/>
  <c r="E85" i="44"/>
  <c r="Q51" i="44" a="1"/>
  <c r="Q51" i="44" s="1"/>
  <c r="F87" i="44"/>
  <c r="E79" i="44"/>
  <c r="E78" i="44"/>
  <c r="N51" i="44" a="1"/>
  <c r="N51" i="44" s="1"/>
  <c r="C87" i="44"/>
  <c r="P53" i="44" a="1"/>
  <c r="P53" i="44" s="1"/>
  <c r="P82" i="44" s="1"/>
  <c r="E82" i="44"/>
  <c r="D83" i="44"/>
  <c r="E84" i="44"/>
  <c r="B85" i="44"/>
  <c r="F85" i="44"/>
  <c r="C86" i="44"/>
  <c r="T61" i="50" a="1"/>
  <c r="T61" i="50" s="1"/>
  <c r="T98" i="50" s="1"/>
  <c r="T67" i="50" a="1"/>
  <c r="T67" i="50" s="1"/>
  <c r="U47" i="50" a="1"/>
  <c r="U47" i="50" s="1"/>
  <c r="U55" i="50" a="1"/>
  <c r="U55" i="50" s="1"/>
  <c r="T73" i="50" a="1"/>
  <c r="T73" i="50" s="1"/>
  <c r="T103" i="50" s="1"/>
  <c r="U61" i="50" a="1"/>
  <c r="U61" i="50" s="1"/>
  <c r="T44" i="50" a="1"/>
  <c r="T44" i="50" s="1"/>
  <c r="T72" i="50" a="1"/>
  <c r="T72" i="50" s="1"/>
  <c r="T57" i="50" a="1"/>
  <c r="T57" i="50" s="1"/>
  <c r="U55" i="49" a="1"/>
  <c r="U55" i="49" s="1"/>
  <c r="U67" i="49" a="1"/>
  <c r="U67" i="49" s="1"/>
  <c r="T71" i="49" a="1"/>
  <c r="T71" i="49" s="1"/>
  <c r="T108" i="49" s="1"/>
  <c r="T115" i="49" s="1"/>
  <c r="T61" i="49" a="1"/>
  <c r="T61" i="49" s="1"/>
  <c r="T98" i="49" s="1"/>
  <c r="T44" i="49" a="1"/>
  <c r="T44" i="49" s="1"/>
  <c r="T94" i="49" s="1"/>
  <c r="U44" i="49" a="1"/>
  <c r="U44" i="49" s="1"/>
  <c r="U71" i="49" a="1"/>
  <c r="U71" i="49" s="1"/>
  <c r="U57" i="49" a="1"/>
  <c r="U57" i="49" s="1"/>
  <c r="T47" i="49" a="1"/>
  <c r="T47" i="49" s="1"/>
  <c r="T95" i="49" s="1"/>
  <c r="U73" i="49" a="1"/>
  <c r="U73" i="49" s="1"/>
  <c r="T57" i="49" a="1"/>
  <c r="T57" i="49" s="1"/>
  <c r="T97" i="49" s="1"/>
  <c r="T73" i="48" a="1"/>
  <c r="T73" i="48" s="1"/>
  <c r="T103" i="48" s="1"/>
  <c r="T57" i="48" a="1"/>
  <c r="T57" i="48" s="1"/>
  <c r="T97" i="48" s="1"/>
  <c r="T61" i="48" a="1"/>
  <c r="T61" i="48" s="1"/>
  <c r="T55" i="48" a="1"/>
  <c r="T55" i="48" s="1"/>
  <c r="T96" i="48" s="1"/>
  <c r="T71" i="48" a="1"/>
  <c r="T71" i="48" s="1"/>
  <c r="T44" i="48" a="1"/>
  <c r="T44" i="48" s="1"/>
  <c r="T94" i="48" s="1"/>
  <c r="T47" i="48" a="1"/>
  <c r="T47" i="48" s="1"/>
  <c r="T95" i="48" s="1"/>
  <c r="S90" i="48"/>
  <c r="T67" i="48" a="1"/>
  <c r="T67" i="48" s="1"/>
  <c r="T99" i="48" s="1"/>
  <c r="S67" i="47" a="1"/>
  <c r="S67" i="47" s="1"/>
  <c r="S99" i="47" s="1"/>
  <c r="S55" i="47" a="1"/>
  <c r="S55" i="47" s="1"/>
  <c r="S96" i="47" s="1"/>
  <c r="S73" i="47" a="1"/>
  <c r="S73" i="47" s="1"/>
  <c r="S57" i="47" a="1"/>
  <c r="S57" i="47" s="1"/>
  <c r="R90" i="47"/>
  <c r="S61" i="47" a="1"/>
  <c r="S61" i="47" s="1"/>
  <c r="S98" i="47" s="1"/>
  <c r="S71" i="47" a="1"/>
  <c r="S71" i="47" s="1"/>
  <c r="S67" i="46" a="1"/>
  <c r="S67" i="46" s="1"/>
  <c r="S99" i="46" s="1"/>
  <c r="T71" i="46" a="1"/>
  <c r="T71" i="46" s="1"/>
  <c r="S55" i="46" a="1"/>
  <c r="S55" i="46" s="1"/>
  <c r="S96" i="46" s="1"/>
  <c r="S73" i="46" a="1"/>
  <c r="S73" i="46" s="1"/>
  <c r="S44" i="46" a="1"/>
  <c r="S44" i="46" s="1"/>
  <c r="R90" i="46"/>
  <c r="S57" i="46" a="1"/>
  <c r="S57" i="46" s="1"/>
  <c r="S97" i="46" s="1"/>
  <c r="S61" i="46" a="1"/>
  <c r="S61" i="46" s="1"/>
  <c r="S98" i="46" s="1"/>
  <c r="T44" i="46" a="1"/>
  <c r="T44" i="46" s="1"/>
  <c r="M41" i="45" a="1"/>
  <c r="M41" i="45" s="1"/>
  <c r="Q41" i="45" a="1"/>
  <c r="Q41" i="45" s="1"/>
  <c r="P44" i="45" a="1"/>
  <c r="P44" i="45" s="1"/>
  <c r="P75" i="45" s="1"/>
  <c r="O45" i="45" a="1"/>
  <c r="O45" i="45" s="1"/>
  <c r="O76" i="45" s="1"/>
  <c r="O47" i="45" a="1"/>
  <c r="O47" i="45" s="1"/>
  <c r="O78" i="45" s="1"/>
  <c r="P50" i="45" a="1"/>
  <c r="P50" i="45" s="1"/>
  <c r="P79" i="45" s="1"/>
  <c r="O52" i="45" a="1"/>
  <c r="O52" i="45" s="1"/>
  <c r="M58" i="45" a="1"/>
  <c r="M58" i="45" s="1"/>
  <c r="Q58" i="45" a="1"/>
  <c r="Q58" i="45" s="1"/>
  <c r="P59" i="45" a="1"/>
  <c r="P59" i="45" s="1"/>
  <c r="P85" i="45" s="1"/>
  <c r="M62" i="45" a="1"/>
  <c r="M62" i="45" s="1"/>
  <c r="M86" i="45" s="1"/>
  <c r="Q62" i="45" a="1"/>
  <c r="Q62" i="45" s="1"/>
  <c r="Q86" i="45" s="1"/>
  <c r="M66" i="45" a="1"/>
  <c r="M66" i="45" s="1"/>
  <c r="M87" i="45" s="1"/>
  <c r="Q66" i="45" a="1"/>
  <c r="Q66" i="45" s="1"/>
  <c r="Q87" i="45" s="1"/>
  <c r="N69" i="45" a="1"/>
  <c r="N69" i="45" s="1"/>
  <c r="N88" i="45" s="1"/>
  <c r="M47" i="45" a="1"/>
  <c r="M47" i="45" s="1"/>
  <c r="M78" i="45" s="1"/>
  <c r="Q47" i="45" a="1"/>
  <c r="Q47" i="45" s="1"/>
  <c r="Q78" i="45" s="1"/>
  <c r="O41" i="45" a="1"/>
  <c r="O41" i="45" s="1"/>
  <c r="N44" i="45" a="1"/>
  <c r="N44" i="45" s="1"/>
  <c r="N75" i="45" s="1"/>
  <c r="M45" i="45" a="1"/>
  <c r="M45" i="45" s="1"/>
  <c r="M76" i="45" s="1"/>
  <c r="Q45" i="45" a="1"/>
  <c r="Q45" i="45" s="1"/>
  <c r="Q76" i="45" s="1"/>
  <c r="P41" i="45" a="1"/>
  <c r="P41" i="45" s="1"/>
  <c r="O44" i="45" a="1"/>
  <c r="O44" i="45" s="1"/>
  <c r="O75" i="45" s="1"/>
  <c r="N45" i="45" a="1"/>
  <c r="N45" i="45" s="1"/>
  <c r="N76" i="45" s="1"/>
  <c r="P47" i="45" a="1"/>
  <c r="P47" i="45" s="1"/>
  <c r="P78" i="45" s="1"/>
  <c r="M50" i="45" a="1"/>
  <c r="M50" i="45" s="1"/>
  <c r="M79" i="45" s="1"/>
  <c r="Q50" i="45" a="1"/>
  <c r="Q50" i="45" s="1"/>
  <c r="Q79" i="45" s="1"/>
  <c r="P52" i="45" a="1"/>
  <c r="P52" i="45" s="1"/>
  <c r="N58" i="45" a="1"/>
  <c r="N58" i="45" s="1"/>
  <c r="M59" i="45" a="1"/>
  <c r="M59" i="45" s="1"/>
  <c r="M85" i="45" s="1"/>
  <c r="Q59" i="45" a="1"/>
  <c r="Q59" i="45" s="1"/>
  <c r="Q85" i="45" s="1"/>
  <c r="N62" i="45" a="1"/>
  <c r="N62" i="45" s="1"/>
  <c r="N86" i="45" s="1"/>
  <c r="N66" i="45" a="1"/>
  <c r="N66" i="45" s="1"/>
  <c r="N87" i="45" s="1"/>
  <c r="O69" i="45" a="1"/>
  <c r="O69" i="45" s="1"/>
  <c r="O88" i="45" s="1"/>
  <c r="O58" i="45" a="1"/>
  <c r="O58" i="45" s="1"/>
  <c r="N59" i="45" a="1"/>
  <c r="N59" i="45" s="1"/>
  <c r="N85" i="45" s="1"/>
  <c r="O62" i="45" a="1"/>
  <c r="O62" i="45" s="1"/>
  <c r="O86" i="45" s="1"/>
  <c r="O66" i="45" a="1"/>
  <c r="O66" i="45" s="1"/>
  <c r="O87" i="45" s="1"/>
  <c r="P69" i="45" a="1"/>
  <c r="P69" i="45" s="1"/>
  <c r="P88" i="45" s="1"/>
  <c r="N50" i="45" a="1"/>
  <c r="N50" i="45" s="1"/>
  <c r="N79" i="45" s="1"/>
  <c r="M52" i="45" a="1"/>
  <c r="M52" i="45" s="1"/>
  <c r="Q52" i="45" a="1"/>
  <c r="Q52" i="45" s="1"/>
  <c r="N41" i="45" a="1"/>
  <c r="N41" i="45" s="1"/>
  <c r="M44" i="45" a="1"/>
  <c r="M44" i="45" s="1"/>
  <c r="M75" i="45" s="1"/>
  <c r="Q44" i="45" a="1"/>
  <c r="Q44" i="45" s="1"/>
  <c r="Q75" i="45" s="1"/>
  <c r="P45" i="45" a="1"/>
  <c r="P45" i="45" s="1"/>
  <c r="P76" i="45" s="1"/>
  <c r="N47" i="45" a="1"/>
  <c r="N47" i="45" s="1"/>
  <c r="N78" i="45" s="1"/>
  <c r="O50" i="45" a="1"/>
  <c r="O50" i="45" s="1"/>
  <c r="O79" i="45" s="1"/>
  <c r="N52" i="45" a="1"/>
  <c r="N52" i="45" s="1"/>
  <c r="P58" i="45" a="1"/>
  <c r="P58" i="45" s="1"/>
  <c r="O59" i="45" a="1"/>
  <c r="O59" i="45" s="1"/>
  <c r="O85" i="45" s="1"/>
  <c r="P62" i="45" a="1"/>
  <c r="P62" i="45" s="1"/>
  <c r="P86" i="45" s="1"/>
  <c r="P66" i="45" a="1"/>
  <c r="P66" i="45" s="1"/>
  <c r="P87" i="45" s="1"/>
  <c r="M69" i="45" a="1"/>
  <c r="M69" i="45" s="1"/>
  <c r="M88" i="45" s="1"/>
  <c r="Q69" i="45" a="1"/>
  <c r="Q69" i="45" s="1"/>
  <c r="Q88" i="45" s="1"/>
  <c r="O44" i="44" a="1"/>
  <c r="O44" i="44" s="1"/>
  <c r="O73" i="44" s="1"/>
  <c r="M47" i="44" a="1"/>
  <c r="M47" i="44" s="1"/>
  <c r="M76" i="44" s="1"/>
  <c r="P49" i="44" a="1"/>
  <c r="P49" i="44" s="1"/>
  <c r="O58" i="44" a="1"/>
  <c r="O58" i="44" s="1"/>
  <c r="O83" i="44" s="1"/>
  <c r="P61" i="44" a="1"/>
  <c r="P61" i="44" s="1"/>
  <c r="P84" i="44" s="1"/>
  <c r="M41" i="44" a="1"/>
  <c r="M41" i="44" s="1"/>
  <c r="P44" i="44" a="1"/>
  <c r="P44" i="44" s="1"/>
  <c r="P73" i="44" s="1"/>
  <c r="O45" i="44" a="1"/>
  <c r="O45" i="44" s="1"/>
  <c r="O74" i="44" s="1"/>
  <c r="N47" i="44" a="1"/>
  <c r="N47" i="44" s="1"/>
  <c r="N76" i="44" s="1"/>
  <c r="M49" i="44" a="1"/>
  <c r="M49" i="44" s="1"/>
  <c r="Q49" i="44" a="1"/>
  <c r="Q49" i="44" s="1"/>
  <c r="P50" i="44" a="1"/>
  <c r="P50" i="44" s="1"/>
  <c r="O68" i="44" a="1"/>
  <c r="O68" i="44" s="1"/>
  <c r="O86" i="44" s="1"/>
  <c r="P41" i="44" a="1"/>
  <c r="P41" i="44" s="1"/>
  <c r="N45" i="44" a="1"/>
  <c r="N45" i="44" s="1"/>
  <c r="N74" i="44" s="1"/>
  <c r="Q47" i="44" a="1"/>
  <c r="Q47" i="44" s="1"/>
  <c r="Q76" i="44" s="1"/>
  <c r="O50" i="44" a="1"/>
  <c r="O50" i="44" s="1"/>
  <c r="M65" i="44" a="1"/>
  <c r="M65" i="44" s="1"/>
  <c r="M85" i="44" s="1"/>
  <c r="Q65" i="44" a="1"/>
  <c r="Q65" i="44" s="1"/>
  <c r="Q85" i="44" s="1"/>
  <c r="N68" i="44" a="1"/>
  <c r="N68" i="44" s="1"/>
  <c r="N86" i="44" s="1"/>
  <c r="P58" i="44" a="1"/>
  <c r="P58" i="44" s="1"/>
  <c r="P83" i="44" s="1"/>
  <c r="M61" i="44" a="1"/>
  <c r="M61" i="44" s="1"/>
  <c r="M84" i="44" s="1"/>
  <c r="Q61" i="44" a="1"/>
  <c r="Q61" i="44" s="1"/>
  <c r="Q84" i="44" s="1"/>
  <c r="N65" i="44" a="1"/>
  <c r="N65" i="44" s="1"/>
  <c r="N85" i="44" s="1"/>
  <c r="N41" i="44" a="1"/>
  <c r="N41" i="44" s="1"/>
  <c r="M44" i="44" a="1"/>
  <c r="M44" i="44" s="1"/>
  <c r="M73" i="44" s="1"/>
  <c r="Q44" i="44" a="1"/>
  <c r="Q44" i="44" s="1"/>
  <c r="Q73" i="44" s="1"/>
  <c r="P45" i="44" a="1"/>
  <c r="P45" i="44" s="1"/>
  <c r="P74" i="44" s="1"/>
  <c r="O47" i="44" a="1"/>
  <c r="O47" i="44" s="1"/>
  <c r="O76" i="44" s="1"/>
  <c r="N49" i="44" a="1"/>
  <c r="N49" i="44" s="1"/>
  <c r="M50" i="44" a="1"/>
  <c r="M50" i="44" s="1"/>
  <c r="Q50" i="44" a="1"/>
  <c r="Q50" i="44" s="1"/>
  <c r="M58" i="44" a="1"/>
  <c r="M58" i="44" s="1"/>
  <c r="M83" i="44" s="1"/>
  <c r="Q58" i="44" a="1"/>
  <c r="Q58" i="44" s="1"/>
  <c r="Q83" i="44" s="1"/>
  <c r="N61" i="44" a="1"/>
  <c r="N61" i="44" s="1"/>
  <c r="N84" i="44" s="1"/>
  <c r="O65" i="44" a="1"/>
  <c r="O65" i="44" s="1"/>
  <c r="O85" i="44" s="1"/>
  <c r="P68" i="44" a="1"/>
  <c r="P68" i="44" s="1"/>
  <c r="P86" i="44" s="1"/>
  <c r="O41" i="44" a="1"/>
  <c r="O41" i="44" s="1"/>
  <c r="N44" i="44" a="1"/>
  <c r="N44" i="44" s="1"/>
  <c r="N73" i="44" s="1"/>
  <c r="M45" i="44" a="1"/>
  <c r="M45" i="44" s="1"/>
  <c r="M74" i="44" s="1"/>
  <c r="Q45" i="44" a="1"/>
  <c r="Q45" i="44" s="1"/>
  <c r="Q74" i="44" s="1"/>
  <c r="P47" i="44" a="1"/>
  <c r="P47" i="44" s="1"/>
  <c r="P76" i="44" s="1"/>
  <c r="O49" i="44" a="1"/>
  <c r="O49" i="44" s="1"/>
  <c r="N50" i="44" a="1"/>
  <c r="N50" i="44" s="1"/>
  <c r="N58" i="44" a="1"/>
  <c r="N58" i="44" s="1"/>
  <c r="N83" i="44" s="1"/>
  <c r="O61" i="44" a="1"/>
  <c r="O61" i="44" s="1"/>
  <c r="O84" i="44" s="1"/>
  <c r="P65" i="44" a="1"/>
  <c r="P65" i="44" s="1"/>
  <c r="P85" i="44" s="1"/>
  <c r="M68" i="44" a="1"/>
  <c r="M68" i="44" s="1"/>
  <c r="M86" i="44" s="1"/>
  <c r="Q68" i="44" a="1"/>
  <c r="Q68" i="44" s="1"/>
  <c r="Q86" i="44" s="1"/>
  <c r="O44" i="43" a="1"/>
  <c r="O44" i="43" s="1"/>
  <c r="O87" i="43" s="1"/>
  <c r="M46" i="43" a="1"/>
  <c r="M46" i="43" s="1"/>
  <c r="Q46" i="43" a="1"/>
  <c r="Q46" i="43" s="1"/>
  <c r="O48" i="43" a="1"/>
  <c r="O48" i="43" s="1"/>
  <c r="N53" i="43" a="1"/>
  <c r="N53" i="43" s="1"/>
  <c r="N90" i="43" s="1"/>
  <c r="O56" i="43" a="1"/>
  <c r="O56" i="43" s="1"/>
  <c r="N57" i="43" a="1"/>
  <c r="N57" i="43" s="1"/>
  <c r="N61" i="43" a="1"/>
  <c r="N61" i="43" s="1"/>
  <c r="N92" i="43" s="1"/>
  <c r="O64" i="43" a="1"/>
  <c r="O64" i="43" s="1"/>
  <c r="M66" i="43" a="1"/>
  <c r="M66" i="43" s="1"/>
  <c r="M96" i="43" s="1"/>
  <c r="Q66" i="43" a="1"/>
  <c r="Q66" i="43" s="1"/>
  <c r="Q96" i="43" s="1"/>
  <c r="P71" i="43" a="1"/>
  <c r="P71" i="43" s="1"/>
  <c r="P97" i="43" s="1"/>
  <c r="M74" i="43" a="1"/>
  <c r="M74" i="43" s="1"/>
  <c r="M98" i="43" s="1"/>
  <c r="Q74" i="43" a="1"/>
  <c r="Q74" i="43" s="1"/>
  <c r="Q98" i="43" s="1"/>
  <c r="N46" i="43" a="1"/>
  <c r="N46" i="43" s="1"/>
  <c r="P48" i="43" a="1"/>
  <c r="P48" i="43" s="1"/>
  <c r="P56" i="43" a="1"/>
  <c r="P56" i="43" s="1"/>
  <c r="O57" i="43" a="1"/>
  <c r="O57" i="43" s="1"/>
  <c r="O61" i="43" a="1"/>
  <c r="O61" i="43" s="1"/>
  <c r="O92" i="43" s="1"/>
  <c r="N66" i="43" a="1"/>
  <c r="N66" i="43" s="1"/>
  <c r="N96" i="43" s="1"/>
  <c r="N44" i="43" a="1"/>
  <c r="N44" i="43" s="1"/>
  <c r="N87" i="43" s="1"/>
  <c r="P44" i="43" a="1"/>
  <c r="P44" i="43" s="1"/>
  <c r="P87" i="43" s="1"/>
  <c r="O53" i="43" a="1"/>
  <c r="O53" i="43" s="1"/>
  <c r="O90" i="43" s="1"/>
  <c r="P64" i="43" a="1"/>
  <c r="P64" i="43" s="1"/>
  <c r="M71" i="43" a="1"/>
  <c r="M71" i="43" s="1"/>
  <c r="M97" i="43" s="1"/>
  <c r="Q71" i="43" a="1"/>
  <c r="Q71" i="43" s="1"/>
  <c r="Q97" i="43" s="1"/>
  <c r="N74" i="43" a="1"/>
  <c r="N74" i="43" s="1"/>
  <c r="N98" i="43" s="1"/>
  <c r="M44" i="43" a="1"/>
  <c r="M44" i="43" s="1"/>
  <c r="M87" i="43" s="1"/>
  <c r="Q44" i="43" a="1"/>
  <c r="Q44" i="43" s="1"/>
  <c r="Q87" i="43" s="1"/>
  <c r="O46" i="43" a="1"/>
  <c r="O46" i="43" s="1"/>
  <c r="M48" i="43" a="1"/>
  <c r="M48" i="43" s="1"/>
  <c r="Q48" i="43" a="1"/>
  <c r="Q48" i="43" s="1"/>
  <c r="P53" i="43" a="1"/>
  <c r="P53" i="43" s="1"/>
  <c r="P90" i="43" s="1"/>
  <c r="M56" i="43" a="1"/>
  <c r="M56" i="43" s="1"/>
  <c r="Q56" i="43" a="1"/>
  <c r="Q56" i="43" s="1"/>
  <c r="P57" i="43" a="1"/>
  <c r="P57" i="43" s="1"/>
  <c r="P61" i="43" a="1"/>
  <c r="P61" i="43" s="1"/>
  <c r="P92" i="43" s="1"/>
  <c r="M64" i="43" a="1"/>
  <c r="M64" i="43" s="1"/>
  <c r="B101" i="43"/>
  <c r="Q64" i="43" a="1"/>
  <c r="Q64" i="43" s="1"/>
  <c r="O66" i="43" a="1"/>
  <c r="O66" i="43" s="1"/>
  <c r="O96" i="43" s="1"/>
  <c r="N71" i="43" a="1"/>
  <c r="N71" i="43" s="1"/>
  <c r="N97" i="43" s="1"/>
  <c r="O74" i="43" a="1"/>
  <c r="O74" i="43" s="1"/>
  <c r="O98" i="43" s="1"/>
  <c r="P46" i="43" a="1"/>
  <c r="P46" i="43" s="1"/>
  <c r="N48" i="43" a="1"/>
  <c r="N48" i="43" s="1"/>
  <c r="M53" i="43" a="1"/>
  <c r="M53" i="43" s="1"/>
  <c r="M90" i="43" s="1"/>
  <c r="Q53" i="43" a="1"/>
  <c r="Q53" i="43" s="1"/>
  <c r="Q90" i="43" s="1"/>
  <c r="N56" i="43" a="1"/>
  <c r="N56" i="43" s="1"/>
  <c r="M57" i="43" a="1"/>
  <c r="M57" i="43" s="1"/>
  <c r="Q57" i="43" a="1"/>
  <c r="Q57" i="43" s="1"/>
  <c r="M61" i="43" a="1"/>
  <c r="M61" i="43" s="1"/>
  <c r="M92" i="43" s="1"/>
  <c r="Q61" i="43" a="1"/>
  <c r="Q61" i="43" s="1"/>
  <c r="Q92" i="43" s="1"/>
  <c r="N64" i="43" a="1"/>
  <c r="N64" i="43" s="1"/>
  <c r="P66" i="43" a="1"/>
  <c r="P66" i="43" s="1"/>
  <c r="P96" i="43" s="1"/>
  <c r="O71" i="43" a="1"/>
  <c r="O71" i="43" s="1"/>
  <c r="O97" i="43" s="1"/>
  <c r="P74" i="43" a="1"/>
  <c r="P74" i="43" s="1"/>
  <c r="P98" i="43" s="1"/>
  <c r="B87" i="42"/>
  <c r="Q41" i="42" a="1"/>
  <c r="Q41" i="42" s="1"/>
  <c r="F87" i="42"/>
  <c r="P44" i="42" a="1"/>
  <c r="P44" i="42" s="1"/>
  <c r="P81" i="42" s="1"/>
  <c r="O45" i="42" a="1"/>
  <c r="O45" i="42" s="1"/>
  <c r="N46" i="42" a="1"/>
  <c r="N46" i="42" s="1"/>
  <c r="M47" i="42" a="1"/>
  <c r="M47" i="42" s="1"/>
  <c r="Q47" i="42" a="1"/>
  <c r="Q47" i="42" s="1"/>
  <c r="N55" i="42" a="1"/>
  <c r="N55" i="42" s="1"/>
  <c r="N86" i="42" s="1"/>
  <c r="O58" i="42" a="1"/>
  <c r="O58" i="42" s="1"/>
  <c r="D95" i="42"/>
  <c r="M60" i="42" a="1"/>
  <c r="M60" i="42" s="1"/>
  <c r="M90" i="42" s="1"/>
  <c r="Q60" i="42" a="1"/>
  <c r="Q60" i="42" s="1"/>
  <c r="Q90" i="42" s="1"/>
  <c r="P65" i="42" a="1"/>
  <c r="P65" i="42" s="1"/>
  <c r="P91" i="42" s="1"/>
  <c r="M68" i="42" a="1"/>
  <c r="M68" i="42" s="1"/>
  <c r="M92" i="42" s="1"/>
  <c r="Q68" i="42" a="1"/>
  <c r="Q68" i="42" s="1"/>
  <c r="Q92" i="42" s="1"/>
  <c r="N72" i="42" a="1"/>
  <c r="N72" i="42" s="1"/>
  <c r="N93" i="42" s="1"/>
  <c r="O75" i="42" a="1"/>
  <c r="O75" i="42" s="1"/>
  <c r="O94" i="42" s="1"/>
  <c r="O44" i="42" a="1"/>
  <c r="O44" i="42" s="1"/>
  <c r="O81" i="42" s="1"/>
  <c r="N45" i="42" a="1"/>
  <c r="N45" i="42" s="1"/>
  <c r="M46" i="42" a="1"/>
  <c r="M46" i="42" s="1"/>
  <c r="P47" i="42" a="1"/>
  <c r="P47" i="42" s="1"/>
  <c r="N51" i="42" a="1"/>
  <c r="N51" i="42" s="1"/>
  <c r="N85" i="42" s="1"/>
  <c r="N41" i="42" a="1"/>
  <c r="N41" i="42" s="1"/>
  <c r="C87" i="42"/>
  <c r="M44" i="42" a="1"/>
  <c r="M44" i="42" s="1"/>
  <c r="M81" i="42" s="1"/>
  <c r="Q44" i="42" a="1"/>
  <c r="Q44" i="42" s="1"/>
  <c r="Q81" i="42" s="1"/>
  <c r="P45" i="42" a="1"/>
  <c r="P45" i="42" s="1"/>
  <c r="O46" i="42" a="1"/>
  <c r="O46" i="42" s="1"/>
  <c r="N47" i="42" a="1"/>
  <c r="N47" i="42" s="1"/>
  <c r="P58" i="42" a="1"/>
  <c r="P58" i="42" s="1"/>
  <c r="E95" i="42"/>
  <c r="M65" i="42" a="1"/>
  <c r="M65" i="42" s="1"/>
  <c r="M91" i="42" s="1"/>
  <c r="Q65" i="42" a="1"/>
  <c r="Q65" i="42" s="1"/>
  <c r="Q91" i="42" s="1"/>
  <c r="N68" i="42" a="1"/>
  <c r="N68" i="42" s="1"/>
  <c r="N92" i="42" s="1"/>
  <c r="O72" i="42" a="1"/>
  <c r="O72" i="42" s="1"/>
  <c r="O93" i="42" s="1"/>
  <c r="P41" i="42" a="1"/>
  <c r="P41" i="42" s="1"/>
  <c r="E87" i="42"/>
  <c r="O51" i="42" a="1"/>
  <c r="O51" i="42" s="1"/>
  <c r="O85" i="42" s="1"/>
  <c r="O55" i="42" a="1"/>
  <c r="O55" i="42" s="1"/>
  <c r="O86" i="42" s="1"/>
  <c r="N60" i="42" a="1"/>
  <c r="N60" i="42" s="1"/>
  <c r="N90" i="42" s="1"/>
  <c r="P75" i="42" a="1"/>
  <c r="P75" i="42" s="1"/>
  <c r="P94" i="42" s="1"/>
  <c r="O41" i="42" a="1"/>
  <c r="O41" i="42" s="1"/>
  <c r="D87" i="42"/>
  <c r="N44" i="42" a="1"/>
  <c r="N44" i="42" s="1"/>
  <c r="N81" i="42" s="1"/>
  <c r="M45" i="42" a="1"/>
  <c r="M45" i="42" s="1"/>
  <c r="Q45" i="42" a="1"/>
  <c r="Q45" i="42" s="1"/>
  <c r="P46" i="42" a="1"/>
  <c r="P46" i="42" s="1"/>
  <c r="O47" i="42" a="1"/>
  <c r="O47" i="42" s="1"/>
  <c r="P51" i="42" a="1"/>
  <c r="P51" i="42" s="1"/>
  <c r="P85" i="42" s="1"/>
  <c r="P55" i="42" a="1"/>
  <c r="P55" i="42" s="1"/>
  <c r="P86" i="42" s="1"/>
  <c r="M58" i="42" a="1"/>
  <c r="M58" i="42" s="1"/>
  <c r="B95" i="42"/>
  <c r="Q58" i="42" a="1"/>
  <c r="Q58" i="42" s="1"/>
  <c r="F95" i="42"/>
  <c r="O60" i="42" a="1"/>
  <c r="O60" i="42" s="1"/>
  <c r="O90" i="42" s="1"/>
  <c r="N65" i="42" a="1"/>
  <c r="N65" i="42" s="1"/>
  <c r="N91" i="42" s="1"/>
  <c r="O68" i="42" a="1"/>
  <c r="O68" i="42" s="1"/>
  <c r="O92" i="42" s="1"/>
  <c r="P72" i="42" a="1"/>
  <c r="P72" i="42" s="1"/>
  <c r="P93" i="42" s="1"/>
  <c r="M75" i="42" a="1"/>
  <c r="M75" i="42" s="1"/>
  <c r="M94" i="42" s="1"/>
  <c r="Q75" i="42" a="1"/>
  <c r="Q75" i="42" s="1"/>
  <c r="Q94" i="42" s="1"/>
  <c r="Q46" i="42" a="1"/>
  <c r="Q46" i="42" s="1"/>
  <c r="M51" i="42" a="1"/>
  <c r="M51" i="42" s="1"/>
  <c r="M85" i="42" s="1"/>
  <c r="Q51" i="42" a="1"/>
  <c r="Q51" i="42" s="1"/>
  <c r="Q85" i="42" s="1"/>
  <c r="M55" i="42" a="1"/>
  <c r="M55" i="42" s="1"/>
  <c r="M86" i="42" s="1"/>
  <c r="Q55" i="42" a="1"/>
  <c r="Q55" i="42" s="1"/>
  <c r="Q86" i="42" s="1"/>
  <c r="N58" i="42" a="1"/>
  <c r="N58" i="42" s="1"/>
  <c r="C95" i="42"/>
  <c r="P60" i="42" a="1"/>
  <c r="P60" i="42" s="1"/>
  <c r="P90" i="42" s="1"/>
  <c r="O65" i="42" a="1"/>
  <c r="O65" i="42" s="1"/>
  <c r="O91" i="42" s="1"/>
  <c r="P68" i="42" a="1"/>
  <c r="P68" i="42" s="1"/>
  <c r="P92" i="42" s="1"/>
  <c r="M72" i="42" a="1"/>
  <c r="M72" i="42" s="1"/>
  <c r="M93" i="42" s="1"/>
  <c r="Q72" i="42" a="1"/>
  <c r="Q72" i="42" s="1"/>
  <c r="Q93" i="42" s="1"/>
  <c r="N75" i="42" a="1"/>
  <c r="N75" i="42" s="1"/>
  <c r="N94" i="42" s="1"/>
  <c r="M41" i="42" a="1"/>
  <c r="M41" i="42" s="1"/>
  <c r="T56" i="50" a="1"/>
  <c r="T56" i="50" s="1"/>
  <c r="T96" i="50" s="1"/>
  <c r="J96" i="50"/>
  <c r="S76" i="46" a="1"/>
  <c r="S76" i="46" s="1"/>
  <c r="R82" i="43" a="1"/>
  <c r="R82" i="43" s="1"/>
  <c r="Q82" i="43" a="1"/>
  <c r="Q82" i="43" s="1"/>
  <c r="W54" i="50" a="1"/>
  <c r="W54" i="50" s="1"/>
  <c r="V54" i="50" a="1"/>
  <c r="V54" i="50" s="1"/>
  <c r="T48" i="50" a="1"/>
  <c r="T48" i="50" s="1"/>
  <c r="T52" i="50" a="1"/>
  <c r="T52" i="50" s="1"/>
  <c r="T60" i="50" a="1"/>
  <c r="T60" i="50" s="1"/>
  <c r="T70" i="50" a="1"/>
  <c r="T70" i="50" s="1"/>
  <c r="V66" i="50" a="1"/>
  <c r="V66" i="50" s="1"/>
  <c r="U66" i="50" a="1"/>
  <c r="U66" i="50" s="1"/>
  <c r="U62" i="50" a="1"/>
  <c r="U62" i="50" s="1"/>
  <c r="T46" i="50" a="1"/>
  <c r="T46" i="50" s="1"/>
  <c r="U48" i="49" a="1"/>
  <c r="U48" i="49" s="1"/>
  <c r="T66" i="48" a="1"/>
  <c r="T66" i="48" s="1"/>
  <c r="T46" i="47" a="1"/>
  <c r="T46" i="47" s="1"/>
  <c r="S46" i="47" a="1"/>
  <c r="S46" i="47" s="1"/>
  <c r="S47" i="47" a="1"/>
  <c r="S47" i="47" s="1"/>
  <c r="S79" i="47" a="1"/>
  <c r="S79" i="47" s="1"/>
  <c r="S104" i="47" s="1"/>
  <c r="T59" i="47" a="1"/>
  <c r="T59" i="47" s="1"/>
  <c r="S59" i="47" a="1"/>
  <c r="S59" i="47" s="1"/>
  <c r="T48" i="47" a="1"/>
  <c r="T48" i="47" s="1"/>
  <c r="S48" i="47" a="1"/>
  <c r="S48" i="47" s="1"/>
  <c r="T74" i="47" a="1"/>
  <c r="T74" i="47" s="1"/>
  <c r="S74" i="47" a="1"/>
  <c r="S74" i="47" s="1"/>
  <c r="S44" i="47" a="1"/>
  <c r="S44" i="47" s="1"/>
  <c r="T45" i="47" a="1"/>
  <c r="T45" i="47" s="1"/>
  <c r="S45" i="47" a="1"/>
  <c r="S45" i="47" s="1"/>
  <c r="S58" i="47" a="1"/>
  <c r="S58" i="47" s="1"/>
  <c r="S49" i="46" a="1"/>
  <c r="S49" i="46" s="1"/>
  <c r="S47" i="46" a="1"/>
  <c r="S47" i="46" s="1"/>
  <c r="S78" i="46" a="1"/>
  <c r="S78" i="46" s="1"/>
  <c r="S104" i="46" s="1"/>
  <c r="T45" i="46" a="1"/>
  <c r="T45" i="46" s="1"/>
  <c r="S45" i="46" a="1"/>
  <c r="S45" i="46" s="1"/>
  <c r="U89" i="46" a="1"/>
  <c r="U89" i="46" s="1"/>
  <c r="T89" i="46" a="1"/>
  <c r="T89" i="46" s="1"/>
  <c r="Q41" i="44" a="1"/>
  <c r="Q41" i="44" s="1"/>
  <c r="T86" i="46" a="1"/>
  <c r="T86" i="46" s="1"/>
  <c r="E113" i="43"/>
  <c r="T56" i="46" a="1"/>
  <c r="T56" i="46" s="1"/>
  <c r="U82" i="46" a="1"/>
  <c r="U82" i="46" s="1"/>
  <c r="B64" i="59"/>
  <c r="B32" i="59"/>
  <c r="M32" i="59" s="1"/>
  <c r="C64" i="59"/>
  <c r="B100" i="44"/>
  <c r="B101" i="44" s="1"/>
  <c r="H74" i="59"/>
  <c r="D64" i="59"/>
  <c r="D68" i="57"/>
  <c r="D53" i="59"/>
  <c r="O53" i="59" s="1"/>
  <c r="I113" i="50"/>
  <c r="C53" i="59"/>
  <c r="N53" i="59" s="1"/>
  <c r="I103" i="46"/>
  <c r="B71" i="59"/>
  <c r="M71" i="59" s="1"/>
  <c r="D32" i="59"/>
  <c r="O32" i="59" s="1"/>
  <c r="B49" i="59"/>
  <c r="M49" i="59" s="1"/>
  <c r="B51" i="59"/>
  <c r="M51" i="59" s="1"/>
  <c r="E64" i="59"/>
  <c r="C71" i="59"/>
  <c r="N71" i="59" s="1"/>
  <c r="E32" i="59"/>
  <c r="P32" i="59" s="1"/>
  <c r="C49" i="59"/>
  <c r="N49" i="59" s="1"/>
  <c r="B50" i="59"/>
  <c r="M50" i="59" s="1"/>
  <c r="E53" i="59"/>
  <c r="P53" i="59" s="1"/>
  <c r="F106" i="45"/>
  <c r="H62" i="59"/>
  <c r="B53" i="59"/>
  <c r="M53" i="59" s="1"/>
  <c r="C51" i="59"/>
  <c r="N51" i="59" s="1"/>
  <c r="F64" i="59"/>
  <c r="D71" i="59"/>
  <c r="O71" i="59" s="1"/>
  <c r="F32" i="59"/>
  <c r="Q32" i="59" s="1"/>
  <c r="D49" i="59"/>
  <c r="O49" i="59" s="1"/>
  <c r="C50" i="59"/>
  <c r="N50" i="59" s="1"/>
  <c r="F53" i="59"/>
  <c r="Q53" i="59" s="1"/>
  <c r="C32" i="59"/>
  <c r="N32" i="59" s="1"/>
  <c r="D51" i="59"/>
  <c r="O51" i="59" s="1"/>
  <c r="E71" i="59"/>
  <c r="P71" i="59" s="1"/>
  <c r="R56" i="42" a="1"/>
  <c r="R56" i="42" s="1"/>
  <c r="E49" i="59"/>
  <c r="P49" i="59" s="1"/>
  <c r="D50" i="59"/>
  <c r="O50" i="59" s="1"/>
  <c r="E101" i="45"/>
  <c r="E51" i="59"/>
  <c r="P51" i="59" s="1"/>
  <c r="F64" i="57"/>
  <c r="AB64" i="57" s="1" a="1"/>
  <c r="AB64" i="57" s="1"/>
  <c r="F49" i="59"/>
  <c r="Q49" i="59" s="1"/>
  <c r="F71" i="59"/>
  <c r="Q71" i="59" s="1"/>
  <c r="E50" i="59"/>
  <c r="P50" i="59" s="1"/>
  <c r="F51" i="59"/>
  <c r="Q51" i="59" s="1"/>
  <c r="F113" i="43"/>
  <c r="F65" i="57"/>
  <c r="F50" i="59"/>
  <c r="Q50" i="59" s="1"/>
  <c r="H83" i="57"/>
  <c r="P358" i="28" s="1"/>
  <c r="H68" i="59"/>
  <c r="S68" i="59" s="1"/>
  <c r="H83" i="59"/>
  <c r="S83" i="59" s="1"/>
  <c r="H125" i="46"/>
  <c r="AC77" i="57" a="1"/>
  <c r="AC77" i="57" s="1"/>
  <c r="AC83" i="57" a="1"/>
  <c r="AC83" i="57" s="1"/>
  <c r="AC98" i="57" a="1"/>
  <c r="AC98" i="57" s="1"/>
  <c r="D113" i="43"/>
  <c r="B118" i="43"/>
  <c r="B119" i="43" s="1"/>
  <c r="C105" i="44"/>
  <c r="R54" i="44" a="1"/>
  <c r="R54" i="44" s="1"/>
  <c r="C101" i="45"/>
  <c r="D106" i="45"/>
  <c r="C118" i="43"/>
  <c r="D105" i="44"/>
  <c r="D101" i="45"/>
  <c r="E106" i="45"/>
  <c r="H114" i="47"/>
  <c r="E118" i="43"/>
  <c r="C100" i="44"/>
  <c r="F105" i="44"/>
  <c r="F101" i="45"/>
  <c r="I119" i="49"/>
  <c r="H120" i="46"/>
  <c r="F100" i="44"/>
  <c r="I125" i="48"/>
  <c r="D118" i="43"/>
  <c r="E105" i="44"/>
  <c r="F118" i="43"/>
  <c r="D100" i="44"/>
  <c r="E122" i="48"/>
  <c r="F121" i="48"/>
  <c r="E100" i="44"/>
  <c r="B106" i="45"/>
  <c r="B107" i="45" s="1"/>
  <c r="T52" i="47" a="1"/>
  <c r="T52" i="47" s="1"/>
  <c r="D126" i="46"/>
  <c r="C127" i="46"/>
  <c r="C113" i="43"/>
  <c r="B105" i="44"/>
  <c r="B106" i="44" s="1"/>
  <c r="B101" i="45"/>
  <c r="B102" i="45" s="1"/>
  <c r="C106" i="45"/>
  <c r="I120" i="48"/>
  <c r="E126" i="48"/>
  <c r="D127" i="48"/>
  <c r="B113" i="43"/>
  <c r="B114" i="43" s="1"/>
  <c r="D121" i="46"/>
  <c r="E121" i="46" s="1"/>
  <c r="B114" i="42"/>
  <c r="B109" i="42"/>
  <c r="B83" i="43"/>
  <c r="B70" i="44"/>
  <c r="I90" i="50"/>
  <c r="I92" i="50" s="1"/>
  <c r="F114" i="50"/>
  <c r="E115" i="50"/>
  <c r="F120" i="49"/>
  <c r="E121" i="49"/>
  <c r="I90" i="49"/>
  <c r="I90" i="48"/>
  <c r="C115" i="47"/>
  <c r="H90" i="47"/>
  <c r="H90" i="46"/>
  <c r="D70" i="44"/>
  <c r="F70" i="44"/>
  <c r="C70" i="44"/>
  <c r="E70" i="44"/>
  <c r="D83" i="43"/>
  <c r="E83" i="43"/>
  <c r="F83" i="43"/>
  <c r="C83" i="43"/>
  <c r="F77" i="42"/>
  <c r="G100" i="43"/>
  <c r="R67" i="43" a="1"/>
  <c r="R67" i="43" s="1"/>
  <c r="D47" i="57"/>
  <c r="R63" i="43" a="1"/>
  <c r="R63" i="43" s="1"/>
  <c r="R46" i="45" a="1"/>
  <c r="R46" i="45" s="1"/>
  <c r="V58" i="50" a="1"/>
  <c r="V58" i="50" s="1"/>
  <c r="C66" i="57"/>
  <c r="B79" i="57"/>
  <c r="F86" i="57"/>
  <c r="Q176" i="57" s="1"/>
  <c r="B47" i="57"/>
  <c r="X47" i="57" s="1" a="1"/>
  <c r="X47" i="57" s="1"/>
  <c r="C65" i="57"/>
  <c r="F68" i="57"/>
  <c r="I96" i="46"/>
  <c r="D66" i="57"/>
  <c r="C79" i="57"/>
  <c r="C132" i="57" s="1"/>
  <c r="C47" i="57"/>
  <c r="D64" i="57"/>
  <c r="R47" i="43" a="1"/>
  <c r="R47" i="43" s="1"/>
  <c r="D65" i="57"/>
  <c r="R55" i="43" a="1"/>
  <c r="R55" i="43" s="1"/>
  <c r="R62" i="43" a="1"/>
  <c r="R62" i="43" s="1"/>
  <c r="R48" i="45" a="1"/>
  <c r="R48" i="45" s="1"/>
  <c r="G79" i="45"/>
  <c r="R53" i="45" a="1"/>
  <c r="R53" i="45" s="1"/>
  <c r="T60" i="47" a="1"/>
  <c r="T60" i="47" s="1"/>
  <c r="T54" i="47" a="1"/>
  <c r="T54" i="47" s="1"/>
  <c r="H77" i="57"/>
  <c r="T87" i="47" a="1"/>
  <c r="T87" i="47" s="1"/>
  <c r="C64" i="57"/>
  <c r="R58" i="43" a="1"/>
  <c r="R58" i="43" s="1"/>
  <c r="E66" i="57"/>
  <c r="D79" i="57"/>
  <c r="D132" i="57" s="1"/>
  <c r="B86" i="57"/>
  <c r="E64" i="57"/>
  <c r="E65" i="57"/>
  <c r="B68" i="57"/>
  <c r="H89" i="57"/>
  <c r="U74" i="50" a="1"/>
  <c r="U74" i="50" s="1"/>
  <c r="B66" i="57"/>
  <c r="X66" i="57" s="1" a="1"/>
  <c r="X66" i="57" s="1"/>
  <c r="R49" i="43" a="1"/>
  <c r="R49" i="43" s="1"/>
  <c r="B65" i="57"/>
  <c r="E68" i="57"/>
  <c r="F66" i="57"/>
  <c r="E79" i="57"/>
  <c r="E132" i="57" s="1"/>
  <c r="C86" i="57"/>
  <c r="N176" i="57" s="1"/>
  <c r="E47" i="57"/>
  <c r="C68" i="57"/>
  <c r="G75" i="45"/>
  <c r="U77" i="46" a="1"/>
  <c r="U77" i="46" s="1"/>
  <c r="E86" i="57"/>
  <c r="P176" i="57" s="1"/>
  <c r="B64" i="57"/>
  <c r="X64" i="57" s="1" a="1"/>
  <c r="X64" i="57" s="1"/>
  <c r="F79" i="57"/>
  <c r="F132" i="57" s="1"/>
  <c r="D86" i="57"/>
  <c r="O176" i="57" s="1"/>
  <c r="F47" i="57"/>
  <c r="H98" i="57"/>
  <c r="S188" i="57" s="1"/>
  <c r="T70" i="47" a="1"/>
  <c r="T70" i="47" s="1"/>
  <c r="U45" i="50" a="1"/>
  <c r="U45" i="50" s="1"/>
  <c r="U83" i="50" a="1"/>
  <c r="U83" i="50" s="1"/>
  <c r="U76" i="50" a="1"/>
  <c r="U76" i="50" s="1"/>
  <c r="U82" i="50" a="1"/>
  <c r="U82" i="50" s="1"/>
  <c r="V63" i="50" a="1"/>
  <c r="V63" i="50" s="1"/>
  <c r="U69" i="50" a="1"/>
  <c r="U69" i="50" s="1"/>
  <c r="V51" i="50" a="1"/>
  <c r="V51" i="50" s="1"/>
  <c r="U86" i="50" a="1"/>
  <c r="U86" i="50" s="1"/>
  <c r="W66" i="50" a="1"/>
  <c r="W66" i="50" s="1"/>
  <c r="U77" i="50" a="1"/>
  <c r="U77" i="50" s="1"/>
  <c r="U89" i="50" a="1"/>
  <c r="U89" i="50" s="1"/>
  <c r="V59" i="50" a="1"/>
  <c r="V59" i="50" s="1"/>
  <c r="U84" i="50" a="1"/>
  <c r="U84" i="50" s="1"/>
  <c r="V49" i="50" a="1"/>
  <c r="V49" i="50" s="1"/>
  <c r="U87" i="50" a="1"/>
  <c r="U87" i="50" s="1"/>
  <c r="U75" i="50" a="1"/>
  <c r="U75" i="50" s="1"/>
  <c r="U79" i="50" a="1"/>
  <c r="U79" i="50" s="1"/>
  <c r="V68" i="50" a="1"/>
  <c r="V68" i="50" s="1"/>
  <c r="V53" i="50" a="1"/>
  <c r="V53" i="50" s="1"/>
  <c r="U80" i="50" a="1"/>
  <c r="U80" i="50" s="1"/>
  <c r="U65" i="50" a="1"/>
  <c r="U65" i="50" s="1"/>
  <c r="U85" i="49" a="1"/>
  <c r="U85" i="49" s="1"/>
  <c r="U52" i="49" a="1"/>
  <c r="U52" i="49" s="1"/>
  <c r="U56" i="49" a="1"/>
  <c r="U56" i="49" s="1"/>
  <c r="V48" i="49" a="1"/>
  <c r="V48" i="49" s="1"/>
  <c r="U78" i="49" a="1"/>
  <c r="U78" i="49" s="1"/>
  <c r="U80" i="49" a="1"/>
  <c r="U80" i="49" s="1"/>
  <c r="U72" i="49" a="1"/>
  <c r="U72" i="49" s="1"/>
  <c r="U66" i="49" a="1"/>
  <c r="U66" i="49" s="1"/>
  <c r="U54" i="49" a="1"/>
  <c r="U54" i="49" s="1"/>
  <c r="U64" i="49" a="1"/>
  <c r="U64" i="49" s="1"/>
  <c r="V46" i="49" a="1"/>
  <c r="V46" i="49" s="1"/>
  <c r="V51" i="49" a="1"/>
  <c r="V51" i="49" s="1"/>
  <c r="U77" i="49" a="1"/>
  <c r="U77" i="49" s="1"/>
  <c r="U45" i="49" a="1"/>
  <c r="U45" i="49" s="1"/>
  <c r="U79" i="49" a="1"/>
  <c r="U79" i="49" s="1"/>
  <c r="U83" i="49" a="1"/>
  <c r="U83" i="49" s="1"/>
  <c r="V59" i="49" a="1"/>
  <c r="V59" i="49" s="1"/>
  <c r="U88" i="49" a="1"/>
  <c r="U88" i="49" s="1"/>
  <c r="V63" i="49" a="1"/>
  <c r="V63" i="49" s="1"/>
  <c r="U74" i="49" a="1"/>
  <c r="U74" i="49" s="1"/>
  <c r="U60" i="49" a="1"/>
  <c r="U60" i="49" s="1"/>
  <c r="V69" i="49" a="1"/>
  <c r="V69" i="49" s="1"/>
  <c r="U49" i="49" a="1"/>
  <c r="U49" i="49" s="1"/>
  <c r="U86" i="49" a="1"/>
  <c r="U86" i="49" s="1"/>
  <c r="U87" i="49" a="1"/>
  <c r="U87" i="49" s="1"/>
  <c r="U82" i="49" a="1"/>
  <c r="U82" i="49" s="1"/>
  <c r="U58" i="49" a="1"/>
  <c r="U58" i="49" s="1"/>
  <c r="U81" i="49" a="1"/>
  <c r="U81" i="49" s="1"/>
  <c r="V53" i="49" a="1"/>
  <c r="V53" i="49" s="1"/>
  <c r="U84" i="49" a="1"/>
  <c r="U84" i="49" s="1"/>
  <c r="V50" i="49" a="1"/>
  <c r="V50" i="49" s="1"/>
  <c r="U89" i="49" a="1"/>
  <c r="U89" i="49" s="1"/>
  <c r="U68" i="49" a="1"/>
  <c r="U68" i="49" s="1"/>
  <c r="U62" i="49" a="1"/>
  <c r="U62" i="49" s="1"/>
  <c r="U75" i="49" a="1"/>
  <c r="U75" i="49" s="1"/>
  <c r="U49" i="48" a="1"/>
  <c r="U49" i="48" s="1"/>
  <c r="U74" i="48" a="1"/>
  <c r="U74" i="48" s="1"/>
  <c r="U45" i="48" a="1"/>
  <c r="U45" i="48" s="1"/>
  <c r="U72" i="48" a="1"/>
  <c r="U72" i="48" s="1"/>
  <c r="U64" i="48" a="1"/>
  <c r="U64" i="48" s="1"/>
  <c r="U48" i="48" a="1"/>
  <c r="U48" i="48" s="1"/>
  <c r="U79" i="48" a="1"/>
  <c r="U79" i="48" s="1"/>
  <c r="V68" i="48" a="1"/>
  <c r="V68" i="48" s="1"/>
  <c r="U56" i="48" a="1"/>
  <c r="U56" i="48" s="1"/>
  <c r="U53" i="48" a="1"/>
  <c r="U53" i="48" s="1"/>
  <c r="W52" i="48" a="1"/>
  <c r="W52" i="48" s="1"/>
  <c r="U65" i="48" a="1"/>
  <c r="U65" i="48" s="1"/>
  <c r="U89" i="48" a="1"/>
  <c r="U89" i="48" s="1"/>
  <c r="U77" i="48" a="1"/>
  <c r="U77" i="48" s="1"/>
  <c r="U75" i="48" a="1"/>
  <c r="U75" i="48" s="1"/>
  <c r="U60" i="48" a="1"/>
  <c r="U60" i="48" s="1"/>
  <c r="W70" i="48" a="1"/>
  <c r="W70" i="48" s="1"/>
  <c r="U62" i="48" a="1"/>
  <c r="U62" i="48" s="1"/>
  <c r="U46" i="48" a="1"/>
  <c r="U46" i="48" s="1"/>
  <c r="U82" i="48" a="1"/>
  <c r="U82" i="48" s="1"/>
  <c r="U59" i="48" a="1"/>
  <c r="U59" i="48" s="1"/>
  <c r="U84" i="48" a="1"/>
  <c r="U84" i="48" s="1"/>
  <c r="U80" i="48" a="1"/>
  <c r="U80" i="48" s="1"/>
  <c r="U51" i="48" a="1"/>
  <c r="U51" i="48" s="1"/>
  <c r="U76" i="48" a="1"/>
  <c r="U76" i="48" s="1"/>
  <c r="U63" i="48" a="1"/>
  <c r="U63" i="48" s="1"/>
  <c r="U86" i="48" a="1"/>
  <c r="U86" i="48" s="1"/>
  <c r="U50" i="48" a="1"/>
  <c r="U50" i="48" s="1"/>
  <c r="U87" i="48" a="1"/>
  <c r="U87" i="48" s="1"/>
  <c r="U54" i="48" a="1"/>
  <c r="U54" i="48" s="1"/>
  <c r="U83" i="48" a="1"/>
  <c r="U83" i="48" s="1"/>
  <c r="U58" i="48" a="1"/>
  <c r="U58" i="48" s="1"/>
  <c r="U69" i="48" a="1"/>
  <c r="U69" i="48" s="1"/>
  <c r="T77" i="47" a="1"/>
  <c r="T77" i="47" s="1"/>
  <c r="T86" i="47" a="1"/>
  <c r="T86" i="47" s="1"/>
  <c r="U45" i="47" a="1"/>
  <c r="U45" i="47" s="1"/>
  <c r="T51" i="47" a="1"/>
  <c r="T51" i="47" s="1"/>
  <c r="U56" i="47" a="1"/>
  <c r="U56" i="47" s="1"/>
  <c r="U74" i="47" a="1"/>
  <c r="U74" i="47" s="1"/>
  <c r="T63" i="47" a="1"/>
  <c r="T63" i="47" s="1"/>
  <c r="U83" i="47" a="1"/>
  <c r="U83" i="47" s="1"/>
  <c r="T84" i="47" a="1"/>
  <c r="T84" i="47" s="1"/>
  <c r="U59" i="47" a="1"/>
  <c r="U59" i="47" s="1"/>
  <c r="T65" i="47" a="1"/>
  <c r="T65" i="47" s="1"/>
  <c r="U62" i="47" a="1"/>
  <c r="U62" i="47" s="1"/>
  <c r="U48" i="47" a="1"/>
  <c r="U48" i="47" s="1"/>
  <c r="T49" i="47" a="1"/>
  <c r="T49" i="47" s="1"/>
  <c r="U66" i="47" a="1"/>
  <c r="U66" i="47" s="1"/>
  <c r="T72" i="47" a="1"/>
  <c r="T72" i="47" s="1"/>
  <c r="U46" i="47" a="1"/>
  <c r="U46" i="47" s="1"/>
  <c r="I96" i="47"/>
  <c r="T80" i="47" a="1"/>
  <c r="T80" i="47" s="1"/>
  <c r="T76" i="47" a="1"/>
  <c r="T76" i="47" s="1"/>
  <c r="T53" i="47" a="1"/>
  <c r="T53" i="47" s="1"/>
  <c r="U64" i="47" a="1"/>
  <c r="U64" i="47" s="1"/>
  <c r="V89" i="47" a="1"/>
  <c r="V89" i="47" s="1"/>
  <c r="T82" i="47" a="1"/>
  <c r="T82" i="47" s="1"/>
  <c r="T69" i="47" a="1"/>
  <c r="T69" i="47" s="1"/>
  <c r="T68" i="47" a="1"/>
  <c r="T68" i="47" s="1"/>
  <c r="T83" i="46" a="1"/>
  <c r="T83" i="46" s="1"/>
  <c r="T48" i="46" a="1"/>
  <c r="T48" i="46" s="1"/>
  <c r="T72" i="46" a="1"/>
  <c r="T72" i="46" s="1"/>
  <c r="U87" i="46" a="1"/>
  <c r="U87" i="46" s="1"/>
  <c r="T84" i="46" a="1"/>
  <c r="T84" i="46" s="1"/>
  <c r="V82" i="46" a="1"/>
  <c r="V82" i="46" s="1"/>
  <c r="T80" i="46" a="1"/>
  <c r="T80" i="46" s="1"/>
  <c r="V74" i="46" a="1"/>
  <c r="V74" i="46" s="1"/>
  <c r="V89" i="46" a="1"/>
  <c r="V89" i="46" s="1"/>
  <c r="U79" i="46" a="1"/>
  <c r="U79" i="46" s="1"/>
  <c r="U75" i="46" a="1"/>
  <c r="U75" i="46" s="1"/>
  <c r="T51" i="46" a="1"/>
  <c r="T51" i="46" s="1"/>
  <c r="T46" i="46" a="1"/>
  <c r="T46" i="46" s="1"/>
  <c r="T69" i="46" a="1"/>
  <c r="T69" i="46" s="1"/>
  <c r="T52" i="46" a="1"/>
  <c r="T52" i="46" s="1"/>
  <c r="T58" i="46" a="1"/>
  <c r="T58" i="46" s="1"/>
  <c r="T59" i="46" a="1"/>
  <c r="T59" i="46" s="1"/>
  <c r="T60" i="46" a="1"/>
  <c r="T60" i="46" s="1"/>
  <c r="T62" i="46" a="1"/>
  <c r="T62" i="46" s="1"/>
  <c r="T68" i="46" a="1"/>
  <c r="T68" i="46" s="1"/>
  <c r="T70" i="46" a="1"/>
  <c r="T70" i="46" s="1"/>
  <c r="T50" i="46" a="1"/>
  <c r="T50" i="46" s="1"/>
  <c r="U45" i="46" a="1"/>
  <c r="U45" i="46" s="1"/>
  <c r="T64" i="46" a="1"/>
  <c r="T64" i="46" s="1"/>
  <c r="T65" i="46" a="1"/>
  <c r="T65" i="46" s="1"/>
  <c r="T54" i="46" a="1"/>
  <c r="T54" i="46" s="1"/>
  <c r="T66" i="46" a="1"/>
  <c r="T66" i="46" s="1"/>
  <c r="T63" i="46" a="1"/>
  <c r="T63" i="46" s="1"/>
  <c r="B71" i="45"/>
  <c r="F71" i="45"/>
  <c r="R56" i="45" a="1"/>
  <c r="R56" i="45" s="1"/>
  <c r="E71" i="45"/>
  <c r="C71" i="45"/>
  <c r="D71" i="45"/>
  <c r="R70" i="45" a="1"/>
  <c r="R70" i="45" s="1"/>
  <c r="R60" i="45" a="1"/>
  <c r="R60" i="45" s="1"/>
  <c r="R64" i="45" a="1"/>
  <c r="R64" i="45" s="1"/>
  <c r="R68" i="45" a="1"/>
  <c r="R68" i="45" s="1"/>
  <c r="R57" i="45" a="1"/>
  <c r="R57" i="45" s="1"/>
  <c r="R61" i="45" a="1"/>
  <c r="R61" i="45" s="1"/>
  <c r="R63" i="45" a="1"/>
  <c r="R63" i="45" s="1"/>
  <c r="R65" i="45" a="1"/>
  <c r="R65" i="45" s="1"/>
  <c r="R67" i="45" a="1"/>
  <c r="R67" i="45" s="1"/>
  <c r="G88" i="45"/>
  <c r="G76" i="44"/>
  <c r="R69" i="44" a="1"/>
  <c r="R69" i="44" s="1"/>
  <c r="R51" i="45" a="1"/>
  <c r="R51" i="45" s="1"/>
  <c r="R63" i="44" a="1"/>
  <c r="R63" i="44" s="1"/>
  <c r="R67" i="44" a="1"/>
  <c r="R67" i="44" s="1"/>
  <c r="R52" i="44" a="1"/>
  <c r="R52" i="44" s="1"/>
  <c r="R55" i="44" a="1"/>
  <c r="R55" i="44" s="1"/>
  <c r="G74" i="44"/>
  <c r="R59" i="44" a="1"/>
  <c r="R59" i="44" s="1"/>
  <c r="R62" i="44" a="1"/>
  <c r="R62" i="44" s="1"/>
  <c r="R66" i="44" a="1"/>
  <c r="R66" i="44" s="1"/>
  <c r="G73" i="44"/>
  <c r="R56" i="44" a="1"/>
  <c r="R56" i="44" s="1"/>
  <c r="R60" i="44" a="1"/>
  <c r="R60" i="44" s="1"/>
  <c r="R64" i="44" a="1"/>
  <c r="R64" i="44" s="1"/>
  <c r="G86" i="44"/>
  <c r="R60" i="43" a="1"/>
  <c r="R60" i="43" s="1"/>
  <c r="R69" i="43" a="1"/>
  <c r="R69" i="43" s="1"/>
  <c r="R45" i="43" a="1"/>
  <c r="R45" i="43" s="1"/>
  <c r="R50" i="43" a="1"/>
  <c r="R50" i="43" s="1"/>
  <c r="R52" i="43" a="1"/>
  <c r="R52" i="43" s="1"/>
  <c r="R54" i="43" a="1"/>
  <c r="R54" i="43" s="1"/>
  <c r="R68" i="43" a="1"/>
  <c r="R68" i="43" s="1"/>
  <c r="R76" i="43" a="1"/>
  <c r="R76" i="43" s="1"/>
  <c r="R80" i="43" a="1"/>
  <c r="R80" i="43" s="1"/>
  <c r="R72" i="43" a="1"/>
  <c r="R72" i="43" s="1"/>
  <c r="R70" i="43" a="1"/>
  <c r="R70" i="43" s="1"/>
  <c r="R73" i="43" a="1"/>
  <c r="R73" i="43" s="1"/>
  <c r="R75" i="43" a="1"/>
  <c r="R75" i="43" s="1"/>
  <c r="R77" i="43" a="1"/>
  <c r="R77" i="43" s="1"/>
  <c r="R79" i="43" a="1"/>
  <c r="R79" i="43" s="1"/>
  <c r="R49" i="42" a="1"/>
  <c r="R49" i="42" s="1"/>
  <c r="R66" i="42" a="1"/>
  <c r="R66" i="42" s="1"/>
  <c r="R54" i="42" a="1"/>
  <c r="R54" i="42" s="1"/>
  <c r="R52" i="42" a="1"/>
  <c r="R52" i="42" s="1"/>
  <c r="R70" i="42" a="1"/>
  <c r="R70" i="42" s="1"/>
  <c r="R71" i="42" a="1"/>
  <c r="R71" i="42" s="1"/>
  <c r="S56" i="42" a="1"/>
  <c r="S56" i="42" s="1"/>
  <c r="C77" i="42"/>
  <c r="R59" i="42" a="1"/>
  <c r="R59" i="42" s="1"/>
  <c r="R67" i="42" a="1"/>
  <c r="R67" i="42" s="1"/>
  <c r="D77" i="42"/>
  <c r="R62" i="42" a="1"/>
  <c r="R62" i="42" s="1"/>
  <c r="E77" i="42"/>
  <c r="R48" i="42" a="1"/>
  <c r="R48" i="42" s="1"/>
  <c r="R53" i="42" a="1"/>
  <c r="R53" i="42" s="1"/>
  <c r="R57" i="42" a="1"/>
  <c r="R57" i="42" s="1"/>
  <c r="R61" i="42" a="1"/>
  <c r="R61" i="42" s="1"/>
  <c r="B77" i="42"/>
  <c r="R63" i="42" a="1"/>
  <c r="R63" i="42" s="1"/>
  <c r="R73" i="42" a="1"/>
  <c r="R73" i="42" s="1"/>
  <c r="R64" i="42" a="1"/>
  <c r="R64" i="42" s="1"/>
  <c r="R74" i="42" a="1"/>
  <c r="R74" i="42" s="1"/>
  <c r="R76" i="42" a="1"/>
  <c r="R76" i="42" s="1"/>
  <c r="S179" i="57" l="1"/>
  <c r="P359" i="28"/>
  <c r="N81" i="45"/>
  <c r="N95" i="45" s="1"/>
  <c r="P496" i="28"/>
  <c r="P478" i="28"/>
  <c r="O484" i="28"/>
  <c r="P498" i="28"/>
  <c r="O453" i="28"/>
  <c r="O464" i="28"/>
  <c r="O469" i="28" s="1"/>
  <c r="O495" i="28"/>
  <c r="P450" i="28"/>
  <c r="P481" i="28"/>
  <c r="P452" i="28"/>
  <c r="P483" i="28"/>
  <c r="O497" i="28"/>
  <c r="Q449" i="28"/>
  <c r="Q480" i="28"/>
  <c r="P499" i="28"/>
  <c r="P448" i="28"/>
  <c r="P479" i="28"/>
  <c r="M81" i="45"/>
  <c r="M95" i="45" s="1"/>
  <c r="P467" i="28"/>
  <c r="P449" i="28"/>
  <c r="P480" i="28"/>
  <c r="O498" i="28"/>
  <c r="N418" i="28"/>
  <c r="P451" i="28"/>
  <c r="P482" i="28"/>
  <c r="G81" i="45"/>
  <c r="P81" i="45"/>
  <c r="P95" i="45" s="1"/>
  <c r="Q81" i="45"/>
  <c r="Q95" i="45" s="1"/>
  <c r="S114" i="49"/>
  <c r="S116" i="49" s="1"/>
  <c r="P465" i="28"/>
  <c r="P468" i="28"/>
  <c r="S114" i="48"/>
  <c r="S116" i="48" s="1"/>
  <c r="O81" i="45"/>
  <c r="O95" i="45" s="1"/>
  <c r="R114" i="46"/>
  <c r="Q64" i="59"/>
  <c r="Q119" i="59" s="1"/>
  <c r="F119" i="59"/>
  <c r="N64" i="59"/>
  <c r="N119" i="59" s="1"/>
  <c r="C119" i="59"/>
  <c r="O64" i="59"/>
  <c r="O119" i="59" s="1"/>
  <c r="D119" i="59"/>
  <c r="S74" i="59"/>
  <c r="M64" i="59"/>
  <c r="M119" i="59" s="1"/>
  <c r="B119" i="59"/>
  <c r="S62" i="59"/>
  <c r="P64" i="59"/>
  <c r="P119" i="59" s="1"/>
  <c r="E119" i="59"/>
  <c r="U53" i="46" a="1"/>
  <c r="U53" i="46" s="1"/>
  <c r="V53" i="46" a="1"/>
  <c r="V53" i="46" s="1"/>
  <c r="J99" i="48"/>
  <c r="T53" i="46" a="1"/>
  <c r="T53" i="46" s="1"/>
  <c r="R116" i="46"/>
  <c r="S95" i="47"/>
  <c r="N91" i="43"/>
  <c r="G84" i="42"/>
  <c r="G108" i="42"/>
  <c r="J103" i="50"/>
  <c r="I97" i="47"/>
  <c r="G83" i="42"/>
  <c r="G81" i="42"/>
  <c r="S67" i="43" a="1"/>
  <c r="S67" i="43" s="1"/>
  <c r="I94" i="47"/>
  <c r="J95" i="50"/>
  <c r="J97" i="50"/>
  <c r="J94" i="48"/>
  <c r="G94" i="42"/>
  <c r="J98" i="50"/>
  <c r="T95" i="50"/>
  <c r="J95" i="49"/>
  <c r="T99" i="49"/>
  <c r="G76" i="45"/>
  <c r="G90" i="42"/>
  <c r="G92" i="42"/>
  <c r="I99" i="47"/>
  <c r="I108" i="47"/>
  <c r="U81" i="48" a="1"/>
  <c r="U81" i="48" s="1"/>
  <c r="U105" i="48" s="1"/>
  <c r="J105" i="48"/>
  <c r="U78" i="48" a="1"/>
  <c r="U78" i="48" s="1"/>
  <c r="U104" i="48" s="1"/>
  <c r="J104" i="48"/>
  <c r="U85" i="50" a="1"/>
  <c r="U85" i="50" s="1"/>
  <c r="U106" i="50" s="1"/>
  <c r="J106" i="50"/>
  <c r="G113" i="42"/>
  <c r="U81" i="46" a="1"/>
  <c r="U81" i="46" s="1"/>
  <c r="I98" i="47"/>
  <c r="J108" i="48"/>
  <c r="U88" i="50" a="1"/>
  <c r="U88" i="50" s="1"/>
  <c r="U107" i="50" s="1"/>
  <c r="J107" i="50"/>
  <c r="J97" i="49"/>
  <c r="S62" i="43" a="1"/>
  <c r="S62" i="43" s="1"/>
  <c r="T88" i="46" a="1"/>
  <c r="T88" i="46" s="1"/>
  <c r="T107" i="46" s="1"/>
  <c r="I107" i="46"/>
  <c r="T85" i="47" a="1"/>
  <c r="T85" i="47" s="1"/>
  <c r="T106" i="47" s="1"/>
  <c r="I106" i="47"/>
  <c r="J97" i="48"/>
  <c r="U41" i="49" a="1"/>
  <c r="U41" i="49" s="1"/>
  <c r="J100" i="49"/>
  <c r="U70" i="49" a="1"/>
  <c r="U70" i="49" s="1"/>
  <c r="U107" i="49" s="1"/>
  <c r="J107" i="49"/>
  <c r="G87" i="43"/>
  <c r="J98" i="48"/>
  <c r="I97" i="46"/>
  <c r="U78" i="46" a="1"/>
  <c r="U78" i="46" s="1"/>
  <c r="T105" i="46"/>
  <c r="U41" i="47" a="1"/>
  <c r="U41" i="47" s="1"/>
  <c r="J95" i="48"/>
  <c r="T78" i="46" a="1"/>
  <c r="T78" i="46" s="1"/>
  <c r="T104" i="46" s="1"/>
  <c r="I104" i="46"/>
  <c r="I95" i="47"/>
  <c r="I94" i="46"/>
  <c r="G91" i="42"/>
  <c r="J96" i="48"/>
  <c r="G86" i="42"/>
  <c r="T88" i="47" a="1"/>
  <c r="T88" i="47" s="1"/>
  <c r="T107" i="47" s="1"/>
  <c r="I107" i="47"/>
  <c r="U52" i="47" a="1"/>
  <c r="U52" i="47" s="1"/>
  <c r="T78" i="47" a="1"/>
  <c r="T78" i="47" s="1"/>
  <c r="I104" i="47"/>
  <c r="X65" i="57" a="1"/>
  <c r="X65" i="57" s="1"/>
  <c r="G85" i="42"/>
  <c r="G82" i="42"/>
  <c r="G98" i="43"/>
  <c r="I103" i="47"/>
  <c r="J99" i="50"/>
  <c r="J98" i="49"/>
  <c r="J94" i="50"/>
  <c r="I95" i="46"/>
  <c r="Q83" i="42"/>
  <c r="I105" i="46"/>
  <c r="J96" i="49"/>
  <c r="J103" i="49"/>
  <c r="T108" i="50"/>
  <c r="I108" i="46"/>
  <c r="J108" i="49"/>
  <c r="AB65" i="57" a="1"/>
  <c r="AB65" i="57" s="1"/>
  <c r="I105" i="47"/>
  <c r="G93" i="42"/>
  <c r="P83" i="42"/>
  <c r="T108" i="48"/>
  <c r="T115" i="48" s="1"/>
  <c r="I100" i="47"/>
  <c r="J94" i="49"/>
  <c r="T85" i="46" a="1"/>
  <c r="T85" i="46" s="1"/>
  <c r="T106" i="46" s="1"/>
  <c r="I106" i="46"/>
  <c r="I98" i="46"/>
  <c r="U41" i="46" a="1"/>
  <c r="U41" i="46" s="1"/>
  <c r="U81" i="47" a="1"/>
  <c r="U81" i="47" s="1"/>
  <c r="J103" i="48"/>
  <c r="U81" i="50" a="1"/>
  <c r="U81" i="50" s="1"/>
  <c r="U105" i="50" s="1"/>
  <c r="J105" i="50"/>
  <c r="I99" i="46"/>
  <c r="U85" i="48" a="1"/>
  <c r="U85" i="48" s="1"/>
  <c r="U106" i="48" s="1"/>
  <c r="J106" i="48"/>
  <c r="U71" i="50" a="1"/>
  <c r="U71" i="50" s="1"/>
  <c r="J108" i="50"/>
  <c r="U41" i="50" a="1"/>
  <c r="U41" i="50" s="1"/>
  <c r="J100" i="50"/>
  <c r="Z68" i="57" a="1"/>
  <c r="Z68" i="57" s="1"/>
  <c r="Q82" i="42"/>
  <c r="I100" i="46"/>
  <c r="U88" i="48" a="1"/>
  <c r="U88" i="48" s="1"/>
  <c r="U107" i="48" s="1"/>
  <c r="J107" i="48"/>
  <c r="U78" i="50" a="1"/>
  <c r="U78" i="50" s="1"/>
  <c r="U104" i="50" s="1"/>
  <c r="J104" i="50"/>
  <c r="X68" i="57" a="1"/>
  <c r="X68" i="57" s="1"/>
  <c r="U41" i="48" a="1"/>
  <c r="U41" i="48" s="1"/>
  <c r="J100" i="48"/>
  <c r="J99" i="49"/>
  <c r="T105" i="47"/>
  <c r="S100" i="47"/>
  <c r="S100" i="46"/>
  <c r="N84" i="42"/>
  <c r="S108" i="46"/>
  <c r="S115" i="46" s="1"/>
  <c r="P82" i="42"/>
  <c r="N82" i="42"/>
  <c r="Q84" i="42"/>
  <c r="U108" i="49"/>
  <c r="U115" i="49" s="1"/>
  <c r="P84" i="45"/>
  <c r="S95" i="46"/>
  <c r="S94" i="47"/>
  <c r="M84" i="42"/>
  <c r="Q88" i="43"/>
  <c r="T94" i="46"/>
  <c r="S94" i="46"/>
  <c r="S97" i="47"/>
  <c r="P466" i="28" s="1"/>
  <c r="T98" i="48"/>
  <c r="U103" i="49"/>
  <c r="U94" i="49"/>
  <c r="T94" i="50"/>
  <c r="O84" i="45"/>
  <c r="T100" i="50"/>
  <c r="M82" i="42"/>
  <c r="P84" i="42"/>
  <c r="N83" i="42"/>
  <c r="O88" i="43"/>
  <c r="O91" i="43"/>
  <c r="S103" i="46"/>
  <c r="S108" i="47"/>
  <c r="S103" i="47"/>
  <c r="U96" i="49"/>
  <c r="T99" i="50"/>
  <c r="Q84" i="45"/>
  <c r="T90" i="50"/>
  <c r="T100" i="49"/>
  <c r="T100" i="48"/>
  <c r="O84" i="42"/>
  <c r="O83" i="42"/>
  <c r="M83" i="42"/>
  <c r="O82" i="42"/>
  <c r="N101" i="43"/>
  <c r="N108" i="43" s="1"/>
  <c r="U97" i="49"/>
  <c r="T97" i="50"/>
  <c r="T90" i="49"/>
  <c r="G91" i="43"/>
  <c r="G87" i="45"/>
  <c r="G78" i="45"/>
  <c r="R54" i="45" a="1"/>
  <c r="R54" i="45" s="1"/>
  <c r="G84" i="45"/>
  <c r="G90" i="43"/>
  <c r="P89" i="45"/>
  <c r="P96" i="45" s="1"/>
  <c r="M88" i="43"/>
  <c r="O89" i="45"/>
  <c r="O96" i="45" s="1"/>
  <c r="N84" i="45"/>
  <c r="G93" i="43"/>
  <c r="G101" i="43"/>
  <c r="Q101" i="43"/>
  <c r="Q108" i="43" s="1"/>
  <c r="G85" i="44"/>
  <c r="G85" i="45"/>
  <c r="G92" i="43"/>
  <c r="O101" i="43"/>
  <c r="O108" i="43" s="1"/>
  <c r="M101" i="43"/>
  <c r="M108" i="43" s="1"/>
  <c r="Q89" i="45"/>
  <c r="Q96" i="45" s="1"/>
  <c r="Q100" i="43"/>
  <c r="G86" i="45"/>
  <c r="G89" i="45"/>
  <c r="P91" i="43"/>
  <c r="M84" i="45"/>
  <c r="O93" i="43"/>
  <c r="O107" i="43" s="1"/>
  <c r="R78" i="43" a="1"/>
  <c r="R78" i="43" s="1"/>
  <c r="R99" i="43" s="1"/>
  <c r="G99" i="43"/>
  <c r="G97" i="43"/>
  <c r="G88" i="43"/>
  <c r="M89" i="45"/>
  <c r="M96" i="45" s="1"/>
  <c r="Q91" i="43"/>
  <c r="N88" i="43"/>
  <c r="N89" i="45"/>
  <c r="N96" i="45" s="1"/>
  <c r="P93" i="43"/>
  <c r="P107" i="43" s="1"/>
  <c r="G96" i="43"/>
  <c r="Q79" i="44"/>
  <c r="Q93" i="44" s="1"/>
  <c r="P88" i="43"/>
  <c r="M91" i="43"/>
  <c r="P101" i="43"/>
  <c r="P108" i="43" s="1"/>
  <c r="O78" i="44"/>
  <c r="N93" i="43"/>
  <c r="N107" i="43" s="1"/>
  <c r="Q93" i="43"/>
  <c r="Q107" i="43" s="1"/>
  <c r="M93" i="43"/>
  <c r="M107" i="43" s="1"/>
  <c r="AD83" i="57" a="1"/>
  <c r="AD83" i="57" s="1"/>
  <c r="S173" i="57"/>
  <c r="X86" i="57" a="1"/>
  <c r="X86" i="57" s="1"/>
  <c r="M176" i="57"/>
  <c r="S90" i="46"/>
  <c r="M83" i="43"/>
  <c r="G83" i="44"/>
  <c r="O87" i="44"/>
  <c r="O94" i="44" s="1"/>
  <c r="Q78" i="44"/>
  <c r="P78" i="44"/>
  <c r="G78" i="44"/>
  <c r="G79" i="44"/>
  <c r="O79" i="44"/>
  <c r="O93" i="44" s="1"/>
  <c r="N78" i="44"/>
  <c r="P79" i="44"/>
  <c r="P93" i="44" s="1"/>
  <c r="M78" i="44"/>
  <c r="M79" i="44"/>
  <c r="M93" i="44" s="1"/>
  <c r="N87" i="44"/>
  <c r="N94" i="44" s="1"/>
  <c r="Q87" i="44"/>
  <c r="Q94" i="44" s="1"/>
  <c r="M87" i="44"/>
  <c r="M94" i="44" s="1"/>
  <c r="R51" i="44" a="1"/>
  <c r="R51" i="44" s="1"/>
  <c r="G87" i="44"/>
  <c r="G84" i="44"/>
  <c r="R53" i="44" a="1"/>
  <c r="R53" i="44" s="1"/>
  <c r="G82" i="44"/>
  <c r="N79" i="44"/>
  <c r="N93" i="44" s="1"/>
  <c r="P87" i="44"/>
  <c r="P94" i="44" s="1"/>
  <c r="V57" i="50" a="1"/>
  <c r="V57" i="50" s="1"/>
  <c r="U67" i="50" a="1"/>
  <c r="U67" i="50" s="1"/>
  <c r="U44" i="50" a="1"/>
  <c r="U44" i="50" s="1"/>
  <c r="U72" i="50" a="1"/>
  <c r="U72" i="50" s="1"/>
  <c r="U57" i="50" a="1"/>
  <c r="U57" i="50" s="1"/>
  <c r="V55" i="50" a="1"/>
  <c r="V55" i="50" s="1"/>
  <c r="V44" i="50" a="1"/>
  <c r="V44" i="50" s="1"/>
  <c r="V61" i="50" a="1"/>
  <c r="V61" i="50" s="1"/>
  <c r="V47" i="50" a="1"/>
  <c r="V47" i="50" s="1"/>
  <c r="U73" i="50" a="1"/>
  <c r="U73" i="50" s="1"/>
  <c r="U103" i="50" s="1"/>
  <c r="V67" i="49" a="1"/>
  <c r="V67" i="49" s="1"/>
  <c r="V71" i="49" a="1"/>
  <c r="V71" i="49" s="1"/>
  <c r="V73" i="49" a="1"/>
  <c r="V73" i="49" s="1"/>
  <c r="V55" i="49" a="1"/>
  <c r="V55" i="49" s="1"/>
  <c r="U47" i="49" a="1"/>
  <c r="U47" i="49" s="1"/>
  <c r="U95" i="49" s="1"/>
  <c r="V44" i="49" a="1"/>
  <c r="V44" i="49" s="1"/>
  <c r="U61" i="49" a="1"/>
  <c r="U61" i="49" s="1"/>
  <c r="V57" i="49" a="1"/>
  <c r="V57" i="49" s="1"/>
  <c r="U55" i="48" a="1"/>
  <c r="U55" i="48" s="1"/>
  <c r="U96" i="48" s="1"/>
  <c r="U44" i="48" a="1"/>
  <c r="U44" i="48" s="1"/>
  <c r="U94" i="48" s="1"/>
  <c r="U57" i="48" a="1"/>
  <c r="U57" i="48" s="1"/>
  <c r="U97" i="48" s="1"/>
  <c r="U67" i="48" a="1"/>
  <c r="U67" i="48" s="1"/>
  <c r="U99" i="48" s="1"/>
  <c r="U73" i="48" a="1"/>
  <c r="U73" i="48" s="1"/>
  <c r="U103" i="48" s="1"/>
  <c r="U61" i="48" a="1"/>
  <c r="U61" i="48" s="1"/>
  <c r="U71" i="48" a="1"/>
  <c r="U71" i="48" s="1"/>
  <c r="U47" i="48" a="1"/>
  <c r="U47" i="48" s="1"/>
  <c r="U95" i="48" s="1"/>
  <c r="T90" i="48"/>
  <c r="S90" i="47"/>
  <c r="T73" i="47" a="1"/>
  <c r="T73" i="47" s="1"/>
  <c r="U47" i="47" a="1"/>
  <c r="U47" i="47" s="1"/>
  <c r="T55" i="47" a="1"/>
  <c r="T55" i="47" s="1"/>
  <c r="T96" i="47" s="1"/>
  <c r="T71" i="47" a="1"/>
  <c r="T71" i="47" s="1"/>
  <c r="T67" i="47" a="1"/>
  <c r="T67" i="47" s="1"/>
  <c r="T99" i="47" s="1"/>
  <c r="T57" i="47" a="1"/>
  <c r="T57" i="47" s="1"/>
  <c r="T61" i="47" a="1"/>
  <c r="T61" i="47" s="1"/>
  <c r="T98" i="47" s="1"/>
  <c r="T47" i="47" a="1"/>
  <c r="T47" i="47" s="1"/>
  <c r="T61" i="46" a="1"/>
  <c r="T61" i="46" s="1"/>
  <c r="T98" i="46" s="1"/>
  <c r="U47" i="46" a="1"/>
  <c r="U47" i="46" s="1"/>
  <c r="T67" i="46" a="1"/>
  <c r="T67" i="46" s="1"/>
  <c r="T99" i="46" s="1"/>
  <c r="T57" i="46" a="1"/>
  <c r="T57" i="46" s="1"/>
  <c r="T97" i="46" s="1"/>
  <c r="U71" i="46" a="1"/>
  <c r="U71" i="46" s="1"/>
  <c r="T55" i="46" a="1"/>
  <c r="T55" i="46" s="1"/>
  <c r="T96" i="46" s="1"/>
  <c r="T47" i="46" a="1"/>
  <c r="T47" i="46" s="1"/>
  <c r="U44" i="46" a="1"/>
  <c r="U44" i="46" s="1"/>
  <c r="T73" i="46" a="1"/>
  <c r="T73" i="46" s="1"/>
  <c r="R69" i="45" a="1"/>
  <c r="R69" i="45" s="1"/>
  <c r="R88" i="45" s="1"/>
  <c r="R66" i="45" a="1"/>
  <c r="R66" i="45" s="1"/>
  <c r="R87" i="45" s="1"/>
  <c r="R59" i="45" a="1"/>
  <c r="R59" i="45" s="1"/>
  <c r="R85" i="45" s="1"/>
  <c r="R62" i="45" a="1"/>
  <c r="R62" i="45" s="1"/>
  <c r="R86" i="45" s="1"/>
  <c r="R52" i="45" a="1"/>
  <c r="R52" i="45" s="1"/>
  <c r="P71" i="45"/>
  <c r="O71" i="45"/>
  <c r="Q71" i="45"/>
  <c r="R45" i="45" a="1"/>
  <c r="R45" i="45" s="1"/>
  <c r="R76" i="45" s="1"/>
  <c r="R41" i="45" a="1"/>
  <c r="R41" i="45" s="1"/>
  <c r="S52" i="45" a="1"/>
  <c r="S52" i="45" s="1"/>
  <c r="R58" i="45" a="1"/>
  <c r="R58" i="45" s="1"/>
  <c r="R47" i="45" a="1"/>
  <c r="R47" i="45" s="1"/>
  <c r="N71" i="45"/>
  <c r="M71" i="45"/>
  <c r="R41" i="44" a="1"/>
  <c r="R41" i="44" s="1"/>
  <c r="O70" i="44"/>
  <c r="P70" i="44"/>
  <c r="M70" i="44"/>
  <c r="S49" i="44" a="1"/>
  <c r="S49" i="44" s="1"/>
  <c r="R45" i="44" a="1"/>
  <c r="R45" i="44" s="1"/>
  <c r="R74" i="44" s="1"/>
  <c r="R49" i="44" a="1"/>
  <c r="R49" i="44" s="1"/>
  <c r="R44" i="44" a="1"/>
  <c r="R44" i="44" s="1"/>
  <c r="R73" i="44" s="1"/>
  <c r="R61" i="44" a="1"/>
  <c r="R61" i="44" s="1"/>
  <c r="R84" i="44" s="1"/>
  <c r="R47" i="44" a="1"/>
  <c r="R47" i="44" s="1"/>
  <c r="R76" i="44" s="1"/>
  <c r="S41" i="44" a="1"/>
  <c r="S41" i="44" s="1"/>
  <c r="R58" i="44" a="1"/>
  <c r="R58" i="44" s="1"/>
  <c r="R83" i="44" s="1"/>
  <c r="N70" i="44"/>
  <c r="R68" i="44" a="1"/>
  <c r="R68" i="44" s="1"/>
  <c r="R86" i="44" s="1"/>
  <c r="R50" i="44" a="1"/>
  <c r="R50" i="44" s="1"/>
  <c r="R65" i="44" a="1"/>
  <c r="R65" i="44" s="1"/>
  <c r="R85" i="44" s="1"/>
  <c r="Q70" i="44"/>
  <c r="R48" i="43" a="1"/>
  <c r="R48" i="43" s="1"/>
  <c r="R74" i="43" a="1"/>
  <c r="R74" i="43" s="1"/>
  <c r="R98" i="43" s="1"/>
  <c r="S53" i="43" a="1"/>
  <c r="S53" i="43" s="1"/>
  <c r="R46" i="43" a="1"/>
  <c r="R46" i="43" s="1"/>
  <c r="R44" i="43" a="1"/>
  <c r="R44" i="43" s="1"/>
  <c r="R87" i="43" s="1"/>
  <c r="R53" i="43" a="1"/>
  <c r="R53" i="43" s="1"/>
  <c r="R90" i="43" s="1"/>
  <c r="R64" i="43" a="1"/>
  <c r="R64" i="43" s="1"/>
  <c r="S64" i="43" a="1"/>
  <c r="S64" i="43" s="1"/>
  <c r="R57" i="43" a="1"/>
  <c r="R57" i="43" s="1"/>
  <c r="R61" i="43" a="1"/>
  <c r="R61" i="43" s="1"/>
  <c r="R92" i="43" s="1"/>
  <c r="R71" i="43" a="1"/>
  <c r="R71" i="43" s="1"/>
  <c r="R97" i="43" s="1"/>
  <c r="N83" i="43"/>
  <c r="R56" i="43" a="1"/>
  <c r="R56" i="43" s="1"/>
  <c r="O83" i="43"/>
  <c r="Q83" i="43"/>
  <c r="P83" i="43"/>
  <c r="N95" i="42"/>
  <c r="N102" i="42" s="1"/>
  <c r="Q95" i="42"/>
  <c r="Q102" i="42" s="1"/>
  <c r="P87" i="42"/>
  <c r="P101" i="42" s="1"/>
  <c r="P77" i="42"/>
  <c r="O95" i="42"/>
  <c r="O102" i="42" s="1"/>
  <c r="B96" i="42"/>
  <c r="E96" i="42"/>
  <c r="R47" i="42" a="1"/>
  <c r="R47" i="42" s="1"/>
  <c r="R75" i="42" a="1"/>
  <c r="R75" i="42" s="1"/>
  <c r="R94" i="42" s="1"/>
  <c r="R44" i="42" a="1"/>
  <c r="R44" i="42" s="1"/>
  <c r="R81" i="42" s="1"/>
  <c r="R58" i="42" a="1"/>
  <c r="R58" i="42" s="1"/>
  <c r="G95" i="42"/>
  <c r="R72" i="42" a="1"/>
  <c r="R72" i="42" s="1"/>
  <c r="R93" i="42" s="1"/>
  <c r="M87" i="42"/>
  <c r="M101" i="42" s="1"/>
  <c r="M77" i="42"/>
  <c r="M95" i="42"/>
  <c r="M102" i="42" s="1"/>
  <c r="O87" i="42"/>
  <c r="O101" i="42" s="1"/>
  <c r="O77" i="42"/>
  <c r="P95" i="42"/>
  <c r="P102" i="42" s="1"/>
  <c r="N87" i="42"/>
  <c r="N101" i="42" s="1"/>
  <c r="N77" i="42"/>
  <c r="Q87" i="42"/>
  <c r="Q101" i="42" s="1"/>
  <c r="Q77" i="42"/>
  <c r="R65" i="42" a="1"/>
  <c r="R65" i="42" s="1"/>
  <c r="R91" i="42" s="1"/>
  <c r="R60" i="42" a="1"/>
  <c r="R60" i="42" s="1"/>
  <c r="R90" i="42" s="1"/>
  <c r="R55" i="42" a="1"/>
  <c r="R55" i="42" s="1"/>
  <c r="R86" i="42" s="1"/>
  <c r="R46" i="42" a="1"/>
  <c r="R46" i="42" s="1"/>
  <c r="R68" i="42" a="1"/>
  <c r="R68" i="42" s="1"/>
  <c r="R41" i="42" a="1"/>
  <c r="R41" i="42" s="1"/>
  <c r="G87" i="42"/>
  <c r="R51" i="42" a="1"/>
  <c r="R51" i="42" s="1"/>
  <c r="R85" i="42" s="1"/>
  <c r="R45" i="42" a="1"/>
  <c r="R45" i="42" s="1"/>
  <c r="C96" i="42"/>
  <c r="F96" i="42"/>
  <c r="D96" i="42"/>
  <c r="K96" i="50"/>
  <c r="U56" i="50" a="1"/>
  <c r="U56" i="50" s="1"/>
  <c r="U96" i="50" s="1"/>
  <c r="U64" i="50" a="1"/>
  <c r="U64" i="50" s="1"/>
  <c r="U98" i="50" s="1"/>
  <c r="S72" i="42" a="1"/>
  <c r="S72" i="42" s="1"/>
  <c r="S69" i="42" a="1"/>
  <c r="S69" i="42" s="1"/>
  <c r="R69" i="42" a="1"/>
  <c r="R69" i="42" s="1"/>
  <c r="T76" i="46" a="1"/>
  <c r="T76" i="46" s="1"/>
  <c r="R66" i="43" a="1"/>
  <c r="R66" i="43" s="1"/>
  <c r="R96" i="43" s="1"/>
  <c r="H100" i="43"/>
  <c r="R81" i="43" a="1"/>
  <c r="R81" i="43" s="1"/>
  <c r="R100" i="43" s="1"/>
  <c r="S51" i="43" a="1"/>
  <c r="S51" i="43" s="1"/>
  <c r="R51" i="43" a="1"/>
  <c r="R51" i="43" s="1"/>
  <c r="S59" i="43" a="1"/>
  <c r="S59" i="43" s="1"/>
  <c r="R59" i="43" a="1"/>
  <c r="R59" i="43" s="1"/>
  <c r="R41" i="43" a="1"/>
  <c r="R41" i="43" s="1"/>
  <c r="S65" i="43" a="1"/>
  <c r="S65" i="43" s="1"/>
  <c r="R65" i="43" a="1"/>
  <c r="R65" i="43" s="1"/>
  <c r="W50" i="50" a="1"/>
  <c r="W50" i="50" s="1"/>
  <c r="U46" i="50" a="1"/>
  <c r="U46" i="50" s="1"/>
  <c r="U60" i="50" a="1"/>
  <c r="U60" i="50" s="1"/>
  <c r="K97" i="50"/>
  <c r="V62" i="50" a="1"/>
  <c r="V62" i="50" s="1"/>
  <c r="U52" i="50" a="1"/>
  <c r="U52" i="50" s="1"/>
  <c r="U48" i="50" a="1"/>
  <c r="U48" i="50" s="1"/>
  <c r="U70" i="50" a="1"/>
  <c r="U70" i="50" s="1"/>
  <c r="V65" i="49" a="1"/>
  <c r="V65" i="49" s="1"/>
  <c r="U65" i="49" a="1"/>
  <c r="U65" i="49" s="1"/>
  <c r="U66" i="48" a="1"/>
  <c r="U66" i="48" s="1"/>
  <c r="U75" i="47" a="1"/>
  <c r="U75" i="47" s="1"/>
  <c r="T75" i="47" a="1"/>
  <c r="T75" i="47" s="1"/>
  <c r="T44" i="47" a="1"/>
  <c r="T44" i="47" s="1"/>
  <c r="J94" i="47"/>
  <c r="T79" i="47" a="1"/>
  <c r="T79" i="47" s="1"/>
  <c r="U50" i="47" a="1"/>
  <c r="U50" i="47" s="1"/>
  <c r="T50" i="47" a="1"/>
  <c r="T50" i="47" s="1"/>
  <c r="T58" i="47" a="1"/>
  <c r="T58" i="47" s="1"/>
  <c r="U56" i="46" a="1"/>
  <c r="U56" i="46" s="1"/>
  <c r="T49" i="46" a="1"/>
  <c r="T49" i="46" s="1"/>
  <c r="H75" i="45"/>
  <c r="R44" i="45" a="1"/>
  <c r="R44" i="45" s="1"/>
  <c r="R75" i="45" s="1"/>
  <c r="S55" i="45" a="1"/>
  <c r="S55" i="45" s="1"/>
  <c r="R55" i="45" a="1"/>
  <c r="R55" i="45" s="1"/>
  <c r="H79" i="45"/>
  <c r="R50" i="45" a="1"/>
  <c r="R50" i="45" s="1"/>
  <c r="R79" i="45" s="1"/>
  <c r="S49" i="45" a="1"/>
  <c r="S49" i="45" s="1"/>
  <c r="R49" i="45" a="1"/>
  <c r="R49" i="45" s="1"/>
  <c r="S57" i="44" a="1"/>
  <c r="S57" i="44" s="1"/>
  <c r="R57" i="44" a="1"/>
  <c r="R57" i="44" s="1"/>
  <c r="S53" i="45" a="1"/>
  <c r="S53" i="45" s="1"/>
  <c r="U86" i="46" a="1"/>
  <c r="U86" i="46" s="1"/>
  <c r="C119" i="43"/>
  <c r="D119" i="43" s="1"/>
  <c r="S48" i="45" a="1"/>
  <c r="S48" i="45" s="1"/>
  <c r="G64" i="59"/>
  <c r="G49" i="59"/>
  <c r="R49" i="59" s="1"/>
  <c r="I89" i="57"/>
  <c r="Q359" i="28" s="1"/>
  <c r="I74" i="59"/>
  <c r="I120" i="46"/>
  <c r="C102" i="45"/>
  <c r="D102" i="45" s="1"/>
  <c r="E102" i="45" s="1"/>
  <c r="J103" i="46"/>
  <c r="C106" i="44"/>
  <c r="D106" i="44" s="1"/>
  <c r="G71" i="59"/>
  <c r="R71" i="59" s="1"/>
  <c r="I68" i="59"/>
  <c r="T68" i="59" s="1"/>
  <c r="S55" i="43" a="1"/>
  <c r="S55" i="43" s="1"/>
  <c r="G51" i="59"/>
  <c r="R51" i="59" s="1"/>
  <c r="G32" i="59"/>
  <c r="R32" i="59" s="1"/>
  <c r="S54" i="44" a="1"/>
  <c r="S54" i="44" s="1"/>
  <c r="I83" i="59"/>
  <c r="T83" i="59" s="1"/>
  <c r="S63" i="43" a="1"/>
  <c r="S63" i="43" s="1"/>
  <c r="G53" i="59"/>
  <c r="R53" i="59" s="1"/>
  <c r="I114" i="47"/>
  <c r="G65" i="57"/>
  <c r="G50" i="59"/>
  <c r="R50" i="59" s="1"/>
  <c r="I125" i="46"/>
  <c r="I62" i="59"/>
  <c r="C109" i="42"/>
  <c r="D109" i="42" s="1"/>
  <c r="D110" i="42" s="1"/>
  <c r="AD89" i="57" a="1"/>
  <c r="AD89" i="57" s="1"/>
  <c r="X79" i="57" a="1"/>
  <c r="X79" i="57" s="1"/>
  <c r="X132" i="57" s="1"/>
  <c r="B132" i="57"/>
  <c r="AB47" i="57" a="1"/>
  <c r="AB47" i="57" s="1"/>
  <c r="AA65" i="57" a="1"/>
  <c r="AA65" i="57" s="1"/>
  <c r="Y64" i="57" a="1"/>
  <c r="Y64" i="57" s="1"/>
  <c r="Y79" i="57" a="1"/>
  <c r="Y79" i="57" s="1"/>
  <c r="Y132" i="57" s="1"/>
  <c r="N132" i="57" s="1"/>
  <c r="AB86" i="57" a="1"/>
  <c r="AB86" i="57" s="1"/>
  <c r="Z47" i="57" a="1"/>
  <c r="Z47" i="57" s="1"/>
  <c r="Z86" i="57" a="1"/>
  <c r="Z86" i="57" s="1"/>
  <c r="AA66" i="57" a="1"/>
  <c r="AA66" i="57" s="1"/>
  <c r="Z65" i="57" a="1"/>
  <c r="Z65" i="57" s="1"/>
  <c r="AD98" i="57" a="1"/>
  <c r="AD98" i="57" s="1"/>
  <c r="AB79" i="57" a="1"/>
  <c r="AB79" i="57" s="1"/>
  <c r="AB132" i="57" s="1"/>
  <c r="Q132" i="57" s="1"/>
  <c r="AA68" i="57" a="1"/>
  <c r="AA68" i="57" s="1"/>
  <c r="AB68" i="57" a="1"/>
  <c r="AB68" i="57" s="1"/>
  <c r="AA86" i="57" a="1"/>
  <c r="AA86" i="57" s="1"/>
  <c r="AA47" i="57" a="1"/>
  <c r="AA47" i="57" s="1"/>
  <c r="Y86" i="57" a="1"/>
  <c r="Y86" i="57" s="1"/>
  <c r="Z66" i="57" a="1"/>
  <c r="Z66" i="57" s="1"/>
  <c r="AA64" i="57" a="1"/>
  <c r="AA64" i="57" s="1"/>
  <c r="AA79" i="57" a="1"/>
  <c r="AA79" i="57" s="1"/>
  <c r="AA132" i="57" s="1"/>
  <c r="P132" i="57" s="1"/>
  <c r="Z64" i="57" a="1"/>
  <c r="Z64" i="57" s="1"/>
  <c r="Y65" i="57" a="1"/>
  <c r="Y65" i="57" s="1"/>
  <c r="Y66" i="57" a="1"/>
  <c r="Y66" i="57" s="1"/>
  <c r="AD77" i="57" a="1"/>
  <c r="AD77" i="57" s="1"/>
  <c r="Y68" i="57" a="1"/>
  <c r="Y68" i="57" s="1"/>
  <c r="AB66" i="57" a="1"/>
  <c r="AB66" i="57" s="1"/>
  <c r="Z79" i="57" a="1"/>
  <c r="Z79" i="57" s="1"/>
  <c r="Z132" i="57" s="1"/>
  <c r="O132" i="57" s="1"/>
  <c r="Y47" i="57" a="1"/>
  <c r="Y47" i="57" s="1"/>
  <c r="J125" i="48"/>
  <c r="G105" i="44"/>
  <c r="G70" i="44"/>
  <c r="J113" i="50"/>
  <c r="E126" i="46"/>
  <c r="D127" i="46"/>
  <c r="G118" i="43"/>
  <c r="G101" i="45"/>
  <c r="G106" i="45"/>
  <c r="G100" i="44"/>
  <c r="C120" i="43"/>
  <c r="J119" i="49"/>
  <c r="D122" i="46"/>
  <c r="G113" i="43"/>
  <c r="G121" i="48"/>
  <c r="F122" i="48"/>
  <c r="J120" i="48"/>
  <c r="F126" i="48"/>
  <c r="E127" i="48"/>
  <c r="C114" i="42"/>
  <c r="C101" i="44"/>
  <c r="C102" i="44" s="1"/>
  <c r="F115" i="50"/>
  <c r="G114" i="50"/>
  <c r="J90" i="50"/>
  <c r="J92" i="50" s="1"/>
  <c r="J90" i="49"/>
  <c r="G120" i="49"/>
  <c r="F121" i="49"/>
  <c r="J90" i="48"/>
  <c r="D115" i="47"/>
  <c r="C116" i="47"/>
  <c r="I90" i="47"/>
  <c r="I90" i="46"/>
  <c r="F121" i="46"/>
  <c r="E122" i="46"/>
  <c r="G83" i="43"/>
  <c r="C114" i="43"/>
  <c r="U70" i="47" a="1"/>
  <c r="U70" i="47" s="1"/>
  <c r="H76" i="45"/>
  <c r="U83" i="46" a="1"/>
  <c r="U83" i="46" s="1"/>
  <c r="S63" i="44" a="1"/>
  <c r="S63" i="44" s="1"/>
  <c r="G86" i="57"/>
  <c r="R176" i="57" s="1"/>
  <c r="T57" i="44" a="1"/>
  <c r="T57" i="44" s="1"/>
  <c r="S71" i="42" a="1"/>
  <c r="S71" i="42" s="1"/>
  <c r="G64" i="57"/>
  <c r="S47" i="43" a="1"/>
  <c r="S47" i="43" s="1"/>
  <c r="S56" i="45" a="1"/>
  <c r="S56" i="45" s="1"/>
  <c r="I98" i="57"/>
  <c r="T188" i="57" s="1"/>
  <c r="G79" i="57"/>
  <c r="G132" i="57" s="1"/>
  <c r="U48" i="46" a="1"/>
  <c r="U48" i="46" s="1"/>
  <c r="V77" i="46" a="1"/>
  <c r="V77" i="46" s="1"/>
  <c r="S70" i="42" a="1"/>
  <c r="S70" i="42" s="1"/>
  <c r="H76" i="44"/>
  <c r="V45" i="50" a="1"/>
  <c r="V45" i="50" s="1"/>
  <c r="S69" i="44" a="1"/>
  <c r="S69" i="44" s="1"/>
  <c r="S49" i="42" a="1"/>
  <c r="S49" i="42" s="1"/>
  <c r="G68" i="57"/>
  <c r="H78" i="45"/>
  <c r="S58" i="43" a="1"/>
  <c r="S58" i="43" s="1"/>
  <c r="W58" i="50" a="1"/>
  <c r="W58" i="50" s="1"/>
  <c r="V74" i="50" a="1"/>
  <c r="V74" i="50" s="1"/>
  <c r="I83" i="57"/>
  <c r="Q358" i="28" s="1"/>
  <c r="U87" i="47" a="1"/>
  <c r="U87" i="47" s="1"/>
  <c r="U54" i="47" a="1"/>
  <c r="U54" i="47" s="1"/>
  <c r="G66" i="57"/>
  <c r="G47" i="57"/>
  <c r="U60" i="47" a="1"/>
  <c r="U60" i="47" s="1"/>
  <c r="I77" i="57"/>
  <c r="W53" i="50" a="1"/>
  <c r="W53" i="50" s="1"/>
  <c r="V75" i="50" a="1"/>
  <c r="V75" i="50" s="1"/>
  <c r="W59" i="50" a="1"/>
  <c r="W59" i="50" s="1"/>
  <c r="V89" i="50" a="1"/>
  <c r="V89" i="50" s="1"/>
  <c r="V77" i="50" a="1"/>
  <c r="V77" i="50" s="1"/>
  <c r="W63" i="50" a="1"/>
  <c r="W63" i="50" s="1"/>
  <c r="V82" i="50" a="1"/>
  <c r="V82" i="50" s="1"/>
  <c r="V83" i="50" a="1"/>
  <c r="V83" i="50" s="1"/>
  <c r="V65" i="50" a="1"/>
  <c r="V65" i="50" s="1"/>
  <c r="W68" i="50" a="1"/>
  <c r="W68" i="50" s="1"/>
  <c r="W49" i="50" a="1"/>
  <c r="W49" i="50" s="1"/>
  <c r="W51" i="50" a="1"/>
  <c r="W51" i="50" s="1"/>
  <c r="V79" i="50" a="1"/>
  <c r="V79" i="50" s="1"/>
  <c r="V87" i="50" a="1"/>
  <c r="V87" i="50" s="1"/>
  <c r="V84" i="50" a="1"/>
  <c r="V84" i="50" s="1"/>
  <c r="V86" i="50" a="1"/>
  <c r="V86" i="50" s="1"/>
  <c r="V80" i="50" a="1"/>
  <c r="V80" i="50" s="1"/>
  <c r="V69" i="50" a="1"/>
  <c r="V69" i="50" s="1"/>
  <c r="V76" i="50" a="1"/>
  <c r="V76" i="50" s="1"/>
  <c r="V75" i="49" a="1"/>
  <c r="V75" i="49" s="1"/>
  <c r="V68" i="49" a="1"/>
  <c r="V68" i="49" s="1"/>
  <c r="W50" i="49" a="1"/>
  <c r="W50" i="49" s="1"/>
  <c r="V81" i="49" a="1"/>
  <c r="V81" i="49" s="1"/>
  <c r="W59" i="49" a="1"/>
  <c r="W59" i="49" s="1"/>
  <c r="V83" i="49" a="1"/>
  <c r="V83" i="49" s="1"/>
  <c r="V45" i="49" a="1"/>
  <c r="V45" i="49" s="1"/>
  <c r="W51" i="49" a="1"/>
  <c r="W51" i="49" s="1"/>
  <c r="V64" i="49" a="1"/>
  <c r="V64" i="49" s="1"/>
  <c r="V66" i="49" a="1"/>
  <c r="V66" i="49" s="1"/>
  <c r="V72" i="49" a="1"/>
  <c r="V72" i="49" s="1"/>
  <c r="W48" i="49" a="1"/>
  <c r="W48" i="49" s="1"/>
  <c r="V52" i="49" a="1"/>
  <c r="V52" i="49" s="1"/>
  <c r="V86" i="49" a="1"/>
  <c r="V86" i="49" s="1"/>
  <c r="W69" i="49" a="1"/>
  <c r="W69" i="49" s="1"/>
  <c r="V74" i="49" a="1"/>
  <c r="V74" i="49" s="1"/>
  <c r="W63" i="49" a="1"/>
  <c r="W63" i="49" s="1"/>
  <c r="V80" i="49" a="1"/>
  <c r="V80" i="49" s="1"/>
  <c r="V78" i="49" a="1"/>
  <c r="V78" i="49" s="1"/>
  <c r="V62" i="49" a="1"/>
  <c r="V62" i="49" s="1"/>
  <c r="V89" i="49" a="1"/>
  <c r="V89" i="49" s="1"/>
  <c r="V58" i="49" a="1"/>
  <c r="V58" i="49" s="1"/>
  <c r="V87" i="49" a="1"/>
  <c r="V87" i="49" s="1"/>
  <c r="V49" i="49" a="1"/>
  <c r="V49" i="49" s="1"/>
  <c r="V60" i="49" a="1"/>
  <c r="V60" i="49" s="1"/>
  <c r="V79" i="49" a="1"/>
  <c r="V79" i="49" s="1"/>
  <c r="V77" i="49" a="1"/>
  <c r="V77" i="49" s="1"/>
  <c r="W46" i="49" a="1"/>
  <c r="W46" i="49" s="1"/>
  <c r="V54" i="49" a="1"/>
  <c r="V54" i="49" s="1"/>
  <c r="V56" i="49" a="1"/>
  <c r="V56" i="49" s="1"/>
  <c r="V85" i="49" a="1"/>
  <c r="V85" i="49" s="1"/>
  <c r="V84" i="49" a="1"/>
  <c r="V84" i="49" s="1"/>
  <c r="W53" i="49" a="1"/>
  <c r="W53" i="49" s="1"/>
  <c r="V82" i="49" a="1"/>
  <c r="V82" i="49" s="1"/>
  <c r="W65" i="49" a="1"/>
  <c r="W65" i="49" s="1"/>
  <c r="V88" i="49" a="1"/>
  <c r="V88" i="49" s="1"/>
  <c r="V49" i="48" a="1"/>
  <c r="V49" i="48" s="1"/>
  <c r="V45" i="48" a="1"/>
  <c r="V45" i="48" s="1"/>
  <c r="V74" i="48" a="1"/>
  <c r="V74" i="48" s="1"/>
  <c r="V72" i="48" a="1"/>
  <c r="V72" i="48" s="1"/>
  <c r="V87" i="48" a="1"/>
  <c r="V87" i="48" s="1"/>
  <c r="V86" i="48" a="1"/>
  <c r="V86" i="48" s="1"/>
  <c r="V76" i="48" a="1"/>
  <c r="V76" i="48" s="1"/>
  <c r="V80" i="48" a="1"/>
  <c r="V80" i="48" s="1"/>
  <c r="V84" i="48" a="1"/>
  <c r="V84" i="48" s="1"/>
  <c r="V59" i="48" a="1"/>
  <c r="V59" i="48" s="1"/>
  <c r="V82" i="48" a="1"/>
  <c r="V82" i="48" s="1"/>
  <c r="V62" i="48" a="1"/>
  <c r="V62" i="48" s="1"/>
  <c r="V75" i="48" a="1"/>
  <c r="V75" i="48" s="1"/>
  <c r="V65" i="48" a="1"/>
  <c r="V65" i="48" s="1"/>
  <c r="V53" i="48" a="1"/>
  <c r="V53" i="48" s="1"/>
  <c r="V48" i="48" a="1"/>
  <c r="V48" i="48" s="1"/>
  <c r="V58" i="48" a="1"/>
  <c r="V58" i="48" s="1"/>
  <c r="V54" i="48" a="1"/>
  <c r="V54" i="48" s="1"/>
  <c r="W68" i="48" a="1"/>
  <c r="W68" i="48" s="1"/>
  <c r="V83" i="48" a="1"/>
  <c r="V83" i="48" s="1"/>
  <c r="V50" i="48" a="1"/>
  <c r="V50" i="48" s="1"/>
  <c r="V63" i="48" a="1"/>
  <c r="V63" i="48" s="1"/>
  <c r="V51" i="48" a="1"/>
  <c r="V51" i="48" s="1"/>
  <c r="V77" i="48" a="1"/>
  <c r="V77" i="48" s="1"/>
  <c r="V89" i="48" a="1"/>
  <c r="V89" i="48" s="1"/>
  <c r="V56" i="48" a="1"/>
  <c r="V56" i="48" s="1"/>
  <c r="V79" i="48" a="1"/>
  <c r="V79" i="48" s="1"/>
  <c r="V64" i="48" a="1"/>
  <c r="V64" i="48" s="1"/>
  <c r="V69" i="48" a="1"/>
  <c r="V69" i="48" s="1"/>
  <c r="V46" i="48" a="1"/>
  <c r="V46" i="48" s="1"/>
  <c r="V60" i="48" a="1"/>
  <c r="V60" i="48" s="1"/>
  <c r="U77" i="47" a="1"/>
  <c r="U77" i="47" s="1"/>
  <c r="U69" i="47" a="1"/>
  <c r="U69" i="47" s="1"/>
  <c r="V64" i="47" a="1"/>
  <c r="V64" i="47" s="1"/>
  <c r="V50" i="47" a="1"/>
  <c r="V50" i="47" s="1"/>
  <c r="U76" i="47" a="1"/>
  <c r="U76" i="47" s="1"/>
  <c r="V46" i="47" a="1"/>
  <c r="V46" i="47" s="1"/>
  <c r="V62" i="47" a="1"/>
  <c r="V62" i="47" s="1"/>
  <c r="V59" i="47" a="1"/>
  <c r="V59" i="47" s="1"/>
  <c r="U84" i="47" a="1"/>
  <c r="U84" i="47" s="1"/>
  <c r="V83" i="47" a="1"/>
  <c r="V83" i="47" s="1"/>
  <c r="U51" i="47" a="1"/>
  <c r="U51" i="47" s="1"/>
  <c r="V45" i="47" a="1"/>
  <c r="V45" i="47" s="1"/>
  <c r="U80" i="47" a="1"/>
  <c r="U80" i="47" s="1"/>
  <c r="V66" i="47" a="1"/>
  <c r="V66" i="47" s="1"/>
  <c r="U68" i="47" a="1"/>
  <c r="U68" i="47" s="1"/>
  <c r="U82" i="47" a="1"/>
  <c r="U82" i="47" s="1"/>
  <c r="W89" i="47" a="1"/>
  <c r="W89" i="47" s="1"/>
  <c r="V75" i="47" a="1"/>
  <c r="V75" i="47" s="1"/>
  <c r="U72" i="47" a="1"/>
  <c r="U72" i="47" s="1"/>
  <c r="V52" i="47" a="1"/>
  <c r="V52" i="47" s="1"/>
  <c r="V48" i="47" a="1"/>
  <c r="V48" i="47" s="1"/>
  <c r="V56" i="47" a="1"/>
  <c r="V56" i="47" s="1"/>
  <c r="U86" i="47" a="1"/>
  <c r="U86" i="47" s="1"/>
  <c r="V74" i="47" a="1"/>
  <c r="V74" i="47" s="1"/>
  <c r="U53" i="47" a="1"/>
  <c r="U53" i="47" s="1"/>
  <c r="J96" i="47"/>
  <c r="U49" i="47" a="1"/>
  <c r="U49" i="47" s="1"/>
  <c r="U65" i="47" a="1"/>
  <c r="U65" i="47" s="1"/>
  <c r="U63" i="47" a="1"/>
  <c r="U63" i="47" s="1"/>
  <c r="W89" i="46" a="1"/>
  <c r="W89" i="46" s="1"/>
  <c r="U80" i="46" a="1"/>
  <c r="U80" i="46" s="1"/>
  <c r="U72" i="46" a="1"/>
  <c r="U72" i="46" s="1"/>
  <c r="V79" i="46" a="1"/>
  <c r="V79" i="46" s="1"/>
  <c r="W74" i="46" a="1"/>
  <c r="W74" i="46" s="1"/>
  <c r="U84" i="46" a="1"/>
  <c r="U84" i="46" s="1"/>
  <c r="W82" i="46" a="1"/>
  <c r="W82" i="46" s="1"/>
  <c r="V87" i="46" a="1"/>
  <c r="V87" i="46" s="1"/>
  <c r="V75" i="46" a="1"/>
  <c r="V75" i="46" s="1"/>
  <c r="U62" i="46" a="1"/>
  <c r="U62" i="46" s="1"/>
  <c r="U59" i="46" a="1"/>
  <c r="U59" i="46" s="1"/>
  <c r="U52" i="46" a="1"/>
  <c r="U52" i="46" s="1"/>
  <c r="U69" i="46" a="1"/>
  <c r="U69" i="46" s="1"/>
  <c r="U63" i="46" a="1"/>
  <c r="U63" i="46" s="1"/>
  <c r="U54" i="46" a="1"/>
  <c r="U54" i="46" s="1"/>
  <c r="U65" i="46" a="1"/>
  <c r="U65" i="46" s="1"/>
  <c r="V45" i="46" a="1"/>
  <c r="V45" i="46" s="1"/>
  <c r="U50" i="46" a="1"/>
  <c r="U50" i="46" s="1"/>
  <c r="U68" i="46" a="1"/>
  <c r="U68" i="46" s="1"/>
  <c r="W53" i="46" a="1"/>
  <c r="W53" i="46" s="1"/>
  <c r="U60" i="46" a="1"/>
  <c r="U60" i="46" s="1"/>
  <c r="U58" i="46" a="1"/>
  <c r="U58" i="46" s="1"/>
  <c r="U46" i="46" a="1"/>
  <c r="U46" i="46" s="1"/>
  <c r="U66" i="46" a="1"/>
  <c r="U66" i="46" s="1"/>
  <c r="U64" i="46" a="1"/>
  <c r="U64" i="46" s="1"/>
  <c r="V56" i="46" a="1"/>
  <c r="V56" i="46" s="1"/>
  <c r="U70" i="46" a="1"/>
  <c r="U70" i="46" s="1"/>
  <c r="T49" i="45" a="1"/>
  <c r="T49" i="45" s="1"/>
  <c r="S63" i="45" a="1"/>
  <c r="S63" i="45" s="1"/>
  <c r="S68" i="45" a="1"/>
  <c r="S68" i="45" s="1"/>
  <c r="S60" i="45" a="1"/>
  <c r="S60" i="45" s="1"/>
  <c r="I79" i="45"/>
  <c r="S70" i="45" a="1"/>
  <c r="S70" i="45" s="1"/>
  <c r="S65" i="45" a="1"/>
  <c r="S65" i="45" s="1"/>
  <c r="G71" i="45"/>
  <c r="S57" i="45" a="1"/>
  <c r="S57" i="45" s="1"/>
  <c r="S61" i="45" a="1"/>
  <c r="S61" i="45" s="1"/>
  <c r="T48" i="45" a="1"/>
  <c r="T48" i="45" s="1"/>
  <c r="S67" i="45" a="1"/>
  <c r="S67" i="45" s="1"/>
  <c r="S64" i="45" a="1"/>
  <c r="S64" i="45" s="1"/>
  <c r="S52" i="44" a="1"/>
  <c r="S52" i="44" s="1"/>
  <c r="H84" i="44"/>
  <c r="H74" i="44"/>
  <c r="S60" i="44" a="1"/>
  <c r="S60" i="44" s="1"/>
  <c r="H73" i="44"/>
  <c r="S56" i="44" a="1"/>
  <c r="S56" i="44" s="1"/>
  <c r="S64" i="44" a="1"/>
  <c r="S64" i="44" s="1"/>
  <c r="T54" i="44" a="1"/>
  <c r="T54" i="44" s="1"/>
  <c r="H78" i="44"/>
  <c r="S69" i="43" a="1"/>
  <c r="S69" i="43" s="1"/>
  <c r="S45" i="43" a="1"/>
  <c r="S45" i="43" s="1"/>
  <c r="S79" i="43" a="1"/>
  <c r="S79" i="43" s="1"/>
  <c r="S70" i="43" a="1"/>
  <c r="S70" i="43" s="1"/>
  <c r="T67" i="43" a="1"/>
  <c r="T67" i="43" s="1"/>
  <c r="S52" i="43" a="1"/>
  <c r="S52" i="43" s="1"/>
  <c r="S77" i="43" a="1"/>
  <c r="S77" i="43" s="1"/>
  <c r="S80" i="43" a="1"/>
  <c r="S80" i="43" s="1"/>
  <c r="S68" i="43" a="1"/>
  <c r="S68" i="43" s="1"/>
  <c r="T62" i="43" a="1"/>
  <c r="T62" i="43" s="1"/>
  <c r="S50" i="43" a="1"/>
  <c r="S50" i="43" s="1"/>
  <c r="T65" i="43" a="1"/>
  <c r="T65" i="43" s="1"/>
  <c r="S75" i="43" a="1"/>
  <c r="S75" i="43" s="1"/>
  <c r="S73" i="43" a="1"/>
  <c r="S73" i="43" s="1"/>
  <c r="S72" i="43" a="1"/>
  <c r="S72" i="43" s="1"/>
  <c r="T59" i="43" a="1"/>
  <c r="T59" i="43" s="1"/>
  <c r="S54" i="43" a="1"/>
  <c r="S54" i="43" s="1"/>
  <c r="S52" i="42" a="1"/>
  <c r="S52" i="42" s="1"/>
  <c r="S76" i="42" a="1"/>
  <c r="S76" i="42" s="1"/>
  <c r="S73" i="42" a="1"/>
  <c r="S73" i="42" s="1"/>
  <c r="S67" i="42" a="1"/>
  <c r="S67" i="42" s="1"/>
  <c r="S74" i="42" a="1"/>
  <c r="S74" i="42" s="1"/>
  <c r="S63" i="42" a="1"/>
  <c r="S63" i="42" s="1"/>
  <c r="S53" i="42" a="1"/>
  <c r="S53" i="42" s="1"/>
  <c r="S62" i="42" a="1"/>
  <c r="S62" i="42" s="1"/>
  <c r="S59" i="42" a="1"/>
  <c r="S59" i="42" s="1"/>
  <c r="T56" i="42" a="1"/>
  <c r="T56" i="42" s="1"/>
  <c r="S64" i="42" a="1"/>
  <c r="S64" i="42" s="1"/>
  <c r="S61" i="42" a="1"/>
  <c r="S61" i="42" s="1"/>
  <c r="S57" i="42" a="1"/>
  <c r="S57" i="42" s="1"/>
  <c r="S48" i="42" a="1"/>
  <c r="S48" i="42" s="1"/>
  <c r="G77" i="42"/>
  <c r="J97" i="47" l="1"/>
  <c r="O418" i="28"/>
  <c r="S76" i="43" a="1"/>
  <c r="S76" i="43" s="1"/>
  <c r="T250" i="28"/>
  <c r="Q499" i="28"/>
  <c r="Q481" i="28"/>
  <c r="P453" i="28"/>
  <c r="O500" i="28"/>
  <c r="P484" i="28"/>
  <c r="Q451" i="28"/>
  <c r="Q482" i="28"/>
  <c r="P464" i="28"/>
  <c r="P469" i="28" s="1"/>
  <c r="P495" i="28"/>
  <c r="P497" i="28"/>
  <c r="Q467" i="28"/>
  <c r="Q498" i="28"/>
  <c r="Q448" i="28"/>
  <c r="Q479" i="28"/>
  <c r="Q452" i="28"/>
  <c r="Q483" i="28"/>
  <c r="Q478" i="28"/>
  <c r="P494" i="28"/>
  <c r="Q465" i="28"/>
  <c r="Q496" i="28"/>
  <c r="Q450" i="28"/>
  <c r="K404" i="28"/>
  <c r="M404" i="28"/>
  <c r="I404" i="28"/>
  <c r="L404" i="28"/>
  <c r="J404" i="28"/>
  <c r="H92" i="42"/>
  <c r="H94" i="42"/>
  <c r="T114" i="49"/>
  <c r="T116" i="49" s="1"/>
  <c r="H81" i="45"/>
  <c r="Q468" i="28"/>
  <c r="S114" i="46"/>
  <c r="S116" i="46" s="1"/>
  <c r="R81" i="45"/>
  <c r="R95" i="45" s="1"/>
  <c r="T104" i="47"/>
  <c r="T114" i="48"/>
  <c r="T116" i="48" s="1"/>
  <c r="T74" i="59"/>
  <c r="R64" i="59"/>
  <c r="R119" i="59" s="1"/>
  <c r="G119" i="59"/>
  <c r="T62" i="59"/>
  <c r="P95" i="44"/>
  <c r="N95" i="44"/>
  <c r="P97" i="45"/>
  <c r="N103" i="42"/>
  <c r="M109" i="43"/>
  <c r="O95" i="44"/>
  <c r="O103" i="42"/>
  <c r="Q103" i="42"/>
  <c r="N97" i="45"/>
  <c r="Q97" i="45"/>
  <c r="Q109" i="43"/>
  <c r="N109" i="43"/>
  <c r="P103" i="42"/>
  <c r="O109" i="43"/>
  <c r="P109" i="43"/>
  <c r="M97" i="45"/>
  <c r="M103" i="42"/>
  <c r="O97" i="45"/>
  <c r="M95" i="44"/>
  <c r="Q95" i="44"/>
  <c r="H81" i="42"/>
  <c r="K99" i="48"/>
  <c r="J99" i="46"/>
  <c r="H108" i="42"/>
  <c r="K96" i="46"/>
  <c r="K94" i="48"/>
  <c r="U104" i="46"/>
  <c r="K95" i="50"/>
  <c r="J97" i="46"/>
  <c r="H92" i="43"/>
  <c r="R82" i="42"/>
  <c r="U105" i="47"/>
  <c r="U108" i="48"/>
  <c r="U115" i="48" s="1"/>
  <c r="K98" i="50"/>
  <c r="K95" i="49"/>
  <c r="U99" i="49"/>
  <c r="J108" i="47"/>
  <c r="H93" i="42"/>
  <c r="J95" i="46"/>
  <c r="H82" i="42"/>
  <c r="K108" i="48"/>
  <c r="U85" i="47" a="1"/>
  <c r="U85" i="47" s="1"/>
  <c r="U106" i="47" s="1"/>
  <c r="J106" i="47"/>
  <c r="K95" i="48"/>
  <c r="V88" i="50" a="1"/>
  <c r="V88" i="50" s="1"/>
  <c r="V107" i="50" s="1"/>
  <c r="K107" i="50"/>
  <c r="V41" i="48" a="1"/>
  <c r="V41" i="48" s="1"/>
  <c r="K100" i="48"/>
  <c r="V70" i="49" a="1"/>
  <c r="V70" i="49" s="1"/>
  <c r="V107" i="49" s="1"/>
  <c r="K107" i="49"/>
  <c r="U88" i="46" a="1"/>
  <c r="U88" i="46" s="1"/>
  <c r="U107" i="46" s="1"/>
  <c r="J107" i="46"/>
  <c r="V81" i="48" a="1"/>
  <c r="V81" i="48" s="1"/>
  <c r="V105" i="48" s="1"/>
  <c r="K105" i="48"/>
  <c r="V85" i="50" a="1"/>
  <c r="V85" i="50" s="1"/>
  <c r="V106" i="50" s="1"/>
  <c r="K106" i="50"/>
  <c r="V81" i="47" a="1"/>
  <c r="V81" i="47" s="1"/>
  <c r="K103" i="48"/>
  <c r="H91" i="42"/>
  <c r="H85" i="42"/>
  <c r="H86" i="44"/>
  <c r="H85" i="45"/>
  <c r="H86" i="45"/>
  <c r="U88" i="47" a="1"/>
  <c r="U88" i="47" s="1"/>
  <c r="U107" i="47" s="1"/>
  <c r="J107" i="47"/>
  <c r="V85" i="48" a="1"/>
  <c r="V85" i="48" s="1"/>
  <c r="V106" i="48" s="1"/>
  <c r="K106" i="48"/>
  <c r="K97" i="48"/>
  <c r="K103" i="50"/>
  <c r="J98" i="46"/>
  <c r="V78" i="46" a="1"/>
  <c r="V78" i="46" s="1"/>
  <c r="K98" i="49"/>
  <c r="J104" i="46"/>
  <c r="K96" i="49"/>
  <c r="J94" i="46"/>
  <c r="R478" i="28" s="1"/>
  <c r="H90" i="42"/>
  <c r="V81" i="46" a="1"/>
  <c r="V81" i="46" s="1"/>
  <c r="H84" i="42"/>
  <c r="AC65" i="57" a="1"/>
  <c r="AC65" i="57" s="1"/>
  <c r="P32" i="75"/>
  <c r="K108" i="49"/>
  <c r="U108" i="50"/>
  <c r="J105" i="47"/>
  <c r="K94" i="50"/>
  <c r="N32" i="75"/>
  <c r="K99" i="49"/>
  <c r="J108" i="46"/>
  <c r="K103" i="49"/>
  <c r="J95" i="47"/>
  <c r="H83" i="42"/>
  <c r="U78" i="47" a="1"/>
  <c r="U78" i="47" s="1"/>
  <c r="J104" i="47"/>
  <c r="L32" i="75"/>
  <c r="J100" i="46"/>
  <c r="K94" i="49"/>
  <c r="J105" i="46"/>
  <c r="K97" i="49"/>
  <c r="O32" i="75"/>
  <c r="V88" i="48" a="1"/>
  <c r="V88" i="48" s="1"/>
  <c r="V107" i="48" s="1"/>
  <c r="K107" i="48"/>
  <c r="V41" i="50" a="1"/>
  <c r="V41" i="50" s="1"/>
  <c r="K100" i="50"/>
  <c r="H86" i="42"/>
  <c r="V41" i="46" a="1"/>
  <c r="V41" i="46" s="1"/>
  <c r="V41" i="47" a="1"/>
  <c r="V41" i="47" s="1"/>
  <c r="K98" i="48"/>
  <c r="J98" i="47"/>
  <c r="J99" i="47"/>
  <c r="K96" i="48"/>
  <c r="V78" i="50" a="1"/>
  <c r="V78" i="50" s="1"/>
  <c r="V104" i="50" s="1"/>
  <c r="K104" i="50"/>
  <c r="V81" i="50" a="1"/>
  <c r="V81" i="50" s="1"/>
  <c r="V105" i="50" s="1"/>
  <c r="K105" i="50"/>
  <c r="H113" i="42"/>
  <c r="J103" i="47"/>
  <c r="V78" i="48" a="1"/>
  <c r="V78" i="48" s="1"/>
  <c r="V104" i="48" s="1"/>
  <c r="K104" i="48"/>
  <c r="V41" i="49" a="1"/>
  <c r="V41" i="49" s="1"/>
  <c r="K100" i="49"/>
  <c r="V71" i="50" a="1"/>
  <c r="V71" i="50" s="1"/>
  <c r="K108" i="50"/>
  <c r="K99" i="50"/>
  <c r="U85" i="46" a="1"/>
  <c r="U85" i="46" s="1"/>
  <c r="U106" i="46" s="1"/>
  <c r="J106" i="46"/>
  <c r="J96" i="46"/>
  <c r="M32" i="75"/>
  <c r="J100" i="47"/>
  <c r="R93" i="43"/>
  <c r="R107" i="43" s="1"/>
  <c r="U105" i="46"/>
  <c r="T100" i="46"/>
  <c r="U95" i="50"/>
  <c r="R83" i="42"/>
  <c r="R89" i="45"/>
  <c r="R96" i="45" s="1"/>
  <c r="T97" i="47"/>
  <c r="Q466" i="28" s="1"/>
  <c r="U95" i="47"/>
  <c r="U94" i="50"/>
  <c r="U100" i="48"/>
  <c r="T103" i="46"/>
  <c r="T103" i="47"/>
  <c r="V97" i="49"/>
  <c r="V96" i="49"/>
  <c r="U99" i="50"/>
  <c r="T108" i="46"/>
  <c r="T115" i="46" s="1"/>
  <c r="U100" i="50"/>
  <c r="T94" i="47"/>
  <c r="Q494" i="28" s="1"/>
  <c r="T100" i="47"/>
  <c r="S93" i="42"/>
  <c r="U94" i="46"/>
  <c r="T95" i="47"/>
  <c r="T108" i="47"/>
  <c r="U98" i="49"/>
  <c r="V103" i="49"/>
  <c r="U97" i="50"/>
  <c r="U100" i="49"/>
  <c r="U90" i="50"/>
  <c r="R92" i="42"/>
  <c r="M96" i="42"/>
  <c r="R84" i="42"/>
  <c r="R78" i="45"/>
  <c r="T95" i="46"/>
  <c r="U98" i="48"/>
  <c r="V94" i="49"/>
  <c r="V108" i="49"/>
  <c r="V115" i="49" s="1"/>
  <c r="U90" i="49"/>
  <c r="S78" i="43" a="1"/>
  <c r="S78" i="43" s="1"/>
  <c r="S99" i="43" s="1"/>
  <c r="H99" i="43"/>
  <c r="H87" i="45"/>
  <c r="H88" i="45"/>
  <c r="U90" i="48"/>
  <c r="S41" i="43" a="1"/>
  <c r="S41" i="43" s="1"/>
  <c r="H93" i="43"/>
  <c r="H91" i="43"/>
  <c r="H98" i="43"/>
  <c r="H87" i="43"/>
  <c r="H84" i="45"/>
  <c r="R101" i="43"/>
  <c r="R108" i="43" s="1"/>
  <c r="R84" i="45"/>
  <c r="S82" i="43" a="1"/>
  <c r="S82" i="43" s="1"/>
  <c r="H90" i="43"/>
  <c r="H97" i="43"/>
  <c r="R91" i="43"/>
  <c r="R88" i="43"/>
  <c r="T41" i="43" a="1"/>
  <c r="T41" i="43" s="1"/>
  <c r="H88" i="43"/>
  <c r="H96" i="43"/>
  <c r="S90" i="43"/>
  <c r="H89" i="45"/>
  <c r="H101" i="43"/>
  <c r="AE83" i="57" a="1"/>
  <c r="AE83" i="57" s="1"/>
  <c r="T173" i="57"/>
  <c r="AE89" i="57" a="1"/>
  <c r="AE89" i="57" s="1"/>
  <c r="T179" i="57"/>
  <c r="S53" i="44" a="1"/>
  <c r="S53" i="44" s="1"/>
  <c r="H82" i="44"/>
  <c r="R82" i="44"/>
  <c r="R87" i="44"/>
  <c r="R94" i="44" s="1"/>
  <c r="T53" i="44" a="1"/>
  <c r="T53" i="44" s="1"/>
  <c r="R79" i="44"/>
  <c r="R93" i="44" s="1"/>
  <c r="H83" i="44"/>
  <c r="S51" i="44" a="1"/>
  <c r="S51" i="44" s="1"/>
  <c r="H87" i="44"/>
  <c r="H85" i="44"/>
  <c r="R78" i="44"/>
  <c r="H79" i="44"/>
  <c r="V73" i="50" a="1"/>
  <c r="V73" i="50" s="1"/>
  <c r="V103" i="50" s="1"/>
  <c r="W57" i="50" a="1"/>
  <c r="W57" i="50" s="1"/>
  <c r="W55" i="50" a="1"/>
  <c r="W55" i="50" s="1"/>
  <c r="W44" i="50" a="1"/>
  <c r="W44" i="50" s="1"/>
  <c r="V67" i="50" a="1"/>
  <c r="V67" i="50" s="1"/>
  <c r="V72" i="50" a="1"/>
  <c r="V72" i="50" s="1"/>
  <c r="W61" i="50" a="1"/>
  <c r="W61" i="50" s="1"/>
  <c r="W47" i="50" a="1"/>
  <c r="W47" i="50" s="1"/>
  <c r="W57" i="49" a="1"/>
  <c r="W57" i="49" s="1"/>
  <c r="W73" i="49" a="1"/>
  <c r="W73" i="49" s="1"/>
  <c r="V47" i="49" a="1"/>
  <c r="V47" i="49" s="1"/>
  <c r="V95" i="49" s="1"/>
  <c r="W71" i="49" a="1"/>
  <c r="W71" i="49" s="1"/>
  <c r="W44" i="49" a="1"/>
  <c r="W44" i="49" s="1"/>
  <c r="W55" i="49" a="1"/>
  <c r="W55" i="49" s="1"/>
  <c r="W67" i="49" a="1"/>
  <c r="W67" i="49" s="1"/>
  <c r="V61" i="48" a="1"/>
  <c r="V61" i="48" s="1"/>
  <c r="V73" i="48" a="1"/>
  <c r="V73" i="48" s="1"/>
  <c r="V103" i="48" s="1"/>
  <c r="V47" i="48" a="1"/>
  <c r="V47" i="48" s="1"/>
  <c r="V95" i="48" s="1"/>
  <c r="V55" i="48" a="1"/>
  <c r="V55" i="48" s="1"/>
  <c r="V96" i="48" s="1"/>
  <c r="V57" i="48" a="1"/>
  <c r="V57" i="48" s="1"/>
  <c r="V97" i="48" s="1"/>
  <c r="V67" i="48" a="1"/>
  <c r="V67" i="48" s="1"/>
  <c r="V99" i="48" s="1"/>
  <c r="V71" i="48" a="1"/>
  <c r="V71" i="48" s="1"/>
  <c r="V44" i="48" a="1"/>
  <c r="V44" i="48" s="1"/>
  <c r="V94" i="48" s="1"/>
  <c r="U57" i="47" a="1"/>
  <c r="U57" i="47" s="1"/>
  <c r="U55" i="47" a="1"/>
  <c r="U55" i="47" s="1"/>
  <c r="U96" i="47" s="1"/>
  <c r="U71" i="47" a="1"/>
  <c r="U71" i="47" s="1"/>
  <c r="V47" i="47" a="1"/>
  <c r="V47" i="47" s="1"/>
  <c r="U73" i="47" a="1"/>
  <c r="U73" i="47" s="1"/>
  <c r="U103" i="47" s="1"/>
  <c r="U61" i="47" a="1"/>
  <c r="U61" i="47" s="1"/>
  <c r="U98" i="47" s="1"/>
  <c r="U67" i="47" a="1"/>
  <c r="U67" i="47" s="1"/>
  <c r="U99" i="47" s="1"/>
  <c r="T90" i="47"/>
  <c r="U57" i="46" a="1"/>
  <c r="U57" i="46" s="1"/>
  <c r="U97" i="46" s="1"/>
  <c r="V47" i="46" a="1"/>
  <c r="V47" i="46" s="1"/>
  <c r="U55" i="46" a="1"/>
  <c r="U55" i="46" s="1"/>
  <c r="U96" i="46" s="1"/>
  <c r="V44" i="46" a="1"/>
  <c r="V44" i="46" s="1"/>
  <c r="U61" i="46" a="1"/>
  <c r="U61" i="46" s="1"/>
  <c r="U98" i="46" s="1"/>
  <c r="U67" i="46" a="1"/>
  <c r="U67" i="46" s="1"/>
  <c r="U99" i="46" s="1"/>
  <c r="V71" i="46" a="1"/>
  <c r="V71" i="46" s="1"/>
  <c r="V55" i="46" a="1"/>
  <c r="V55" i="46" s="1"/>
  <c r="V96" i="46" s="1"/>
  <c r="U73" i="46" a="1"/>
  <c r="U73" i="46" s="1"/>
  <c r="T90" i="46"/>
  <c r="S50" i="45" a="1"/>
  <c r="S50" i="45" s="1"/>
  <c r="S79" i="45" s="1"/>
  <c r="S44" i="45" a="1"/>
  <c r="S44" i="45" s="1"/>
  <c r="S75" i="45" s="1"/>
  <c r="S41" i="45" a="1"/>
  <c r="S41" i="45" s="1"/>
  <c r="S62" i="45" a="1"/>
  <c r="S62" i="45" s="1"/>
  <c r="S86" i="45" s="1"/>
  <c r="S59" i="45" a="1"/>
  <c r="S59" i="45" s="1"/>
  <c r="S85" i="45" s="1"/>
  <c r="T52" i="45" a="1"/>
  <c r="T52" i="45" s="1"/>
  <c r="S69" i="45" a="1"/>
  <c r="S69" i="45" s="1"/>
  <c r="S88" i="45" s="1"/>
  <c r="T50" i="45" a="1"/>
  <c r="T50" i="45" s="1"/>
  <c r="T79" i="45" s="1"/>
  <c r="S47" i="45" a="1"/>
  <c r="S47" i="45" s="1"/>
  <c r="S78" i="45" s="1"/>
  <c r="S58" i="45" a="1"/>
  <c r="S58" i="45" s="1"/>
  <c r="R71" i="45"/>
  <c r="S66" i="45" a="1"/>
  <c r="S66" i="45" s="1"/>
  <c r="S87" i="45" s="1"/>
  <c r="S45" i="44" a="1"/>
  <c r="S45" i="44" s="1"/>
  <c r="S74" i="44" s="1"/>
  <c r="S58" i="44" a="1"/>
  <c r="S58" i="44" s="1"/>
  <c r="S47" i="44" a="1"/>
  <c r="S47" i="44" s="1"/>
  <c r="S76" i="44" s="1"/>
  <c r="S44" i="44" a="1"/>
  <c r="S44" i="44" s="1"/>
  <c r="S73" i="44" s="1"/>
  <c r="S65" i="44" a="1"/>
  <c r="S65" i="44" s="1"/>
  <c r="T49" i="44" a="1"/>
  <c r="T49" i="44" s="1"/>
  <c r="S61" i="44" a="1"/>
  <c r="S61" i="44" s="1"/>
  <c r="S50" i="44" a="1"/>
  <c r="S50" i="44" s="1"/>
  <c r="S78" i="44" s="1"/>
  <c r="T41" i="44" a="1"/>
  <c r="T41" i="44" s="1"/>
  <c r="S68" i="44" a="1"/>
  <c r="S68" i="44" s="1"/>
  <c r="S86" i="44" s="1"/>
  <c r="R70" i="44"/>
  <c r="S56" i="43" a="1"/>
  <c r="S56" i="43" s="1"/>
  <c r="S71" i="43" a="1"/>
  <c r="S71" i="43" s="1"/>
  <c r="S97" i="43" s="1"/>
  <c r="R83" i="43"/>
  <c r="S44" i="43" a="1"/>
  <c r="S44" i="43" s="1"/>
  <c r="S87" i="43" s="1"/>
  <c r="S66" i="43" a="1"/>
  <c r="S66" i="43" s="1"/>
  <c r="S96" i="43" s="1"/>
  <c r="T64" i="43" a="1"/>
  <c r="T64" i="43" s="1"/>
  <c r="T66" i="43" a="1"/>
  <c r="T66" i="43" s="1"/>
  <c r="S57" i="43" a="1"/>
  <c r="S57" i="43" s="1"/>
  <c r="S48" i="43" a="1"/>
  <c r="S48" i="43" s="1"/>
  <c r="S46" i="43" a="1"/>
  <c r="S46" i="43" s="1"/>
  <c r="S74" i="43" a="1"/>
  <c r="S74" i="43" s="1"/>
  <c r="S98" i="43" s="1"/>
  <c r="T53" i="43" a="1"/>
  <c r="T53" i="43" s="1"/>
  <c r="S61" i="43" a="1"/>
  <c r="S61" i="43" s="1"/>
  <c r="S92" i="43" s="1"/>
  <c r="S55" i="42" a="1"/>
  <c r="S55" i="42" s="1"/>
  <c r="S86" i="42" s="1"/>
  <c r="S68" i="42" a="1"/>
  <c r="S68" i="42" s="1"/>
  <c r="S92" i="42" s="1"/>
  <c r="T72" i="42" a="1"/>
  <c r="T72" i="42" s="1"/>
  <c r="S58" i="42" a="1"/>
  <c r="S58" i="42" s="1"/>
  <c r="H95" i="42"/>
  <c r="S75" i="42" a="1"/>
  <c r="S75" i="42" s="1"/>
  <c r="S94" i="42" s="1"/>
  <c r="S44" i="42" a="1"/>
  <c r="S44" i="42" s="1"/>
  <c r="S81" i="42" s="1"/>
  <c r="S45" i="42" a="1"/>
  <c r="S45" i="42" s="1"/>
  <c r="S47" i="42" a="1"/>
  <c r="S47" i="42" s="1"/>
  <c r="P96" i="42"/>
  <c r="G96" i="42"/>
  <c r="U72" i="42" a="1"/>
  <c r="U72" i="42" s="1"/>
  <c r="S41" i="42" a="1"/>
  <c r="S41" i="42" s="1"/>
  <c r="H87" i="42"/>
  <c r="S65" i="42" a="1"/>
  <c r="S65" i="42" s="1"/>
  <c r="S60" i="42" a="1"/>
  <c r="S60" i="42" s="1"/>
  <c r="S90" i="42" s="1"/>
  <c r="S46" i="42" a="1"/>
  <c r="S46" i="42" s="1"/>
  <c r="S51" i="42" a="1"/>
  <c r="S51" i="42" s="1"/>
  <c r="R87" i="42"/>
  <c r="R101" i="42" s="1"/>
  <c r="R77" i="42"/>
  <c r="R95" i="42"/>
  <c r="R102" i="42" s="1"/>
  <c r="Q96" i="42"/>
  <c r="O96" i="42"/>
  <c r="N96" i="42"/>
  <c r="T55" i="45" a="1"/>
  <c r="T55" i="45" s="1"/>
  <c r="T51" i="43" a="1"/>
  <c r="T51" i="43" s="1"/>
  <c r="V83" i="46" a="1"/>
  <c r="V83" i="46" s="1"/>
  <c r="T63" i="43" a="1"/>
  <c r="T63" i="43" s="1"/>
  <c r="V64" i="50" a="1"/>
  <c r="V64" i="50" s="1"/>
  <c r="V98" i="50" s="1"/>
  <c r="H65" i="57"/>
  <c r="T53" i="45" a="1"/>
  <c r="T53" i="45" s="1"/>
  <c r="T54" i="42" a="1"/>
  <c r="T54" i="42" s="1"/>
  <c r="S54" i="42" a="1"/>
  <c r="S54" i="42" s="1"/>
  <c r="V56" i="50" a="1"/>
  <c r="V56" i="50" s="1"/>
  <c r="V96" i="50" s="1"/>
  <c r="L96" i="50"/>
  <c r="T55" i="43" a="1"/>
  <c r="T55" i="43" s="1"/>
  <c r="T66" i="42" a="1"/>
  <c r="T66" i="42" s="1"/>
  <c r="S66" i="42" a="1"/>
  <c r="S66" i="42" s="1"/>
  <c r="I75" i="45"/>
  <c r="V70" i="47" a="1"/>
  <c r="V70" i="47" s="1"/>
  <c r="T69" i="42" a="1"/>
  <c r="T69" i="42" s="1"/>
  <c r="H50" i="59"/>
  <c r="S50" i="59" s="1"/>
  <c r="U76" i="46" a="1"/>
  <c r="U76" i="46" s="1"/>
  <c r="T49" i="43" a="1"/>
  <c r="T49" i="43" s="1"/>
  <c r="S49" i="43" a="1"/>
  <c r="S49" i="43" s="1"/>
  <c r="T60" i="43" a="1"/>
  <c r="T60" i="43" s="1"/>
  <c r="S60" i="43" a="1"/>
  <c r="S60" i="43" s="1"/>
  <c r="I100" i="43"/>
  <c r="S81" i="43" a="1"/>
  <c r="S81" i="43" s="1"/>
  <c r="W62" i="50" a="1"/>
  <c r="W62" i="50" s="1"/>
  <c r="V60" i="50" a="1"/>
  <c r="V60" i="50" s="1"/>
  <c r="V97" i="50" s="1"/>
  <c r="L97" i="50"/>
  <c r="V48" i="50" a="1"/>
  <c r="V48" i="50" s="1"/>
  <c r="V46" i="50" a="1"/>
  <c r="V46" i="50" s="1"/>
  <c r="V94" i="50" s="1"/>
  <c r="V70" i="50" a="1"/>
  <c r="V70" i="50" s="1"/>
  <c r="V52" i="50" a="1"/>
  <c r="V52" i="50" s="1"/>
  <c r="V61" i="49" a="1"/>
  <c r="V61" i="49" s="1"/>
  <c r="V98" i="49" s="1"/>
  <c r="V66" i="48" a="1"/>
  <c r="V66" i="48" s="1"/>
  <c r="U79" i="47" a="1"/>
  <c r="U79" i="47" s="1"/>
  <c r="U104" i="47" s="1"/>
  <c r="U44" i="47" a="1"/>
  <c r="U44" i="47" s="1"/>
  <c r="K94" i="47"/>
  <c r="U58" i="47" a="1"/>
  <c r="U58" i="47" s="1"/>
  <c r="V51" i="46" a="1"/>
  <c r="V51" i="46" s="1"/>
  <c r="U51" i="46" a="1"/>
  <c r="U51" i="46" s="1"/>
  <c r="U49" i="46" a="1"/>
  <c r="U49" i="46" s="1"/>
  <c r="T46" i="45" a="1"/>
  <c r="T46" i="45" s="1"/>
  <c r="S46" i="45" a="1"/>
  <c r="S46" i="45" s="1"/>
  <c r="S45" i="45" a="1"/>
  <c r="S45" i="45" s="1"/>
  <c r="S54" i="45" a="1"/>
  <c r="S54" i="45" s="1"/>
  <c r="T55" i="44" a="1"/>
  <c r="T55" i="44" s="1"/>
  <c r="S55" i="44" a="1"/>
  <c r="S55" i="44" s="1"/>
  <c r="T67" i="44" a="1"/>
  <c r="T67" i="44" s="1"/>
  <c r="S67" i="44" a="1"/>
  <c r="S67" i="44" s="1"/>
  <c r="S62" i="44" a="1"/>
  <c r="S62" i="44" s="1"/>
  <c r="T66" i="44" a="1"/>
  <c r="T66" i="44" s="1"/>
  <c r="S66" i="44" a="1"/>
  <c r="S66" i="44" s="1"/>
  <c r="T59" i="44" a="1"/>
  <c r="T59" i="44" s="1"/>
  <c r="S59" i="44" a="1"/>
  <c r="S59" i="44" s="1"/>
  <c r="T63" i="44" a="1"/>
  <c r="T63" i="44" s="1"/>
  <c r="T71" i="42" a="1"/>
  <c r="T71" i="42" s="1"/>
  <c r="V86" i="46" a="1"/>
  <c r="V86" i="46" s="1"/>
  <c r="T58" i="43" a="1"/>
  <c r="T58" i="43" s="1"/>
  <c r="C103" i="45"/>
  <c r="C107" i="44"/>
  <c r="H101" i="45"/>
  <c r="H100" i="44"/>
  <c r="T49" i="42" a="1"/>
  <c r="T49" i="42" s="1"/>
  <c r="D103" i="45"/>
  <c r="M132" i="57"/>
  <c r="C110" i="42"/>
  <c r="H79" i="57"/>
  <c r="H132" i="57" s="1"/>
  <c r="H64" i="59"/>
  <c r="J74" i="59"/>
  <c r="J125" i="46"/>
  <c r="H71" i="59"/>
  <c r="S71" i="59" s="1"/>
  <c r="J83" i="57"/>
  <c r="R358" i="28" s="1"/>
  <c r="J68" i="59"/>
  <c r="U68" i="59" s="1"/>
  <c r="H32" i="59"/>
  <c r="S32" i="59" s="1"/>
  <c r="W45" i="50" a="1"/>
  <c r="W45" i="50" s="1"/>
  <c r="I65" i="57"/>
  <c r="I50" i="59"/>
  <c r="T50" i="59" s="1"/>
  <c r="H118" i="43"/>
  <c r="J62" i="59"/>
  <c r="K103" i="46"/>
  <c r="H113" i="43"/>
  <c r="H51" i="59"/>
  <c r="S51" i="59" s="1"/>
  <c r="J98" i="57"/>
  <c r="J83" i="59"/>
  <c r="U83" i="59" s="1"/>
  <c r="H68" i="57"/>
  <c r="H53" i="59"/>
  <c r="S53" i="59" s="1"/>
  <c r="J114" i="47"/>
  <c r="H64" i="57"/>
  <c r="AD64" i="57" s="1" a="1"/>
  <c r="AD64" i="57" s="1"/>
  <c r="H49" i="59"/>
  <c r="S49" i="59" s="1"/>
  <c r="AC66" i="57" a="1"/>
  <c r="AC66" i="57" s="1"/>
  <c r="AE77" i="57" a="1"/>
  <c r="AE77" i="57" s="1"/>
  <c r="AC68" i="57" a="1"/>
  <c r="AC68" i="57" s="1"/>
  <c r="AC79" i="57" a="1"/>
  <c r="AC79" i="57" s="1"/>
  <c r="AC132" i="57" s="1"/>
  <c r="R132" i="57" s="1"/>
  <c r="AC86" i="57" a="1"/>
  <c r="AC86" i="57" s="1"/>
  <c r="AC64" i="57" a="1"/>
  <c r="AC64" i="57" s="1"/>
  <c r="AC47" i="57" a="1"/>
  <c r="AC47" i="57" s="1"/>
  <c r="AE98" i="57" a="1"/>
  <c r="AE98" i="57" s="1"/>
  <c r="D101" i="44"/>
  <c r="D102" i="44" s="1"/>
  <c r="I78" i="45"/>
  <c r="F127" i="48"/>
  <c r="G126" i="48"/>
  <c r="K125" i="48"/>
  <c r="C107" i="45"/>
  <c r="H106" i="45"/>
  <c r="E106" i="44"/>
  <c r="D107" i="44"/>
  <c r="J120" i="46"/>
  <c r="K119" i="49"/>
  <c r="K113" i="50"/>
  <c r="K120" i="48"/>
  <c r="H105" i="44"/>
  <c r="E119" i="43"/>
  <c r="D120" i="43"/>
  <c r="F126" i="46"/>
  <c r="E127" i="46"/>
  <c r="H121" i="48"/>
  <c r="G122" i="48"/>
  <c r="F102" i="45"/>
  <c r="E103" i="45"/>
  <c r="C115" i="42"/>
  <c r="D114" i="42"/>
  <c r="E109" i="42"/>
  <c r="E110" i="42" s="1"/>
  <c r="K90" i="50"/>
  <c r="K92" i="50" s="1"/>
  <c r="G115" i="50"/>
  <c r="H114" i="50"/>
  <c r="K90" i="49"/>
  <c r="G121" i="49"/>
  <c r="H120" i="49"/>
  <c r="K90" i="48"/>
  <c r="J90" i="47"/>
  <c r="E115" i="47"/>
  <c r="D116" i="47"/>
  <c r="F122" i="46"/>
  <c r="G121" i="46"/>
  <c r="J90" i="46"/>
  <c r="H70" i="44"/>
  <c r="H83" i="43"/>
  <c r="D114" i="43"/>
  <c r="C115" i="43"/>
  <c r="V60" i="47" a="1"/>
  <c r="V60" i="47" s="1"/>
  <c r="I76" i="44"/>
  <c r="J77" i="57"/>
  <c r="W77" i="46" a="1"/>
  <c r="W77" i="46" s="1"/>
  <c r="H47" i="57"/>
  <c r="T47" i="43" a="1"/>
  <c r="T47" i="43" s="1"/>
  <c r="H66" i="57"/>
  <c r="H86" i="57"/>
  <c r="S176" i="57" s="1"/>
  <c r="T52" i="42" a="1"/>
  <c r="T52" i="42" s="1"/>
  <c r="W74" i="50" a="1"/>
  <c r="W74" i="50" s="1"/>
  <c r="T69" i="44" a="1"/>
  <c r="T69" i="44" s="1"/>
  <c r="J89" i="57"/>
  <c r="V54" i="47" a="1"/>
  <c r="V54" i="47" s="1"/>
  <c r="V87" i="47" a="1"/>
  <c r="V87" i="47" s="1"/>
  <c r="W69" i="50" a="1"/>
  <c r="W69" i="50" s="1"/>
  <c r="W80" i="50" a="1"/>
  <c r="W80" i="50" s="1"/>
  <c r="W87" i="50" a="1"/>
  <c r="W87" i="50" s="1"/>
  <c r="W83" i="50" a="1"/>
  <c r="W83" i="50" s="1"/>
  <c r="W82" i="50" a="1"/>
  <c r="W82" i="50" s="1"/>
  <c r="W76" i="50" a="1"/>
  <c r="W76" i="50" s="1"/>
  <c r="W86" i="50" a="1"/>
  <c r="W86" i="50" s="1"/>
  <c r="W84" i="50" a="1"/>
  <c r="W84" i="50" s="1"/>
  <c r="W79" i="50" a="1"/>
  <c r="W79" i="50" s="1"/>
  <c r="W65" i="50" a="1"/>
  <c r="W65" i="50" s="1"/>
  <c r="W77" i="50" a="1"/>
  <c r="W77" i="50" s="1"/>
  <c r="W89" i="50" a="1"/>
  <c r="W89" i="50" s="1"/>
  <c r="W75" i="50" a="1"/>
  <c r="W75" i="50" s="1"/>
  <c r="W82" i="49" a="1"/>
  <c r="W82" i="49" s="1"/>
  <c r="W84" i="49" a="1"/>
  <c r="W84" i="49" s="1"/>
  <c r="W56" i="49" a="1"/>
  <c r="W56" i="49" s="1"/>
  <c r="W79" i="49" a="1"/>
  <c r="W79" i="49" s="1"/>
  <c r="W60" i="49" a="1"/>
  <c r="W60" i="49" s="1"/>
  <c r="W58" i="49" a="1"/>
  <c r="W58" i="49" s="1"/>
  <c r="W62" i="49" a="1"/>
  <c r="W62" i="49" s="1"/>
  <c r="W78" i="49" a="1"/>
  <c r="W78" i="49" s="1"/>
  <c r="W86" i="49" a="1"/>
  <c r="W86" i="49" s="1"/>
  <c r="W66" i="49" a="1"/>
  <c r="W66" i="49" s="1"/>
  <c r="W83" i="49" a="1"/>
  <c r="W83" i="49" s="1"/>
  <c r="W68" i="49" a="1"/>
  <c r="W68" i="49" s="1"/>
  <c r="W88" i="49" a="1"/>
  <c r="W88" i="49" s="1"/>
  <c r="W85" i="49" a="1"/>
  <c r="W85" i="49" s="1"/>
  <c r="W54" i="49" a="1"/>
  <c r="W54" i="49" s="1"/>
  <c r="W77" i="49" a="1"/>
  <c r="W77" i="49" s="1"/>
  <c r="W49" i="49" a="1"/>
  <c r="W49" i="49" s="1"/>
  <c r="W87" i="49" a="1"/>
  <c r="W87" i="49" s="1"/>
  <c r="W89" i="49" a="1"/>
  <c r="W89" i="49" s="1"/>
  <c r="W80" i="49" a="1"/>
  <c r="W80" i="49" s="1"/>
  <c r="W52" i="49" a="1"/>
  <c r="W52" i="49" s="1"/>
  <c r="W72" i="49" a="1"/>
  <c r="W72" i="49" s="1"/>
  <c r="W64" i="49" a="1"/>
  <c r="W64" i="49" s="1"/>
  <c r="W45" i="49" a="1"/>
  <c r="W45" i="49" s="1"/>
  <c r="W81" i="49" a="1"/>
  <c r="W81" i="49" s="1"/>
  <c r="W75" i="49" a="1"/>
  <c r="W75" i="49" s="1"/>
  <c r="W74" i="49" a="1"/>
  <c r="W74" i="49" s="1"/>
  <c r="W45" i="48" a="1"/>
  <c r="W45" i="48" s="1"/>
  <c r="W74" i="48" a="1"/>
  <c r="W74" i="48" s="1"/>
  <c r="W72" i="48" a="1"/>
  <c r="W72" i="48" s="1"/>
  <c r="W49" i="48" a="1"/>
  <c r="W49" i="48" s="1"/>
  <c r="W60" i="48" a="1"/>
  <c r="W60" i="48" s="1"/>
  <c r="W69" i="48" a="1"/>
  <c r="W69" i="48" s="1"/>
  <c r="W79" i="48" a="1"/>
  <c r="W79" i="48" s="1"/>
  <c r="W89" i="48" a="1"/>
  <c r="W89" i="48" s="1"/>
  <c r="W51" i="48" a="1"/>
  <c r="W51" i="48" s="1"/>
  <c r="W58" i="48" a="1"/>
  <c r="W58" i="48" s="1"/>
  <c r="W48" i="48" a="1"/>
  <c r="W48" i="48" s="1"/>
  <c r="W65" i="48" a="1"/>
  <c r="W65" i="48" s="1"/>
  <c r="W82" i="48" a="1"/>
  <c r="W82" i="48" s="1"/>
  <c r="W84" i="48" a="1"/>
  <c r="W84" i="48" s="1"/>
  <c r="W76" i="48" a="1"/>
  <c r="W76" i="48" s="1"/>
  <c r="W46" i="48" a="1"/>
  <c r="W46" i="48" s="1"/>
  <c r="W64" i="48" a="1"/>
  <c r="W64" i="48" s="1"/>
  <c r="W56" i="48" a="1"/>
  <c r="W56" i="48" s="1"/>
  <c r="W77" i="48" a="1"/>
  <c r="W77" i="48" s="1"/>
  <c r="W63" i="48" a="1"/>
  <c r="W63" i="48" s="1"/>
  <c r="W50" i="48" a="1"/>
  <c r="W50" i="48" s="1"/>
  <c r="W83" i="48" a="1"/>
  <c r="W83" i="48" s="1"/>
  <c r="W54" i="48" a="1"/>
  <c r="W54" i="48" s="1"/>
  <c r="W53" i="48" a="1"/>
  <c r="W53" i="48" s="1"/>
  <c r="W75" i="48" a="1"/>
  <c r="W75" i="48" s="1"/>
  <c r="W62" i="48" a="1"/>
  <c r="W62" i="48" s="1"/>
  <c r="W59" i="48" a="1"/>
  <c r="W59" i="48" s="1"/>
  <c r="W80" i="48" a="1"/>
  <c r="W80" i="48" s="1"/>
  <c r="W86" i="48" a="1"/>
  <c r="W86" i="48" s="1"/>
  <c r="W87" i="48" a="1"/>
  <c r="W87" i="48" s="1"/>
  <c r="V77" i="47" a="1"/>
  <c r="V77" i="47" s="1"/>
  <c r="V49" i="47" a="1"/>
  <c r="V49" i="47" s="1"/>
  <c r="W52" i="47" a="1"/>
  <c r="W52" i="47" s="1"/>
  <c r="V84" i="47" a="1"/>
  <c r="V84" i="47" s="1"/>
  <c r="V80" i="47" a="1"/>
  <c r="V80" i="47" s="1"/>
  <c r="W64" i="47" a="1"/>
  <c r="W64" i="47" s="1"/>
  <c r="V65" i="47" a="1"/>
  <c r="V65" i="47" s="1"/>
  <c r="V86" i="47" a="1"/>
  <c r="V86" i="47" s="1"/>
  <c r="W45" i="47" a="1"/>
  <c r="W45" i="47" s="1"/>
  <c r="V63" i="47" a="1"/>
  <c r="V63" i="47" s="1"/>
  <c r="K96" i="47"/>
  <c r="W74" i="47" a="1"/>
  <c r="W74" i="47" s="1"/>
  <c r="W56" i="47" a="1"/>
  <c r="W56" i="47" s="1"/>
  <c r="W48" i="47" a="1"/>
  <c r="W48" i="47" s="1"/>
  <c r="V72" i="47" a="1"/>
  <c r="V72" i="47" s="1"/>
  <c r="W66" i="47" a="1"/>
  <c r="W66" i="47" s="1"/>
  <c r="V51" i="47" a="1"/>
  <c r="V51" i="47" s="1"/>
  <c r="W59" i="47" a="1"/>
  <c r="W59" i="47" s="1"/>
  <c r="W62" i="47" a="1"/>
  <c r="W62" i="47" s="1"/>
  <c r="W46" i="47" a="1"/>
  <c r="W46" i="47" s="1"/>
  <c r="W50" i="47" a="1"/>
  <c r="W50" i="47" s="1"/>
  <c r="V69" i="47" a="1"/>
  <c r="V69" i="47" s="1"/>
  <c r="V53" i="47" a="1"/>
  <c r="V53" i="47" s="1"/>
  <c r="V68" i="47" a="1"/>
  <c r="V68" i="47" s="1"/>
  <c r="V76" i="47" a="1"/>
  <c r="V76" i="47" s="1"/>
  <c r="W75" i="47" a="1"/>
  <c r="W75" i="47" s="1"/>
  <c r="V82" i="47" a="1"/>
  <c r="V82" i="47" s="1"/>
  <c r="W83" i="47" a="1"/>
  <c r="W83" i="47" s="1"/>
  <c r="W87" i="46" a="1"/>
  <c r="W87" i="46" s="1"/>
  <c r="W79" i="46" a="1"/>
  <c r="W79" i="46" s="1"/>
  <c r="V72" i="46" a="1"/>
  <c r="V72" i="46" s="1"/>
  <c r="V80" i="46" a="1"/>
  <c r="V80" i="46" s="1"/>
  <c r="W75" i="46" a="1"/>
  <c r="W75" i="46" s="1"/>
  <c r="V84" i="46" a="1"/>
  <c r="V84" i="46" s="1"/>
  <c r="V46" i="46" a="1"/>
  <c r="V46" i="46" s="1"/>
  <c r="V50" i="46" a="1"/>
  <c r="V50" i="46" s="1"/>
  <c r="V65" i="46" a="1"/>
  <c r="V65" i="46" s="1"/>
  <c r="V69" i="46" a="1"/>
  <c r="V69" i="46" s="1"/>
  <c r="V59" i="46" a="1"/>
  <c r="V59" i="46" s="1"/>
  <c r="V70" i="46" a="1"/>
  <c r="V70" i="46" s="1"/>
  <c r="V64" i="46" a="1"/>
  <c r="V64" i="46" s="1"/>
  <c r="V66" i="46" a="1"/>
  <c r="V66" i="46" s="1"/>
  <c r="V60" i="46" a="1"/>
  <c r="V60" i="46" s="1"/>
  <c r="V52" i="46" a="1"/>
  <c r="V52" i="46" s="1"/>
  <c r="V68" i="46" a="1"/>
  <c r="V68" i="46" s="1"/>
  <c r="W45" i="46" a="1"/>
  <c r="W45" i="46" s="1"/>
  <c r="V54" i="46" a="1"/>
  <c r="V54" i="46" s="1"/>
  <c r="V63" i="46" a="1"/>
  <c r="V63" i="46" s="1"/>
  <c r="V62" i="46" a="1"/>
  <c r="V62" i="46" s="1"/>
  <c r="W56" i="46" a="1"/>
  <c r="W56" i="46" s="1"/>
  <c r="W51" i="46" a="1"/>
  <c r="W51" i="46" s="1"/>
  <c r="V58" i="46" a="1"/>
  <c r="V58" i="46" s="1"/>
  <c r="U49" i="45" a="1"/>
  <c r="U49" i="45" s="1"/>
  <c r="T64" i="45" a="1"/>
  <c r="T64" i="45" s="1"/>
  <c r="T67" i="45" a="1"/>
  <c r="T67" i="45" s="1"/>
  <c r="U55" i="45" a="1"/>
  <c r="U55" i="45" s="1"/>
  <c r="T61" i="45" a="1"/>
  <c r="T61" i="45" s="1"/>
  <c r="T57" i="45" a="1"/>
  <c r="T57" i="45" s="1"/>
  <c r="T68" i="45" a="1"/>
  <c r="T68" i="45" s="1"/>
  <c r="U46" i="45" a="1"/>
  <c r="U46" i="45" s="1"/>
  <c r="T70" i="45" a="1"/>
  <c r="T70" i="45" s="1"/>
  <c r="T60" i="45" a="1"/>
  <c r="T60" i="45" s="1"/>
  <c r="T63" i="45" a="1"/>
  <c r="T63" i="45" s="1"/>
  <c r="T65" i="45" a="1"/>
  <c r="T65" i="45" s="1"/>
  <c r="J79" i="45"/>
  <c r="U53" i="45" a="1"/>
  <c r="U53" i="45" s="1"/>
  <c r="U48" i="45" a="1"/>
  <c r="U48" i="45" s="1"/>
  <c r="H71" i="45"/>
  <c r="I85" i="44"/>
  <c r="I74" i="44"/>
  <c r="U66" i="44" a="1"/>
  <c r="U66" i="44" s="1"/>
  <c r="I78" i="44"/>
  <c r="U55" i="44" a="1"/>
  <c r="U55" i="44" s="1"/>
  <c r="U59" i="44" a="1"/>
  <c r="U59" i="44" s="1"/>
  <c r="T56" i="44" a="1"/>
  <c r="T56" i="44" s="1"/>
  <c r="I73" i="44"/>
  <c r="T60" i="44" a="1"/>
  <c r="T60" i="44" s="1"/>
  <c r="U54" i="44" a="1"/>
  <c r="U54" i="44" s="1"/>
  <c r="T64" i="44" a="1"/>
  <c r="T64" i="44" s="1"/>
  <c r="U67" i="44" a="1"/>
  <c r="U67" i="44" s="1"/>
  <c r="T69" i="43" a="1"/>
  <c r="T69" i="43" s="1"/>
  <c r="T45" i="43" a="1"/>
  <c r="T45" i="43" s="1"/>
  <c r="U63" i="43" a="1"/>
  <c r="U63" i="43" s="1"/>
  <c r="T75" i="43" a="1"/>
  <c r="T75" i="43" s="1"/>
  <c r="U58" i="43" a="1"/>
  <c r="U58" i="43" s="1"/>
  <c r="T80" i="43" a="1"/>
  <c r="T80" i="43" s="1"/>
  <c r="T70" i="43" a="1"/>
  <c r="T70" i="43" s="1"/>
  <c r="T54" i="43" a="1"/>
  <c r="T54" i="43" s="1"/>
  <c r="T72" i="43" a="1"/>
  <c r="T72" i="43" s="1"/>
  <c r="T50" i="43" a="1"/>
  <c r="T50" i="43" s="1"/>
  <c r="U62" i="43" a="1"/>
  <c r="U62" i="43" s="1"/>
  <c r="T52" i="43" a="1"/>
  <c r="T52" i="43" s="1"/>
  <c r="T73" i="43" a="1"/>
  <c r="T73" i="43" s="1"/>
  <c r="U65" i="43" a="1"/>
  <c r="U65" i="43" s="1"/>
  <c r="U49" i="43" a="1"/>
  <c r="U49" i="43" s="1"/>
  <c r="U60" i="43" a="1"/>
  <c r="U60" i="43" s="1"/>
  <c r="T68" i="43" a="1"/>
  <c r="T68" i="43" s="1"/>
  <c r="U55" i="43" a="1"/>
  <c r="U55" i="43" s="1"/>
  <c r="U67" i="43" a="1"/>
  <c r="U67" i="43" s="1"/>
  <c r="T79" i="43" a="1"/>
  <c r="T79" i="43" s="1"/>
  <c r="U59" i="43" a="1"/>
  <c r="U59" i="43" s="1"/>
  <c r="U51" i="43" a="1"/>
  <c r="U51" i="43" s="1"/>
  <c r="T77" i="43" a="1"/>
  <c r="T77" i="43" s="1"/>
  <c r="U66" i="42" a="1"/>
  <c r="U66" i="42" s="1"/>
  <c r="I92" i="42"/>
  <c r="T59" i="42" a="1"/>
  <c r="T59" i="42" s="1"/>
  <c r="I81" i="42"/>
  <c r="U54" i="42" a="1"/>
  <c r="U54" i="42" s="1"/>
  <c r="T73" i="42" a="1"/>
  <c r="T73" i="42" s="1"/>
  <c r="T48" i="42" a="1"/>
  <c r="T48" i="42" s="1"/>
  <c r="U71" i="42" a="1"/>
  <c r="U71" i="42" s="1"/>
  <c r="U56" i="42" a="1"/>
  <c r="U56" i="42" s="1"/>
  <c r="T74" i="42" a="1"/>
  <c r="T74" i="42" s="1"/>
  <c r="T61" i="42" a="1"/>
  <c r="T61" i="42" s="1"/>
  <c r="T53" i="42" a="1"/>
  <c r="T53" i="42" s="1"/>
  <c r="T63" i="42" a="1"/>
  <c r="T63" i="42" s="1"/>
  <c r="T67" i="42" a="1"/>
  <c r="T67" i="42" s="1"/>
  <c r="T57" i="42" a="1"/>
  <c r="T57" i="42" s="1"/>
  <c r="T64" i="42" a="1"/>
  <c r="T64" i="42" s="1"/>
  <c r="U49" i="42" a="1"/>
  <c r="U49" i="42" s="1"/>
  <c r="U69" i="42" a="1"/>
  <c r="U69" i="42" s="1"/>
  <c r="H77" i="42"/>
  <c r="T62" i="42" a="1"/>
  <c r="T62" i="42" s="1"/>
  <c r="T76" i="42" a="1"/>
  <c r="T76" i="42" s="1"/>
  <c r="R109" i="43" l="1"/>
  <c r="T76" i="43" a="1"/>
  <c r="T76" i="43" s="1"/>
  <c r="U250" i="28"/>
  <c r="U179" i="57"/>
  <c r="R359" i="28"/>
  <c r="T62" i="44" a="1"/>
  <c r="T62" i="44" s="1"/>
  <c r="U248" i="28"/>
  <c r="Q484" i="28"/>
  <c r="Q453" i="28"/>
  <c r="S449" i="28"/>
  <c r="R465" i="28"/>
  <c r="R496" i="28"/>
  <c r="R452" i="28"/>
  <c r="R483" i="28"/>
  <c r="R451" i="28"/>
  <c r="R482" i="28"/>
  <c r="R448" i="28"/>
  <c r="R479" i="28"/>
  <c r="R450" i="28"/>
  <c r="R481" i="28"/>
  <c r="P500" i="28"/>
  <c r="R499" i="28"/>
  <c r="R467" i="28"/>
  <c r="R498" i="28"/>
  <c r="R449" i="28"/>
  <c r="R480" i="28"/>
  <c r="S480" i="28"/>
  <c r="Q464" i="28"/>
  <c r="Q469" i="28" s="1"/>
  <c r="Q495" i="28"/>
  <c r="Q497" i="28"/>
  <c r="N404" i="28"/>
  <c r="S81" i="45"/>
  <c r="W70" i="47" a="1"/>
  <c r="W70" i="47" s="1"/>
  <c r="T114" i="46"/>
  <c r="T116" i="46" s="1"/>
  <c r="P418" i="28"/>
  <c r="U114" i="48"/>
  <c r="U116" i="48" s="1"/>
  <c r="U114" i="49"/>
  <c r="U116" i="49" s="1"/>
  <c r="I81" i="45"/>
  <c r="R468" i="28"/>
  <c r="U74" i="59"/>
  <c r="U62" i="59"/>
  <c r="S64" i="59"/>
  <c r="S119" i="59" s="1"/>
  <c r="H119" i="59"/>
  <c r="J76" i="45"/>
  <c r="L95" i="50"/>
  <c r="S100" i="43"/>
  <c r="R103" i="42"/>
  <c r="R95" i="44"/>
  <c r="R97" i="45"/>
  <c r="L96" i="48"/>
  <c r="I83" i="42"/>
  <c r="I108" i="42"/>
  <c r="V108" i="48"/>
  <c r="V115" i="48" s="1"/>
  <c r="W83" i="46" a="1"/>
  <c r="W83" i="46" s="1"/>
  <c r="V104" i="46"/>
  <c r="K95" i="46"/>
  <c r="I88" i="43"/>
  <c r="I86" i="44"/>
  <c r="I92" i="43"/>
  <c r="L98" i="50"/>
  <c r="V99" i="49"/>
  <c r="L96" i="49"/>
  <c r="Q32" i="75"/>
  <c r="W88" i="50" a="1"/>
  <c r="W88" i="50" s="1"/>
  <c r="W107" i="50" s="1"/>
  <c r="L107" i="50"/>
  <c r="W78" i="50" a="1"/>
  <c r="W78" i="50" s="1"/>
  <c r="W104" i="50" s="1"/>
  <c r="L104" i="50"/>
  <c r="W41" i="50" a="1"/>
  <c r="W41" i="50" s="1"/>
  <c r="L100" i="50"/>
  <c r="V85" i="46" a="1"/>
  <c r="V85" i="46" s="1"/>
  <c r="V106" i="46" s="1"/>
  <c r="K106" i="46"/>
  <c r="I91" i="42"/>
  <c r="W81" i="46" a="1"/>
  <c r="W81" i="46" s="1"/>
  <c r="K108" i="47"/>
  <c r="V85" i="47" a="1"/>
  <c r="V85" i="47" s="1"/>
  <c r="V106" i="47" s="1"/>
  <c r="K106" i="47"/>
  <c r="L103" i="48"/>
  <c r="L99" i="48"/>
  <c r="L99" i="50"/>
  <c r="I85" i="42"/>
  <c r="W81" i="47" a="1"/>
  <c r="W81" i="47" s="1"/>
  <c r="L108" i="48"/>
  <c r="K103" i="47"/>
  <c r="W81" i="48" a="1"/>
  <c r="W81" i="48" s="1"/>
  <c r="W105" i="48" s="1"/>
  <c r="L105" i="48"/>
  <c r="W41" i="49" a="1"/>
  <c r="W41" i="49" s="1"/>
  <c r="L100" i="49"/>
  <c r="L108" i="49"/>
  <c r="K99" i="46"/>
  <c r="V105" i="47"/>
  <c r="K98" i="47"/>
  <c r="W78" i="48" a="1"/>
  <c r="W78" i="48" s="1"/>
  <c r="W104" i="48" s="1"/>
  <c r="L104" i="48"/>
  <c r="AD68" i="57" a="1"/>
  <c r="AD68" i="57" s="1"/>
  <c r="AE65" i="57" a="1"/>
  <c r="AE65" i="57" s="1"/>
  <c r="AD65" i="57" a="1"/>
  <c r="AD65" i="57" s="1"/>
  <c r="K104" i="46"/>
  <c r="K105" i="47"/>
  <c r="K98" i="46"/>
  <c r="W41" i="47" a="1"/>
  <c r="W41" i="47" s="1"/>
  <c r="W85" i="48" a="1"/>
  <c r="W85" i="48" s="1"/>
  <c r="W106" i="48" s="1"/>
  <c r="L106" i="48"/>
  <c r="L98" i="48"/>
  <c r="L95" i="48"/>
  <c r="W85" i="50" a="1"/>
  <c r="W85" i="50" s="1"/>
  <c r="W106" i="50" s="1"/>
  <c r="L106" i="50"/>
  <c r="W71" i="50" a="1"/>
  <c r="W71" i="50" s="1"/>
  <c r="L108" i="50"/>
  <c r="W41" i="48" a="1"/>
  <c r="W41" i="48" s="1"/>
  <c r="L100" i="48"/>
  <c r="L94" i="50"/>
  <c r="K95" i="47"/>
  <c r="I94" i="42"/>
  <c r="W41" i="46" a="1"/>
  <c r="W41" i="46" s="1"/>
  <c r="K97" i="46"/>
  <c r="K99" i="47"/>
  <c r="K97" i="47"/>
  <c r="W88" i="48" a="1"/>
  <c r="W88" i="48" s="1"/>
  <c r="W107" i="48" s="1"/>
  <c r="L107" i="48"/>
  <c r="L94" i="48"/>
  <c r="I93" i="43"/>
  <c r="V95" i="50"/>
  <c r="I90" i="42"/>
  <c r="L96" i="46"/>
  <c r="V88" i="46" a="1"/>
  <c r="V88" i="46" s="1"/>
  <c r="V107" i="46" s="1"/>
  <c r="K107" i="46"/>
  <c r="L95" i="49"/>
  <c r="W70" i="49" a="1"/>
  <c r="W70" i="49" s="1"/>
  <c r="W107" i="49" s="1"/>
  <c r="L107" i="49"/>
  <c r="L103" i="50"/>
  <c r="W81" i="50" a="1"/>
  <c r="W81" i="50" s="1"/>
  <c r="W105" i="50" s="1"/>
  <c r="L105" i="50"/>
  <c r="I82" i="42"/>
  <c r="K100" i="47"/>
  <c r="K108" i="46"/>
  <c r="I84" i="42"/>
  <c r="L98" i="49"/>
  <c r="S84" i="42"/>
  <c r="I93" i="42"/>
  <c r="S84" i="45"/>
  <c r="L97" i="49"/>
  <c r="K94" i="46"/>
  <c r="S478" i="28" s="1"/>
  <c r="L99" i="49"/>
  <c r="V88" i="47" a="1"/>
  <c r="V88" i="47" s="1"/>
  <c r="V107" i="47" s="1"/>
  <c r="K107" i="47"/>
  <c r="I113" i="42"/>
  <c r="J92" i="43"/>
  <c r="I86" i="42"/>
  <c r="W78" i="46" a="1"/>
  <c r="W78" i="46" s="1"/>
  <c r="V78" i="47" a="1"/>
  <c r="V78" i="47" s="1"/>
  <c r="K104" i="47"/>
  <c r="L97" i="48"/>
  <c r="V108" i="50"/>
  <c r="L94" i="49"/>
  <c r="K100" i="46"/>
  <c r="K105" i="46"/>
  <c r="L103" i="49"/>
  <c r="S91" i="42"/>
  <c r="U108" i="46"/>
  <c r="U115" i="46" s="1"/>
  <c r="U95" i="46"/>
  <c r="V105" i="46"/>
  <c r="S83" i="42"/>
  <c r="S85" i="42"/>
  <c r="V94" i="46"/>
  <c r="V95" i="47"/>
  <c r="W94" i="49"/>
  <c r="W97" i="49"/>
  <c r="V99" i="50"/>
  <c r="S89" i="45"/>
  <c r="S96" i="45" s="1"/>
  <c r="U100" i="46"/>
  <c r="V100" i="49"/>
  <c r="V90" i="50"/>
  <c r="U108" i="47"/>
  <c r="V98" i="48"/>
  <c r="W108" i="49"/>
  <c r="W115" i="49" s="1"/>
  <c r="V100" i="50"/>
  <c r="V100" i="48"/>
  <c r="S82" i="42"/>
  <c r="U94" i="47"/>
  <c r="R494" i="28" s="1"/>
  <c r="U100" i="47"/>
  <c r="T93" i="42"/>
  <c r="U103" i="46"/>
  <c r="U97" i="47"/>
  <c r="R466" i="28" s="1"/>
  <c r="W96" i="49"/>
  <c r="W103" i="49"/>
  <c r="V90" i="49"/>
  <c r="I84" i="44"/>
  <c r="I88" i="45"/>
  <c r="U41" i="43" a="1"/>
  <c r="U41" i="43" s="1"/>
  <c r="I85" i="45"/>
  <c r="I86" i="45"/>
  <c r="I87" i="45"/>
  <c r="S93" i="43"/>
  <c r="S107" i="43" s="1"/>
  <c r="U54" i="45" a="1"/>
  <c r="U54" i="45" s="1"/>
  <c r="I98" i="43"/>
  <c r="T78" i="43" a="1"/>
  <c r="T78" i="43" s="1"/>
  <c r="T99" i="43" s="1"/>
  <c r="I99" i="43"/>
  <c r="T54" i="45" a="1"/>
  <c r="T54" i="45" s="1"/>
  <c r="I84" i="45"/>
  <c r="T90" i="43"/>
  <c r="S76" i="45"/>
  <c r="I91" i="43"/>
  <c r="S91" i="43"/>
  <c r="I90" i="43"/>
  <c r="I76" i="45"/>
  <c r="S88" i="43"/>
  <c r="S95" i="45"/>
  <c r="I89" i="45"/>
  <c r="I97" i="43"/>
  <c r="T82" i="43" a="1"/>
  <c r="T82" i="43" s="1"/>
  <c r="I96" i="43"/>
  <c r="J91" i="43"/>
  <c r="S101" i="43"/>
  <c r="S108" i="43" s="1"/>
  <c r="T96" i="43"/>
  <c r="I87" i="43"/>
  <c r="I101" i="43"/>
  <c r="AF98" i="57" a="1"/>
  <c r="AF98" i="57" s="1"/>
  <c r="U188" i="57"/>
  <c r="AF83" i="57" a="1"/>
  <c r="AF83" i="57" s="1"/>
  <c r="U173" i="57"/>
  <c r="U90" i="46"/>
  <c r="S87" i="44"/>
  <c r="S94" i="44" s="1"/>
  <c r="U53" i="44" a="1"/>
  <c r="U53" i="44" s="1"/>
  <c r="I87" i="44"/>
  <c r="I83" i="44"/>
  <c r="S84" i="44"/>
  <c r="S79" i="44"/>
  <c r="S93" i="44" s="1"/>
  <c r="I79" i="44"/>
  <c r="I82" i="44"/>
  <c r="S83" i="44"/>
  <c r="T82" i="44"/>
  <c r="S85" i="44"/>
  <c r="S82" i="44"/>
  <c r="W67" i="50" a="1"/>
  <c r="W67" i="50" s="1"/>
  <c r="W73" i="50" a="1"/>
  <c r="W73" i="50" s="1"/>
  <c r="W103" i="50" s="1"/>
  <c r="W72" i="50" a="1"/>
  <c r="W72" i="50" s="1"/>
  <c r="W47" i="49" a="1"/>
  <c r="W47" i="49" s="1"/>
  <c r="W95" i="49" s="1"/>
  <c r="W61" i="49" a="1"/>
  <c r="W61" i="49" s="1"/>
  <c r="W98" i="49" s="1"/>
  <c r="W44" i="48" a="1"/>
  <c r="W44" i="48" s="1"/>
  <c r="W94" i="48" s="1"/>
  <c r="W55" i="48" a="1"/>
  <c r="W55" i="48" s="1"/>
  <c r="W96" i="48" s="1"/>
  <c r="V90" i="48"/>
  <c r="W67" i="48" a="1"/>
  <c r="W67" i="48" s="1"/>
  <c r="W99" i="48" s="1"/>
  <c r="W47" i="48" a="1"/>
  <c r="W47" i="48" s="1"/>
  <c r="W95" i="48" s="1"/>
  <c r="W73" i="48" a="1"/>
  <c r="W73" i="48" s="1"/>
  <c r="W103" i="48" s="1"/>
  <c r="W61" i="48" a="1"/>
  <c r="W61" i="48" s="1"/>
  <c r="W71" i="48" a="1"/>
  <c r="W71" i="48" s="1"/>
  <c r="W57" i="48" a="1"/>
  <c r="W57" i="48" s="1"/>
  <c r="W97" i="48" s="1"/>
  <c r="U90" i="47"/>
  <c r="V61" i="47" a="1"/>
  <c r="V61" i="47" s="1"/>
  <c r="V98" i="47" s="1"/>
  <c r="V67" i="47" a="1"/>
  <c r="V67" i="47" s="1"/>
  <c r="V99" i="47" s="1"/>
  <c r="V73" i="47" a="1"/>
  <c r="V73" i="47" s="1"/>
  <c r="V103" i="47" s="1"/>
  <c r="V57" i="47" a="1"/>
  <c r="V57" i="47" s="1"/>
  <c r="V71" i="47" a="1"/>
  <c r="V71" i="47" s="1"/>
  <c r="W47" i="47" a="1"/>
  <c r="W47" i="47" s="1"/>
  <c r="V67" i="46" a="1"/>
  <c r="V67" i="46" s="1"/>
  <c r="V99" i="46" s="1"/>
  <c r="V61" i="46" a="1"/>
  <c r="V61" i="46" s="1"/>
  <c r="V98" i="46" s="1"/>
  <c r="W47" i="46" a="1"/>
  <c r="W47" i="46" s="1"/>
  <c r="V57" i="46" a="1"/>
  <c r="V57" i="46" s="1"/>
  <c r="V97" i="46" s="1"/>
  <c r="W44" i="46" a="1"/>
  <c r="W44" i="46" s="1"/>
  <c r="W55" i="46" a="1"/>
  <c r="W55" i="46" s="1"/>
  <c r="W96" i="46" s="1"/>
  <c r="W71" i="46" a="1"/>
  <c r="W71" i="46" s="1"/>
  <c r="V73" i="46" a="1"/>
  <c r="V73" i="46" s="1"/>
  <c r="T44" i="45" a="1"/>
  <c r="T44" i="45" s="1"/>
  <c r="T75" i="45" s="1"/>
  <c r="S71" i="45"/>
  <c r="T41" i="45" a="1"/>
  <c r="T41" i="45" s="1"/>
  <c r="T59" i="45" a="1"/>
  <c r="T59" i="45" s="1"/>
  <c r="T85" i="45" s="1"/>
  <c r="U45" i="45" a="1"/>
  <c r="U45" i="45" s="1"/>
  <c r="U76" i="45" s="1"/>
  <c r="T62" i="45" a="1"/>
  <c r="T62" i="45" s="1"/>
  <c r="T86" i="45" s="1"/>
  <c r="T45" i="45" a="1"/>
  <c r="T45" i="45" s="1"/>
  <c r="T76" i="45" s="1"/>
  <c r="U52" i="45" a="1"/>
  <c r="U52" i="45" s="1"/>
  <c r="T58" i="45" a="1"/>
  <c r="T58" i="45" s="1"/>
  <c r="U50" i="45" a="1"/>
  <c r="U50" i="45" s="1"/>
  <c r="U79" i="45" s="1"/>
  <c r="T66" i="45" a="1"/>
  <c r="T66" i="45" s="1"/>
  <c r="T87" i="45" s="1"/>
  <c r="T69" i="45" a="1"/>
  <c r="T69" i="45" s="1"/>
  <c r="T88" i="45" s="1"/>
  <c r="T68" i="44" a="1"/>
  <c r="T68" i="44" s="1"/>
  <c r="T86" i="44" s="1"/>
  <c r="T50" i="44" a="1"/>
  <c r="T50" i="44" s="1"/>
  <c r="T78" i="44" s="1"/>
  <c r="T65" i="44" a="1"/>
  <c r="T65" i="44" s="1"/>
  <c r="T85" i="44" s="1"/>
  <c r="U58" i="44" a="1"/>
  <c r="U58" i="44" s="1"/>
  <c r="U41" i="44" a="1"/>
  <c r="U41" i="44" s="1"/>
  <c r="T45" i="44" a="1"/>
  <c r="T45" i="44" s="1"/>
  <c r="T74" i="44" s="1"/>
  <c r="T58" i="44" a="1"/>
  <c r="T58" i="44" s="1"/>
  <c r="T83" i="44" s="1"/>
  <c r="S70" i="44"/>
  <c r="T47" i="44" a="1"/>
  <c r="T47" i="44" s="1"/>
  <c r="T76" i="44" s="1"/>
  <c r="T61" i="44" a="1"/>
  <c r="T61" i="44" s="1"/>
  <c r="T84" i="44" s="1"/>
  <c r="U49" i="44" a="1"/>
  <c r="U49" i="44" s="1"/>
  <c r="U53" i="43" a="1"/>
  <c r="U53" i="43" s="1"/>
  <c r="U64" i="43" a="1"/>
  <c r="U64" i="43" s="1"/>
  <c r="T56" i="43" a="1"/>
  <c r="T56" i="43" s="1"/>
  <c r="T61" i="43" a="1"/>
  <c r="T61" i="43" s="1"/>
  <c r="T92" i="43" s="1"/>
  <c r="T46" i="43" a="1"/>
  <c r="T46" i="43" s="1"/>
  <c r="U56" i="43" a="1"/>
  <c r="U56" i="43" s="1"/>
  <c r="T44" i="43" a="1"/>
  <c r="T44" i="43" s="1"/>
  <c r="T87" i="43" s="1"/>
  <c r="T57" i="43" a="1"/>
  <c r="T57" i="43" s="1"/>
  <c r="U66" i="43" a="1"/>
  <c r="U66" i="43" s="1"/>
  <c r="T74" i="43" a="1"/>
  <c r="T74" i="43" s="1"/>
  <c r="T98" i="43" s="1"/>
  <c r="U57" i="43" a="1"/>
  <c r="U57" i="43" s="1"/>
  <c r="T48" i="43" a="1"/>
  <c r="T48" i="43" s="1"/>
  <c r="U44" i="43" a="1"/>
  <c r="U44" i="43" s="1"/>
  <c r="U61" i="43" a="1"/>
  <c r="U61" i="43" s="1"/>
  <c r="U92" i="43" s="1"/>
  <c r="S83" i="43"/>
  <c r="T68" i="42" a="1"/>
  <c r="T68" i="42" s="1"/>
  <c r="S95" i="42"/>
  <c r="S102" i="42" s="1"/>
  <c r="T44" i="42" a="1"/>
  <c r="T44" i="42" s="1"/>
  <c r="T81" i="42" s="1"/>
  <c r="T45" i="42" a="1"/>
  <c r="T45" i="42" s="1"/>
  <c r="T60" i="42" a="1"/>
  <c r="T60" i="42" s="1"/>
  <c r="T90" i="42" s="1"/>
  <c r="T46" i="42" a="1"/>
  <c r="T46" i="42" s="1"/>
  <c r="I87" i="42"/>
  <c r="T55" i="42" a="1"/>
  <c r="T55" i="42" s="1"/>
  <c r="T86" i="42" s="1"/>
  <c r="V72" i="42" a="1"/>
  <c r="V72" i="42" s="1"/>
  <c r="T51" i="42" a="1"/>
  <c r="T51" i="42" s="1"/>
  <c r="T85" i="42" s="1"/>
  <c r="U47" i="42" a="1"/>
  <c r="U47" i="42" s="1"/>
  <c r="U45" i="42" a="1"/>
  <c r="U45" i="42" s="1"/>
  <c r="T75" i="42" a="1"/>
  <c r="T75" i="42" s="1"/>
  <c r="T94" i="42" s="1"/>
  <c r="T65" i="42" a="1"/>
  <c r="T65" i="42" s="1"/>
  <c r="T91" i="42" s="1"/>
  <c r="T58" i="42" a="1"/>
  <c r="T58" i="42" s="1"/>
  <c r="I95" i="42"/>
  <c r="R96" i="42"/>
  <c r="S87" i="42"/>
  <c r="S101" i="42" s="1"/>
  <c r="S77" i="42"/>
  <c r="T47" i="42" a="1"/>
  <c r="T47" i="42" s="1"/>
  <c r="H96" i="42"/>
  <c r="U70" i="42" a="1"/>
  <c r="U70" i="42" s="1"/>
  <c r="T70" i="42" a="1"/>
  <c r="T70" i="42" s="1"/>
  <c r="W64" i="50" a="1"/>
  <c r="W64" i="50" s="1"/>
  <c r="W98" i="50" s="1"/>
  <c r="U63" i="44" a="1"/>
  <c r="U63" i="44" s="1"/>
  <c r="J75" i="45"/>
  <c r="T41" i="42" a="1"/>
  <c r="T41" i="42" s="1"/>
  <c r="W56" i="50" a="1"/>
  <c r="W56" i="50" s="1"/>
  <c r="W96" i="50" s="1"/>
  <c r="V76" i="46" a="1"/>
  <c r="V76" i="46" s="1"/>
  <c r="T81" i="43" a="1"/>
  <c r="T81" i="43" s="1"/>
  <c r="T71" i="43" a="1"/>
  <c r="T71" i="43" s="1"/>
  <c r="T97" i="43" s="1"/>
  <c r="W46" i="50" a="1"/>
  <c r="W46" i="50" s="1"/>
  <c r="W48" i="50" a="1"/>
  <c r="W48" i="50" s="1"/>
  <c r="W52" i="50" a="1"/>
  <c r="W52" i="50" s="1"/>
  <c r="W60" i="50" a="1"/>
  <c r="W60" i="50" s="1"/>
  <c r="W97" i="50" s="1"/>
  <c r="W70" i="50" a="1"/>
  <c r="W70" i="50" s="1"/>
  <c r="W66" i="48" a="1"/>
  <c r="W66" i="48" s="1"/>
  <c r="V58" i="47" a="1"/>
  <c r="V58" i="47" s="1"/>
  <c r="V44" i="47" a="1"/>
  <c r="V44" i="47" s="1"/>
  <c r="L94" i="47"/>
  <c r="K77" i="57"/>
  <c r="AG77" i="57" s="1" a="1"/>
  <c r="AG77" i="57" s="1"/>
  <c r="V55" i="47" a="1"/>
  <c r="V55" i="47" s="1"/>
  <c r="V96" i="47" s="1"/>
  <c r="S465" i="28" s="1"/>
  <c r="V79" i="47" a="1"/>
  <c r="V79" i="47" s="1"/>
  <c r="W48" i="46" a="1"/>
  <c r="W48" i="46" s="1"/>
  <c r="V48" i="46" a="1"/>
  <c r="V48" i="46" s="1"/>
  <c r="V49" i="46" a="1"/>
  <c r="V49" i="46" s="1"/>
  <c r="J78" i="45"/>
  <c r="T47" i="45" a="1"/>
  <c r="T47" i="45" s="1"/>
  <c r="T78" i="45" s="1"/>
  <c r="U56" i="45" a="1"/>
  <c r="U56" i="45" s="1"/>
  <c r="T56" i="45" a="1"/>
  <c r="T56" i="45" s="1"/>
  <c r="T51" i="44" a="1"/>
  <c r="T51" i="44" s="1"/>
  <c r="U52" i="44" a="1"/>
  <c r="U52" i="44" s="1"/>
  <c r="T52" i="44" a="1"/>
  <c r="T52" i="44" s="1"/>
  <c r="V57" i="44" a="1"/>
  <c r="V57" i="44" s="1"/>
  <c r="U57" i="44" a="1"/>
  <c r="U57" i="44" s="1"/>
  <c r="I47" i="57"/>
  <c r="AE47" i="57" s="1" a="1"/>
  <c r="AE47" i="57" s="1"/>
  <c r="T44" i="44" a="1"/>
  <c r="T44" i="44" s="1"/>
  <c r="T73" i="44" s="1"/>
  <c r="AD79" i="57" a="1"/>
  <c r="AD79" i="57" s="1"/>
  <c r="AD132" i="57" s="1"/>
  <c r="S132" i="57" s="1"/>
  <c r="I106" i="45"/>
  <c r="I101" i="45"/>
  <c r="W86" i="46" a="1"/>
  <c r="W86" i="46" s="1"/>
  <c r="L113" i="50"/>
  <c r="K125" i="46"/>
  <c r="L103" i="46"/>
  <c r="E101" i="44"/>
  <c r="E102" i="44" s="1"/>
  <c r="I32" i="59"/>
  <c r="T32" i="59" s="1"/>
  <c r="K114" i="47"/>
  <c r="J66" i="57"/>
  <c r="AF66" i="57" s="1" a="1"/>
  <c r="AF66" i="57" s="1"/>
  <c r="J51" i="59"/>
  <c r="U51" i="59" s="1"/>
  <c r="I71" i="59"/>
  <c r="T71" i="59" s="1"/>
  <c r="I79" i="57"/>
  <c r="I132" i="57" s="1"/>
  <c r="I64" i="59"/>
  <c r="K120" i="46"/>
  <c r="K68" i="59"/>
  <c r="V68" i="59" s="1"/>
  <c r="K98" i="57"/>
  <c r="K83" i="59"/>
  <c r="V83" i="59" s="1"/>
  <c r="I118" i="43"/>
  <c r="I53" i="59"/>
  <c r="T53" i="59" s="1"/>
  <c r="I66" i="57"/>
  <c r="AE66" i="57" s="1" a="1"/>
  <c r="AE66" i="57" s="1"/>
  <c r="I51" i="59"/>
  <c r="T51" i="59" s="1"/>
  <c r="I64" i="57"/>
  <c r="AE64" i="57" s="1" a="1"/>
  <c r="AE64" i="57" s="1"/>
  <c r="I49" i="59"/>
  <c r="T49" i="59" s="1"/>
  <c r="K62" i="59"/>
  <c r="K74" i="59"/>
  <c r="J65" i="57"/>
  <c r="J50" i="59"/>
  <c r="U50" i="59" s="1"/>
  <c r="AF89" i="57" a="1"/>
  <c r="AF89" i="57" s="1"/>
  <c r="AD66" i="57" a="1"/>
  <c r="AD66" i="57" s="1"/>
  <c r="AF77" i="57" a="1"/>
  <c r="AF77" i="57" s="1"/>
  <c r="AD86" i="57" a="1"/>
  <c r="AD86" i="57" s="1"/>
  <c r="AD47" i="57" a="1"/>
  <c r="AD47" i="57" s="1"/>
  <c r="L120" i="48"/>
  <c r="G127" i="48"/>
  <c r="H126" i="48"/>
  <c r="H122" i="48"/>
  <c r="I121" i="48"/>
  <c r="F106" i="44"/>
  <c r="E107" i="44"/>
  <c r="L125" i="48"/>
  <c r="L119" i="49"/>
  <c r="I83" i="43"/>
  <c r="F127" i="46"/>
  <c r="G126" i="46"/>
  <c r="I105" i="44"/>
  <c r="I113" i="43"/>
  <c r="E120" i="43"/>
  <c r="F119" i="43"/>
  <c r="C108" i="45"/>
  <c r="D107" i="45"/>
  <c r="I100" i="44"/>
  <c r="G102" i="45"/>
  <c r="F103" i="45"/>
  <c r="D115" i="42"/>
  <c r="E114" i="42"/>
  <c r="F109" i="42"/>
  <c r="G109" i="42" s="1"/>
  <c r="L90" i="50"/>
  <c r="L92" i="50" s="1"/>
  <c r="I114" i="50"/>
  <c r="H115" i="50"/>
  <c r="L90" i="49"/>
  <c r="I120" i="49"/>
  <c r="H121" i="49"/>
  <c r="L90" i="48"/>
  <c r="F115" i="47"/>
  <c r="E116" i="47"/>
  <c r="K90" i="47"/>
  <c r="G122" i="46"/>
  <c r="H121" i="46"/>
  <c r="K90" i="46"/>
  <c r="I70" i="44"/>
  <c r="E114" i="43"/>
  <c r="D115" i="43"/>
  <c r="I86" i="57"/>
  <c r="T176" i="57" s="1"/>
  <c r="U52" i="42" a="1"/>
  <c r="U52" i="42" s="1"/>
  <c r="K89" i="57"/>
  <c r="U69" i="44" a="1"/>
  <c r="U69" i="44" s="1"/>
  <c r="W54" i="47" a="1"/>
  <c r="W54" i="47" s="1"/>
  <c r="U47" i="43" a="1"/>
  <c r="U47" i="43" s="1"/>
  <c r="I68" i="57"/>
  <c r="J76" i="44"/>
  <c r="K83" i="57"/>
  <c r="S358" i="28" s="1"/>
  <c r="W87" i="47" a="1"/>
  <c r="W87" i="47" s="1"/>
  <c r="W60" i="47" a="1"/>
  <c r="W60" i="47" s="1"/>
  <c r="W77" i="47" a="1"/>
  <c r="W77" i="47" s="1"/>
  <c r="W68" i="47" a="1"/>
  <c r="W68" i="47" s="1"/>
  <c r="L96" i="47"/>
  <c r="W65" i="47" a="1"/>
  <c r="W65" i="47" s="1"/>
  <c r="W82" i="47" a="1"/>
  <c r="W82" i="47" s="1"/>
  <c r="W76" i="47" a="1"/>
  <c r="W76" i="47" s="1"/>
  <c r="W53" i="47" a="1"/>
  <c r="W53" i="47" s="1"/>
  <c r="W69" i="47" a="1"/>
  <c r="W69" i="47" s="1"/>
  <c r="W72" i="47" a="1"/>
  <c r="W72" i="47" s="1"/>
  <c r="W63" i="47" a="1"/>
  <c r="W63" i="47" s="1"/>
  <c r="W86" i="47" a="1"/>
  <c r="W86" i="47" s="1"/>
  <c r="W80" i="47" a="1"/>
  <c r="W80" i="47" s="1"/>
  <c r="W84" i="47" a="1"/>
  <c r="W84" i="47" s="1"/>
  <c r="W49" i="47" a="1"/>
  <c r="W49" i="47" s="1"/>
  <c r="W51" i="47" a="1"/>
  <c r="W51" i="47" s="1"/>
  <c r="W72" i="46" a="1"/>
  <c r="W72" i="46" s="1"/>
  <c r="W84" i="46" a="1"/>
  <c r="W84" i="46" s="1"/>
  <c r="W80" i="46" a="1"/>
  <c r="W80" i="46" s="1"/>
  <c r="W63" i="46" a="1"/>
  <c r="W63" i="46" s="1"/>
  <c r="W59" i="46" a="1"/>
  <c r="W59" i="46" s="1"/>
  <c r="W58" i="46" a="1"/>
  <c r="W58" i="46" s="1"/>
  <c r="W52" i="46" a="1"/>
  <c r="W52" i="46" s="1"/>
  <c r="W64" i="46" a="1"/>
  <c r="W64" i="46" s="1"/>
  <c r="W62" i="46" a="1"/>
  <c r="W62" i="46" s="1"/>
  <c r="W54" i="46" a="1"/>
  <c r="W54" i="46" s="1"/>
  <c r="W68" i="46" a="1"/>
  <c r="W68" i="46" s="1"/>
  <c r="W60" i="46" a="1"/>
  <c r="W60" i="46" s="1"/>
  <c r="W66" i="46" a="1"/>
  <c r="W66" i="46" s="1"/>
  <c r="W70" i="46" a="1"/>
  <c r="W70" i="46" s="1"/>
  <c r="W69" i="46" a="1"/>
  <c r="W69" i="46" s="1"/>
  <c r="W65" i="46" a="1"/>
  <c r="W65" i="46" s="1"/>
  <c r="W50" i="46" a="1"/>
  <c r="W50" i="46" s="1"/>
  <c r="W46" i="46" a="1"/>
  <c r="W46" i="46" s="1"/>
  <c r="K79" i="45"/>
  <c r="U60" i="45" a="1"/>
  <c r="U60" i="45" s="1"/>
  <c r="V46" i="45" a="1"/>
  <c r="V46" i="45" s="1"/>
  <c r="U57" i="45" a="1"/>
  <c r="U57" i="45" s="1"/>
  <c r="V55" i="45" a="1"/>
  <c r="V55" i="45" s="1"/>
  <c r="U64" i="45" a="1"/>
  <c r="U64" i="45" s="1"/>
  <c r="V49" i="45" a="1"/>
  <c r="V49" i="45" s="1"/>
  <c r="K75" i="45"/>
  <c r="V48" i="45" a="1"/>
  <c r="V48" i="45" s="1"/>
  <c r="V53" i="45" a="1"/>
  <c r="V53" i="45" s="1"/>
  <c r="U65" i="45" a="1"/>
  <c r="U65" i="45" s="1"/>
  <c r="U63" i="45" a="1"/>
  <c r="U63" i="45" s="1"/>
  <c r="U70" i="45" a="1"/>
  <c r="U70" i="45" s="1"/>
  <c r="U68" i="45" a="1"/>
  <c r="U68" i="45" s="1"/>
  <c r="U61" i="45" a="1"/>
  <c r="U61" i="45" s="1"/>
  <c r="U67" i="45" a="1"/>
  <c r="U67" i="45" s="1"/>
  <c r="I71" i="45"/>
  <c r="J81" i="45"/>
  <c r="J74" i="44"/>
  <c r="J85" i="44"/>
  <c r="U60" i="44" a="1"/>
  <c r="U60" i="44" s="1"/>
  <c r="V54" i="44" a="1"/>
  <c r="V54" i="44" s="1"/>
  <c r="W57" i="44" a="1"/>
  <c r="W57" i="44" s="1"/>
  <c r="J78" i="44"/>
  <c r="V67" i="44" a="1"/>
  <c r="V67" i="44" s="1"/>
  <c r="U56" i="44" a="1"/>
  <c r="U56" i="44" s="1"/>
  <c r="V55" i="44" a="1"/>
  <c r="V55" i="44" s="1"/>
  <c r="V66" i="44" a="1"/>
  <c r="V66" i="44" s="1"/>
  <c r="U64" i="44" a="1"/>
  <c r="U64" i="44" s="1"/>
  <c r="J73" i="44"/>
  <c r="V52" i="44" a="1"/>
  <c r="V52" i="44" s="1"/>
  <c r="V59" i="44" a="1"/>
  <c r="V59" i="44" s="1"/>
  <c r="U45" i="43" a="1"/>
  <c r="U45" i="43" s="1"/>
  <c r="U69" i="43" a="1"/>
  <c r="U69" i="43" s="1"/>
  <c r="U52" i="43" a="1"/>
  <c r="U52" i="43" s="1"/>
  <c r="U80" i="43" a="1"/>
  <c r="U80" i="43" s="1"/>
  <c r="U75" i="43" a="1"/>
  <c r="U75" i="43" s="1"/>
  <c r="V63" i="43" a="1"/>
  <c r="V63" i="43" s="1"/>
  <c r="U77" i="43" a="1"/>
  <c r="U77" i="43" s="1"/>
  <c r="U79" i="43" a="1"/>
  <c r="U79" i="43" s="1"/>
  <c r="V55" i="43" a="1"/>
  <c r="V55" i="43" s="1"/>
  <c r="U68" i="43" a="1"/>
  <c r="U68" i="43" s="1"/>
  <c r="V65" i="43" a="1"/>
  <c r="V65" i="43" s="1"/>
  <c r="U73" i="43" a="1"/>
  <c r="U73" i="43" s="1"/>
  <c r="U50" i="43" a="1"/>
  <c r="U50" i="43" s="1"/>
  <c r="U54" i="43" a="1"/>
  <c r="U54" i="43" s="1"/>
  <c r="V62" i="43" a="1"/>
  <c r="V62" i="43" s="1"/>
  <c r="U72" i="43" a="1"/>
  <c r="U72" i="43" s="1"/>
  <c r="U70" i="43" a="1"/>
  <c r="U70" i="43" s="1"/>
  <c r="V58" i="43" a="1"/>
  <c r="V58" i="43" s="1"/>
  <c r="V51" i="43" a="1"/>
  <c r="V51" i="43" s="1"/>
  <c r="V59" i="43" a="1"/>
  <c r="V59" i="43" s="1"/>
  <c r="V67" i="43" a="1"/>
  <c r="V67" i="43" s="1"/>
  <c r="V60" i="43" a="1"/>
  <c r="V60" i="43" s="1"/>
  <c r="V49" i="43" a="1"/>
  <c r="V49" i="43" s="1"/>
  <c r="J92" i="42"/>
  <c r="V66" i="42" a="1"/>
  <c r="V66" i="42" s="1"/>
  <c r="V69" i="42" a="1"/>
  <c r="V69" i="42" s="1"/>
  <c r="U59" i="42" a="1"/>
  <c r="U59" i="42" s="1"/>
  <c r="U76" i="42" a="1"/>
  <c r="U76" i="42" s="1"/>
  <c r="V56" i="42" a="1"/>
  <c r="V56" i="42" s="1"/>
  <c r="U48" i="42" a="1"/>
  <c r="U48" i="42" s="1"/>
  <c r="V49" i="42" a="1"/>
  <c r="V49" i="42" s="1"/>
  <c r="U67" i="42" a="1"/>
  <c r="U67" i="42" s="1"/>
  <c r="U53" i="42" a="1"/>
  <c r="U53" i="42" s="1"/>
  <c r="U74" i="42" a="1"/>
  <c r="U74" i="42" s="1"/>
  <c r="U62" i="42" a="1"/>
  <c r="U62" i="42" s="1"/>
  <c r="V71" i="42" a="1"/>
  <c r="V71" i="42" s="1"/>
  <c r="V54" i="42" a="1"/>
  <c r="V54" i="42" s="1"/>
  <c r="U64" i="42" a="1"/>
  <c r="U64" i="42" s="1"/>
  <c r="U57" i="42" a="1"/>
  <c r="U57" i="42" s="1"/>
  <c r="U63" i="42" a="1"/>
  <c r="U63" i="42" s="1"/>
  <c r="U61" i="42" a="1"/>
  <c r="U61" i="42" s="1"/>
  <c r="I77" i="42"/>
  <c r="Q83" i="40" a="1"/>
  <c r="Q83" i="40" s="1"/>
  <c r="P83" i="40" a="1"/>
  <c r="P83" i="40" s="1"/>
  <c r="O83" i="40" a="1"/>
  <c r="O83" i="40" s="1"/>
  <c r="N83" i="40" a="1"/>
  <c r="N83" i="40" s="1"/>
  <c r="M83" i="40" a="1"/>
  <c r="M83" i="40" s="1"/>
  <c r="Q81" i="40" a="1"/>
  <c r="Q81" i="40" s="1"/>
  <c r="P81" i="40" a="1"/>
  <c r="P81" i="40" s="1"/>
  <c r="O81" i="40" a="1"/>
  <c r="O81" i="40" s="1"/>
  <c r="N81" i="40" a="1"/>
  <c r="N81" i="40" s="1"/>
  <c r="M81" i="40" a="1"/>
  <c r="M81" i="40" s="1"/>
  <c r="Q80" i="40" a="1"/>
  <c r="Q80" i="40" s="1"/>
  <c r="P80" i="40" a="1"/>
  <c r="P80" i="40" s="1"/>
  <c r="O80" i="40" a="1"/>
  <c r="O80" i="40" s="1"/>
  <c r="N80" i="40" a="1"/>
  <c r="N80" i="40" s="1"/>
  <c r="M80" i="40" a="1"/>
  <c r="M80" i="40" s="1"/>
  <c r="Q78" i="40" a="1"/>
  <c r="Q78" i="40" s="1"/>
  <c r="P78" i="40" a="1"/>
  <c r="P78" i="40" s="1"/>
  <c r="O78" i="40" a="1"/>
  <c r="O78" i="40" s="1"/>
  <c r="N78" i="40" a="1"/>
  <c r="N78" i="40" s="1"/>
  <c r="M78" i="40" a="1"/>
  <c r="M78" i="40" s="1"/>
  <c r="P77" i="40" a="1"/>
  <c r="P77" i="40" s="1"/>
  <c r="O77" i="40" a="1"/>
  <c r="O77" i="40" s="1"/>
  <c r="N77" i="40" a="1"/>
  <c r="N77" i="40" s="1"/>
  <c r="M77" i="40" a="1"/>
  <c r="M77" i="40" s="1"/>
  <c r="P76" i="40" a="1"/>
  <c r="P76" i="40" s="1"/>
  <c r="O76" i="40" a="1"/>
  <c r="O76" i="40" s="1"/>
  <c r="N76" i="40" a="1"/>
  <c r="N76" i="40" s="1"/>
  <c r="M76" i="40" a="1"/>
  <c r="M76" i="40" s="1"/>
  <c r="Q74" i="40" a="1"/>
  <c r="Q74" i="40" s="1"/>
  <c r="P74" i="40" a="1"/>
  <c r="P74" i="40" s="1"/>
  <c r="O74" i="40" a="1"/>
  <c r="O74" i="40" s="1"/>
  <c r="N74" i="40" a="1"/>
  <c r="N74" i="40" s="1"/>
  <c r="M74" i="40" a="1"/>
  <c r="M74" i="40" s="1"/>
  <c r="Q73" i="40" a="1"/>
  <c r="Q73" i="40" s="1"/>
  <c r="P73" i="40" a="1"/>
  <c r="P73" i="40" s="1"/>
  <c r="O73" i="40" a="1"/>
  <c r="O73" i="40" s="1"/>
  <c r="N73" i="40" a="1"/>
  <c r="N73" i="40" s="1"/>
  <c r="M73" i="40" a="1"/>
  <c r="M73" i="40" s="1"/>
  <c r="Q71" i="40" a="1"/>
  <c r="Q71" i="40" s="1"/>
  <c r="P71" i="40" a="1"/>
  <c r="P71" i="40" s="1"/>
  <c r="O71" i="40" a="1"/>
  <c r="O71" i="40" s="1"/>
  <c r="N71" i="40" a="1"/>
  <c r="N71" i="40" s="1"/>
  <c r="M71" i="40" a="1"/>
  <c r="M71" i="40" s="1"/>
  <c r="Q70" i="40" a="1"/>
  <c r="Q70" i="40" s="1"/>
  <c r="P70" i="40" a="1"/>
  <c r="P70" i="40" s="1"/>
  <c r="O70" i="40" a="1"/>
  <c r="O70" i="40" s="1"/>
  <c r="N70" i="40" a="1"/>
  <c r="N70" i="40" s="1"/>
  <c r="M70" i="40" a="1"/>
  <c r="M70" i="40" s="1"/>
  <c r="Q69" i="40" a="1"/>
  <c r="Q69" i="40" s="1"/>
  <c r="P69" i="40" a="1"/>
  <c r="P69" i="40" s="1"/>
  <c r="O69" i="40" a="1"/>
  <c r="O69" i="40" s="1"/>
  <c r="N69" i="40" a="1"/>
  <c r="N69" i="40" s="1"/>
  <c r="M69" i="40" a="1"/>
  <c r="M69" i="40" s="1"/>
  <c r="Q68" i="40" a="1"/>
  <c r="Q68" i="40" s="1"/>
  <c r="P68" i="40" a="1"/>
  <c r="P68" i="40" s="1"/>
  <c r="O68" i="40" a="1"/>
  <c r="O68" i="40" s="1"/>
  <c r="N68" i="40" a="1"/>
  <c r="N68" i="40" s="1"/>
  <c r="M68" i="40" a="1"/>
  <c r="M68" i="40" s="1"/>
  <c r="Q66" i="40" a="1"/>
  <c r="Q66" i="40" s="1"/>
  <c r="P66" i="40" a="1"/>
  <c r="P66" i="40" s="1"/>
  <c r="O66" i="40" a="1"/>
  <c r="O66" i="40" s="1"/>
  <c r="N66" i="40" a="1"/>
  <c r="N66" i="40" s="1"/>
  <c r="M66" i="40" a="1"/>
  <c r="M66" i="40" s="1"/>
  <c r="Q64" i="40" a="1"/>
  <c r="Q64" i="40" s="1"/>
  <c r="P64" i="40" a="1"/>
  <c r="P64" i="40" s="1"/>
  <c r="O64" i="40" a="1"/>
  <c r="O64" i="40" s="1"/>
  <c r="N64" i="40" a="1"/>
  <c r="N64" i="40" s="1"/>
  <c r="M64" i="40" a="1"/>
  <c r="M64" i="40" s="1"/>
  <c r="Q63" i="40" a="1"/>
  <c r="Q63" i="40" s="1"/>
  <c r="P63" i="40" a="1"/>
  <c r="P63" i="40" s="1"/>
  <c r="O63" i="40" a="1"/>
  <c r="O63" i="40" s="1"/>
  <c r="N63" i="40" a="1"/>
  <c r="N63" i="40" s="1"/>
  <c r="M63" i="40" a="1"/>
  <c r="M63" i="40" s="1"/>
  <c r="Q61" i="40" a="1"/>
  <c r="Q61" i="40" s="1"/>
  <c r="P61" i="40" a="1"/>
  <c r="P61" i="40" s="1"/>
  <c r="O61" i="40" a="1"/>
  <c r="O61" i="40" s="1"/>
  <c r="N61" i="40" a="1"/>
  <c r="N61" i="40" s="1"/>
  <c r="M61" i="40" a="1"/>
  <c r="M61" i="40" s="1"/>
  <c r="Q60" i="40" a="1"/>
  <c r="Q60" i="40" s="1"/>
  <c r="P60" i="40" a="1"/>
  <c r="P60" i="40" s="1"/>
  <c r="O60" i="40" a="1"/>
  <c r="O60" i="40" s="1"/>
  <c r="N60" i="40" a="1"/>
  <c r="N60" i="40" s="1"/>
  <c r="M60" i="40" a="1"/>
  <c r="M60" i="40" s="1"/>
  <c r="Q59" i="40" a="1"/>
  <c r="Q59" i="40" s="1"/>
  <c r="P59" i="40" a="1"/>
  <c r="P59" i="40" s="1"/>
  <c r="O59" i="40" a="1"/>
  <c r="O59" i="40" s="1"/>
  <c r="N59" i="40" a="1"/>
  <c r="N59" i="40" s="1"/>
  <c r="M59" i="40" a="1"/>
  <c r="M59" i="40" s="1"/>
  <c r="Q58" i="40" a="1"/>
  <c r="Q58" i="40" s="1"/>
  <c r="P58" i="40" a="1"/>
  <c r="P58" i="40" s="1"/>
  <c r="O58" i="40" a="1"/>
  <c r="O58" i="40" s="1"/>
  <c r="N58" i="40" a="1"/>
  <c r="N58" i="40" s="1"/>
  <c r="M58" i="40" a="1"/>
  <c r="M58" i="40" s="1"/>
  <c r="Q56" i="40" a="1"/>
  <c r="Q56" i="40" s="1"/>
  <c r="P56" i="40" a="1"/>
  <c r="P56" i="40" s="1"/>
  <c r="O56" i="40" a="1"/>
  <c r="O56" i="40" s="1"/>
  <c r="N56" i="40" a="1"/>
  <c r="N56" i="40" s="1"/>
  <c r="M56" i="40" a="1"/>
  <c r="M56" i="40" s="1"/>
  <c r="Q55" i="40" a="1"/>
  <c r="Q55" i="40" s="1"/>
  <c r="P55" i="40" a="1"/>
  <c r="P55" i="40" s="1"/>
  <c r="O55" i="40" a="1"/>
  <c r="O55" i="40" s="1"/>
  <c r="N55" i="40" a="1"/>
  <c r="N55" i="40" s="1"/>
  <c r="M55" i="40" a="1"/>
  <c r="M55" i="40" s="1"/>
  <c r="Q54" i="40" a="1"/>
  <c r="Q54" i="40" s="1"/>
  <c r="P54" i="40" a="1"/>
  <c r="P54" i="40" s="1"/>
  <c r="O54" i="40" a="1"/>
  <c r="O54" i="40" s="1"/>
  <c r="N54" i="40" a="1"/>
  <c r="N54" i="40" s="1"/>
  <c r="M54" i="40" a="1"/>
  <c r="M54" i="40" s="1"/>
  <c r="Q52" i="40" a="1"/>
  <c r="Q52" i="40" s="1"/>
  <c r="P52" i="40" a="1"/>
  <c r="P52" i="40" s="1"/>
  <c r="O52" i="40" a="1"/>
  <c r="O52" i="40" s="1"/>
  <c r="N52" i="40" a="1"/>
  <c r="N52" i="40" s="1"/>
  <c r="M52" i="40" a="1"/>
  <c r="M52" i="40" s="1"/>
  <c r="Q51" i="40" a="1"/>
  <c r="Q51" i="40" s="1"/>
  <c r="P51" i="40" a="1"/>
  <c r="P51" i="40" s="1"/>
  <c r="O51" i="40" a="1"/>
  <c r="O51" i="40" s="1"/>
  <c r="N51" i="40" a="1"/>
  <c r="N51" i="40" s="1"/>
  <c r="M51" i="40" a="1"/>
  <c r="M51" i="40" s="1"/>
  <c r="Q50" i="40" a="1"/>
  <c r="Q50" i="40" s="1"/>
  <c r="P50" i="40" a="1"/>
  <c r="P50" i="40" s="1"/>
  <c r="O50" i="40" a="1"/>
  <c r="O50" i="40" s="1"/>
  <c r="N50" i="40" a="1"/>
  <c r="N50" i="40" s="1"/>
  <c r="M50" i="40" a="1"/>
  <c r="M50" i="40" s="1"/>
  <c r="Q49" i="40" a="1"/>
  <c r="Q49" i="40" s="1"/>
  <c r="P49" i="40" a="1"/>
  <c r="P49" i="40" s="1"/>
  <c r="O49" i="40" a="1"/>
  <c r="O49" i="40" s="1"/>
  <c r="N49" i="40" a="1"/>
  <c r="N49" i="40" s="1"/>
  <c r="M49" i="40" a="1"/>
  <c r="M49" i="40" s="1"/>
  <c r="Q48" i="40" a="1"/>
  <c r="Q48" i="40" s="1"/>
  <c r="P48" i="40" a="1"/>
  <c r="P48" i="40" s="1"/>
  <c r="O48" i="40" a="1"/>
  <c r="O48" i="40" s="1"/>
  <c r="N48" i="40" a="1"/>
  <c r="N48" i="40" s="1"/>
  <c r="M48" i="40" a="1"/>
  <c r="M48" i="40" s="1"/>
  <c r="Q46" i="40" a="1"/>
  <c r="Q46" i="40" s="1"/>
  <c r="P46" i="40" a="1"/>
  <c r="P46" i="40" s="1"/>
  <c r="O46" i="40" a="1"/>
  <c r="O46" i="40" s="1"/>
  <c r="N46" i="40" a="1"/>
  <c r="N46" i="40" s="1"/>
  <c r="M46" i="40" a="1"/>
  <c r="M46" i="40" s="1"/>
  <c r="Q45" i="40" a="1"/>
  <c r="Q45" i="40" s="1"/>
  <c r="P45" i="40" a="1"/>
  <c r="P45" i="40" s="1"/>
  <c r="O45" i="40" a="1"/>
  <c r="O45" i="40" s="1"/>
  <c r="N45" i="40" a="1"/>
  <c r="N45" i="40" s="1"/>
  <c r="M45" i="40" a="1"/>
  <c r="M45" i="40" s="1"/>
  <c r="U76" i="43" l="1" a="1"/>
  <c r="U76" i="43" s="1"/>
  <c r="V250" i="28"/>
  <c r="V62" i="44" a="1"/>
  <c r="V62" i="44" s="1"/>
  <c r="W248" i="28"/>
  <c r="V179" i="57"/>
  <c r="S359" i="28"/>
  <c r="U62" i="44" a="1"/>
  <c r="U62" i="44" s="1"/>
  <c r="V248" i="28"/>
  <c r="S481" i="28"/>
  <c r="S499" i="28"/>
  <c r="Q500" i="28"/>
  <c r="R453" i="28"/>
  <c r="R484" i="28"/>
  <c r="S467" i="28"/>
  <c r="S498" i="28"/>
  <c r="R497" i="28"/>
  <c r="S448" i="28"/>
  <c r="S479" i="28"/>
  <c r="S451" i="28"/>
  <c r="S482" i="28"/>
  <c r="S496" i="28"/>
  <c r="T449" i="28"/>
  <c r="T480" i="28"/>
  <c r="Q418" i="28"/>
  <c r="R464" i="28"/>
  <c r="R469" i="28" s="1"/>
  <c r="R495" i="28"/>
  <c r="S452" i="28"/>
  <c r="S483" i="28"/>
  <c r="O404" i="28"/>
  <c r="T81" i="45"/>
  <c r="S450" i="28"/>
  <c r="V114" i="49"/>
  <c r="V116" i="49" s="1"/>
  <c r="U114" i="46"/>
  <c r="U116" i="46" s="1"/>
  <c r="V114" i="48"/>
  <c r="V116" i="48" s="1"/>
  <c r="S468" i="28"/>
  <c r="V74" i="59"/>
  <c r="T64" i="59"/>
  <c r="T119" i="59" s="1"/>
  <c r="I119" i="59"/>
  <c r="V62" i="59"/>
  <c r="V63" i="44" a="1"/>
  <c r="V63" i="44" s="1"/>
  <c r="S95" i="44"/>
  <c r="S97" i="45"/>
  <c r="W105" i="46"/>
  <c r="S103" i="42"/>
  <c r="S109" i="43"/>
  <c r="L97" i="47"/>
  <c r="J108" i="42"/>
  <c r="J86" i="42"/>
  <c r="J94" i="42"/>
  <c r="W108" i="48"/>
  <c r="W115" i="48" s="1"/>
  <c r="V104" i="47"/>
  <c r="W104" i="46"/>
  <c r="J100" i="43"/>
  <c r="J81" i="42"/>
  <c r="T100" i="43"/>
  <c r="J91" i="42"/>
  <c r="J113" i="42"/>
  <c r="K92" i="43"/>
  <c r="J93" i="42"/>
  <c r="J88" i="45"/>
  <c r="W99" i="49"/>
  <c r="K76" i="45"/>
  <c r="AF65" i="57" a="1"/>
  <c r="AF65" i="57" s="1"/>
  <c r="J85" i="42"/>
  <c r="L99" i="46"/>
  <c r="L100" i="46"/>
  <c r="L100" i="47"/>
  <c r="L94" i="46"/>
  <c r="T478" i="28" s="1"/>
  <c r="J90" i="42"/>
  <c r="L97" i="46"/>
  <c r="J86" i="44"/>
  <c r="L99" i="47"/>
  <c r="L105" i="47"/>
  <c r="W78" i="47" a="1"/>
  <c r="W78" i="47" s="1"/>
  <c r="L104" i="47"/>
  <c r="AE68" i="57" a="1"/>
  <c r="AE68" i="57" s="1"/>
  <c r="J83" i="42"/>
  <c r="J82" i="42"/>
  <c r="L105" i="46"/>
  <c r="W95" i="50"/>
  <c r="L104" i="46"/>
  <c r="L108" i="46"/>
  <c r="W88" i="46" a="1"/>
  <c r="W88" i="46" s="1"/>
  <c r="W107" i="46" s="1"/>
  <c r="L107" i="46"/>
  <c r="J84" i="42"/>
  <c r="L98" i="46"/>
  <c r="W88" i="47" a="1"/>
  <c r="W88" i="47" s="1"/>
  <c r="W107" i="47" s="1"/>
  <c r="L107" i="47"/>
  <c r="L103" i="47"/>
  <c r="W85" i="47" a="1"/>
  <c r="W85" i="47" s="1"/>
  <c r="W106" i="47" s="1"/>
  <c r="L106" i="47"/>
  <c r="W85" i="46" a="1"/>
  <c r="W85" i="46" s="1"/>
  <c r="W106" i="46" s="1"/>
  <c r="L106" i="46"/>
  <c r="L98" i="47"/>
  <c r="L108" i="47"/>
  <c r="L95" i="46"/>
  <c r="L95" i="47"/>
  <c r="R32" i="75"/>
  <c r="W108" i="50"/>
  <c r="W105" i="47"/>
  <c r="V100" i="46"/>
  <c r="V108" i="46"/>
  <c r="V115" i="46" s="1"/>
  <c r="T92" i="42"/>
  <c r="W90" i="50"/>
  <c r="V94" i="47"/>
  <c r="S494" i="28" s="1"/>
  <c r="V100" i="47"/>
  <c r="T84" i="42"/>
  <c r="T82" i="42"/>
  <c r="T91" i="43"/>
  <c r="V97" i="47"/>
  <c r="S466" i="28" s="1"/>
  <c r="W98" i="48"/>
  <c r="W99" i="50"/>
  <c r="V95" i="46"/>
  <c r="W100" i="50"/>
  <c r="W94" i="50"/>
  <c r="W100" i="49"/>
  <c r="W94" i="46"/>
  <c r="W90" i="49"/>
  <c r="T83" i="42"/>
  <c r="T88" i="43"/>
  <c r="V103" i="46"/>
  <c r="W95" i="47"/>
  <c r="T89" i="45"/>
  <c r="T96" i="45" s="1"/>
  <c r="W100" i="48"/>
  <c r="V108" i="47"/>
  <c r="K91" i="43"/>
  <c r="J87" i="45"/>
  <c r="J88" i="43"/>
  <c r="V41" i="43" a="1"/>
  <c r="V41" i="43" s="1"/>
  <c r="V54" i="45" a="1"/>
  <c r="V54" i="45" s="1"/>
  <c r="J86" i="45"/>
  <c r="J85" i="45"/>
  <c r="K78" i="45"/>
  <c r="J89" i="45"/>
  <c r="J97" i="43"/>
  <c r="U87" i="43"/>
  <c r="J90" i="43"/>
  <c r="U90" i="43"/>
  <c r="U82" i="43" a="1"/>
  <c r="U82" i="43" s="1"/>
  <c r="J98" i="43"/>
  <c r="U78" i="43" a="1"/>
  <c r="U78" i="43" s="1"/>
  <c r="U99" i="43" s="1"/>
  <c r="J99" i="43"/>
  <c r="V56" i="45" a="1"/>
  <c r="V56" i="45" s="1"/>
  <c r="T93" i="43"/>
  <c r="T107" i="43" s="1"/>
  <c r="J84" i="45"/>
  <c r="J93" i="43"/>
  <c r="U96" i="43"/>
  <c r="T101" i="43"/>
  <c r="T108" i="43" s="1"/>
  <c r="J87" i="43"/>
  <c r="J96" i="43"/>
  <c r="T84" i="45"/>
  <c r="U91" i="43"/>
  <c r="J101" i="43"/>
  <c r="AG83" i="57" a="1"/>
  <c r="AG83" i="57" s="1"/>
  <c r="V173" i="57"/>
  <c r="AG98" i="57" a="1"/>
  <c r="AG98" i="57" s="1"/>
  <c r="V188" i="57"/>
  <c r="J79" i="44"/>
  <c r="U82" i="44"/>
  <c r="T87" i="44"/>
  <c r="T94" i="44" s="1"/>
  <c r="U83" i="44"/>
  <c r="J83" i="44"/>
  <c r="V53" i="44" a="1"/>
  <c r="V53" i="44" s="1"/>
  <c r="J84" i="44"/>
  <c r="U51" i="44" a="1"/>
  <c r="U51" i="44" s="1"/>
  <c r="J87" i="44"/>
  <c r="V51" i="44" a="1"/>
  <c r="V51" i="44" s="1"/>
  <c r="T79" i="44"/>
  <c r="T93" i="44" s="1"/>
  <c r="J82" i="44"/>
  <c r="W90" i="48"/>
  <c r="W57" i="47" a="1"/>
  <c r="W57" i="47" s="1"/>
  <c r="W73" i="47" a="1"/>
  <c r="W73" i="47" s="1"/>
  <c r="W103" i="47" s="1"/>
  <c r="W55" i="47" a="1"/>
  <c r="W55" i="47" s="1"/>
  <c r="W96" i="47" s="1"/>
  <c r="T465" i="28" s="1"/>
  <c r="W61" i="47" a="1"/>
  <c r="W61" i="47" s="1"/>
  <c r="W98" i="47" s="1"/>
  <c r="W67" i="47" a="1"/>
  <c r="W67" i="47" s="1"/>
  <c r="W99" i="47" s="1"/>
  <c r="W71" i="47" a="1"/>
  <c r="W71" i="47" s="1"/>
  <c r="V90" i="47"/>
  <c r="V90" i="46"/>
  <c r="W61" i="46" a="1"/>
  <c r="W61" i="46" s="1"/>
  <c r="W98" i="46" s="1"/>
  <c r="W67" i="46" a="1"/>
  <c r="W67" i="46" s="1"/>
  <c r="W99" i="46" s="1"/>
  <c r="W57" i="46" a="1"/>
  <c r="W57" i="46" s="1"/>
  <c r="W97" i="46" s="1"/>
  <c r="W73" i="46" a="1"/>
  <c r="W73" i="46" s="1"/>
  <c r="U59" i="45" a="1"/>
  <c r="U59" i="45" s="1"/>
  <c r="U85" i="45" s="1"/>
  <c r="U44" i="45" a="1"/>
  <c r="U44" i="45" s="1"/>
  <c r="U75" i="45" s="1"/>
  <c r="T71" i="45"/>
  <c r="U62" i="45" a="1"/>
  <c r="U62" i="45" s="1"/>
  <c r="U86" i="45" s="1"/>
  <c r="V47" i="45" a="1"/>
  <c r="V47" i="45" s="1"/>
  <c r="V78" i="45" s="1"/>
  <c r="U47" i="45" a="1"/>
  <c r="U47" i="45" s="1"/>
  <c r="U78" i="45" s="1"/>
  <c r="U66" i="45" a="1"/>
  <c r="U66" i="45" s="1"/>
  <c r="U87" i="45" s="1"/>
  <c r="V52" i="45" a="1"/>
  <c r="V52" i="45" s="1"/>
  <c r="V44" i="45" a="1"/>
  <c r="V44" i="45" s="1"/>
  <c r="V75" i="45" s="1"/>
  <c r="U58" i="45" a="1"/>
  <c r="U58" i="45" s="1"/>
  <c r="U84" i="45" s="1"/>
  <c r="U69" i="45" a="1"/>
  <c r="U69" i="45" s="1"/>
  <c r="U88" i="45" s="1"/>
  <c r="V45" i="45" a="1"/>
  <c r="V45" i="45" s="1"/>
  <c r="V76" i="45" s="1"/>
  <c r="V50" i="45" a="1"/>
  <c r="V50" i="45" s="1"/>
  <c r="V79" i="45" s="1"/>
  <c r="E93" i="40"/>
  <c r="T95" i="42"/>
  <c r="T102" i="42" s="1"/>
  <c r="T70" i="44"/>
  <c r="U45" i="44" a="1"/>
  <c r="U45" i="44" s="1"/>
  <c r="U74" i="44" s="1"/>
  <c r="V41" i="44" a="1"/>
  <c r="V41" i="44" s="1"/>
  <c r="U61" i="44" a="1"/>
  <c r="U61" i="44" s="1"/>
  <c r="U84" i="44" s="1"/>
  <c r="U68" i="44" a="1"/>
  <c r="U68" i="44" s="1"/>
  <c r="U86" i="44" s="1"/>
  <c r="U65" i="44" a="1"/>
  <c r="U65" i="44" s="1"/>
  <c r="U85" i="44" s="1"/>
  <c r="V58" i="44" a="1"/>
  <c r="V58" i="44" s="1"/>
  <c r="V49" i="44" a="1"/>
  <c r="V49" i="44" s="1"/>
  <c r="U50" i="44" a="1"/>
  <c r="U50" i="44" s="1"/>
  <c r="U78" i="44" s="1"/>
  <c r="U46" i="43" a="1"/>
  <c r="U46" i="43" s="1"/>
  <c r="V66" i="43" a="1"/>
  <c r="V66" i="43" s="1"/>
  <c r="U48" i="43" a="1"/>
  <c r="U48" i="43" s="1"/>
  <c r="V64" i="43" a="1"/>
  <c r="V64" i="43" s="1"/>
  <c r="V57" i="43" a="1"/>
  <c r="V57" i="43" s="1"/>
  <c r="V53" i="43" a="1"/>
  <c r="V53" i="43" s="1"/>
  <c r="V61" i="43" a="1"/>
  <c r="V61" i="43" s="1"/>
  <c r="V92" i="43" s="1"/>
  <c r="U74" i="43" a="1"/>
  <c r="U74" i="43" s="1"/>
  <c r="U98" i="43" s="1"/>
  <c r="T83" i="43"/>
  <c r="V56" i="43" a="1"/>
  <c r="V56" i="43" s="1"/>
  <c r="V44" i="43" a="1"/>
  <c r="V44" i="43" s="1"/>
  <c r="U65" i="42" a="1"/>
  <c r="U65" i="42" s="1"/>
  <c r="U91" i="42" s="1"/>
  <c r="U55" i="42" a="1"/>
  <c r="U55" i="42" s="1"/>
  <c r="U86" i="42" s="1"/>
  <c r="U58" i="42" a="1"/>
  <c r="U58" i="42" s="1"/>
  <c r="J95" i="42"/>
  <c r="U44" i="42" a="1"/>
  <c r="U44" i="42" s="1"/>
  <c r="U81" i="42" s="1"/>
  <c r="W72" i="42" a="1"/>
  <c r="W72" i="42" s="1"/>
  <c r="U60" i="42" a="1"/>
  <c r="U60" i="42" s="1"/>
  <c r="U90" i="42" s="1"/>
  <c r="U46" i="42" a="1"/>
  <c r="U46" i="42" s="1"/>
  <c r="U68" i="42" a="1"/>
  <c r="U68" i="42" s="1"/>
  <c r="U92" i="42" s="1"/>
  <c r="U51" i="42" a="1"/>
  <c r="U51" i="42" s="1"/>
  <c r="U85" i="42" s="1"/>
  <c r="U73" i="42" a="1"/>
  <c r="U73" i="42" s="1"/>
  <c r="U93" i="42" s="1"/>
  <c r="V47" i="42" a="1"/>
  <c r="V47" i="42" s="1"/>
  <c r="U75" i="42" a="1"/>
  <c r="U75" i="42" s="1"/>
  <c r="U94" i="42" s="1"/>
  <c r="J87" i="42"/>
  <c r="I96" i="42"/>
  <c r="V45" i="42" a="1"/>
  <c r="V45" i="42" s="1"/>
  <c r="T87" i="42"/>
  <c r="T101" i="42" s="1"/>
  <c r="T77" i="42"/>
  <c r="S96" i="42"/>
  <c r="P53" i="40" a="1"/>
  <c r="P53" i="40" s="1"/>
  <c r="P90" i="40" s="1"/>
  <c r="E90" i="40"/>
  <c r="P57" i="40" a="1"/>
  <c r="P57" i="40" s="1"/>
  <c r="P91" i="40" s="1"/>
  <c r="E91" i="40"/>
  <c r="D93" i="40"/>
  <c r="N44" i="40" a="1"/>
  <c r="N44" i="40" s="1"/>
  <c r="N87" i="40" s="1"/>
  <c r="C87" i="40"/>
  <c r="O47" i="40" a="1"/>
  <c r="O47" i="40" s="1"/>
  <c r="O88" i="40" s="1"/>
  <c r="D88" i="40"/>
  <c r="M53" i="40" a="1"/>
  <c r="M53" i="40" s="1"/>
  <c r="M90" i="40" s="1"/>
  <c r="B90" i="40"/>
  <c r="Q53" i="40" a="1"/>
  <c r="Q53" i="40" s="1"/>
  <c r="Q90" i="40" s="1"/>
  <c r="F90" i="40"/>
  <c r="M57" i="40" a="1"/>
  <c r="M57" i="40" s="1"/>
  <c r="M91" i="40" s="1"/>
  <c r="B91" i="40"/>
  <c r="Q57" i="40" a="1"/>
  <c r="Q57" i="40" s="1"/>
  <c r="Q91" i="40" s="1"/>
  <c r="F91" i="40"/>
  <c r="P62" i="40" a="1"/>
  <c r="P62" i="40" s="1"/>
  <c r="P92" i="40" s="1"/>
  <c r="E92" i="40"/>
  <c r="M65" i="40" a="1"/>
  <c r="M65" i="40" s="1"/>
  <c r="B101" i="40"/>
  <c r="Q65" i="40" a="1"/>
  <c r="Q65" i="40" s="1"/>
  <c r="F101" i="40"/>
  <c r="O67" i="40" a="1"/>
  <c r="O67" i="40" s="1"/>
  <c r="O96" i="40" s="1"/>
  <c r="D96" i="40"/>
  <c r="N72" i="40" a="1"/>
  <c r="N72" i="40" s="1"/>
  <c r="N97" i="40" s="1"/>
  <c r="C97" i="40"/>
  <c r="O75" i="40" a="1"/>
  <c r="O75" i="40" s="1"/>
  <c r="O98" i="40" s="1"/>
  <c r="D98" i="40"/>
  <c r="M79" i="40" a="1"/>
  <c r="M79" i="40" s="1"/>
  <c r="M99" i="40" s="1"/>
  <c r="B99" i="40"/>
  <c r="Q79" i="40" a="1"/>
  <c r="Q79" i="40" s="1"/>
  <c r="Q99" i="40" s="1"/>
  <c r="F99" i="40"/>
  <c r="N82" i="40" a="1"/>
  <c r="N82" i="40" s="1"/>
  <c r="N100" i="40" s="1"/>
  <c r="C100" i="40"/>
  <c r="O44" i="40" a="1"/>
  <c r="O44" i="40" s="1"/>
  <c r="O87" i="40" s="1"/>
  <c r="D87" i="40"/>
  <c r="P47" i="40" a="1"/>
  <c r="P47" i="40" s="1"/>
  <c r="P88" i="40" s="1"/>
  <c r="E88" i="40"/>
  <c r="N53" i="40" a="1"/>
  <c r="N53" i="40" s="1"/>
  <c r="N90" i="40" s="1"/>
  <c r="C90" i="40"/>
  <c r="N57" i="40" a="1"/>
  <c r="N57" i="40" s="1"/>
  <c r="N91" i="40" s="1"/>
  <c r="C91" i="40"/>
  <c r="M62" i="40" a="1"/>
  <c r="M62" i="40" s="1"/>
  <c r="M92" i="40" s="1"/>
  <c r="B92" i="40"/>
  <c r="Q62" i="40" a="1"/>
  <c r="Q62" i="40" s="1"/>
  <c r="Q92" i="40" s="1"/>
  <c r="F92" i="40"/>
  <c r="N65" i="40" a="1"/>
  <c r="N65" i="40" s="1"/>
  <c r="C101" i="40"/>
  <c r="P67" i="40" a="1"/>
  <c r="P67" i="40" s="1"/>
  <c r="P96" i="40" s="1"/>
  <c r="E96" i="40"/>
  <c r="O72" i="40" a="1"/>
  <c r="O72" i="40" s="1"/>
  <c r="O97" i="40" s="1"/>
  <c r="D97" i="40"/>
  <c r="P75" i="40" a="1"/>
  <c r="P75" i="40" s="1"/>
  <c r="P98" i="40" s="1"/>
  <c r="E98" i="40"/>
  <c r="N79" i="40" a="1"/>
  <c r="N79" i="40" s="1"/>
  <c r="N99" i="40" s="1"/>
  <c r="C99" i="40"/>
  <c r="O82" i="40" a="1"/>
  <c r="O82" i="40" s="1"/>
  <c r="O100" i="40" s="1"/>
  <c r="D100" i="40"/>
  <c r="B93" i="40"/>
  <c r="F93" i="40"/>
  <c r="P44" i="40" a="1"/>
  <c r="P44" i="40" s="1"/>
  <c r="P87" i="40" s="1"/>
  <c r="E87" i="40"/>
  <c r="M47" i="40" a="1"/>
  <c r="M47" i="40" s="1"/>
  <c r="M88" i="40" s="1"/>
  <c r="B88" i="40"/>
  <c r="Q47" i="40" a="1"/>
  <c r="Q47" i="40" s="1"/>
  <c r="Q88" i="40" s="1"/>
  <c r="F88" i="40"/>
  <c r="O53" i="40" a="1"/>
  <c r="O53" i="40" s="1"/>
  <c r="O90" i="40" s="1"/>
  <c r="D90" i="40"/>
  <c r="O57" i="40" a="1"/>
  <c r="O57" i="40" s="1"/>
  <c r="O91" i="40" s="1"/>
  <c r="D91" i="40"/>
  <c r="N62" i="40" a="1"/>
  <c r="N62" i="40" s="1"/>
  <c r="N92" i="40" s="1"/>
  <c r="C92" i="40"/>
  <c r="O65" i="40" a="1"/>
  <c r="O65" i="40" s="1"/>
  <c r="D101" i="40"/>
  <c r="M67" i="40" a="1"/>
  <c r="M67" i="40" s="1"/>
  <c r="M96" i="40" s="1"/>
  <c r="B96" i="40"/>
  <c r="Q67" i="40" a="1"/>
  <c r="Q67" i="40" s="1"/>
  <c r="Q96" i="40" s="1"/>
  <c r="F96" i="40"/>
  <c r="P72" i="40" a="1"/>
  <c r="P72" i="40" s="1"/>
  <c r="P97" i="40" s="1"/>
  <c r="E97" i="40"/>
  <c r="M75" i="40" a="1"/>
  <c r="M75" i="40" s="1"/>
  <c r="M98" i="40" s="1"/>
  <c r="B98" i="40"/>
  <c r="Q75" i="40" a="1"/>
  <c r="Q75" i="40" s="1"/>
  <c r="Q98" i="40" s="1"/>
  <c r="F98" i="40"/>
  <c r="O79" i="40" a="1"/>
  <c r="O79" i="40" s="1"/>
  <c r="O99" i="40" s="1"/>
  <c r="D99" i="40"/>
  <c r="P82" i="40" a="1"/>
  <c r="P82" i="40" s="1"/>
  <c r="P100" i="40" s="1"/>
  <c r="E100" i="40"/>
  <c r="C93" i="40"/>
  <c r="M44" i="40" a="1"/>
  <c r="M44" i="40" s="1"/>
  <c r="M87" i="40" s="1"/>
  <c r="B87" i="40"/>
  <c r="Q44" i="40" a="1"/>
  <c r="Q44" i="40" s="1"/>
  <c r="Q87" i="40" s="1"/>
  <c r="F87" i="40"/>
  <c r="N47" i="40" a="1"/>
  <c r="N47" i="40" s="1"/>
  <c r="N88" i="40" s="1"/>
  <c r="C88" i="40"/>
  <c r="O62" i="40" a="1"/>
  <c r="O62" i="40" s="1"/>
  <c r="O92" i="40" s="1"/>
  <c r="D92" i="40"/>
  <c r="P65" i="40" a="1"/>
  <c r="P65" i="40" s="1"/>
  <c r="E101" i="40"/>
  <c r="N67" i="40" a="1"/>
  <c r="N67" i="40" s="1"/>
  <c r="N96" i="40" s="1"/>
  <c r="C96" i="40"/>
  <c r="M72" i="40" a="1"/>
  <c r="M72" i="40" s="1"/>
  <c r="M97" i="40" s="1"/>
  <c r="B97" i="40"/>
  <c r="Q72" i="40" a="1"/>
  <c r="Q72" i="40" s="1"/>
  <c r="Q97" i="40" s="1"/>
  <c r="F97" i="40"/>
  <c r="N75" i="40" a="1"/>
  <c r="N75" i="40" s="1"/>
  <c r="N98" i="40" s="1"/>
  <c r="C98" i="40"/>
  <c r="P79" i="40" a="1"/>
  <c r="P79" i="40" s="1"/>
  <c r="P99" i="40" s="1"/>
  <c r="E99" i="40"/>
  <c r="M82" i="40" a="1"/>
  <c r="M82" i="40" s="1"/>
  <c r="M100" i="40" s="1"/>
  <c r="B100" i="40"/>
  <c r="Q82" i="40" a="1"/>
  <c r="Q82" i="40" s="1"/>
  <c r="Q100" i="40" s="1"/>
  <c r="F100" i="40"/>
  <c r="Q41" i="40" a="1"/>
  <c r="Q41" i="40" s="1"/>
  <c r="U41" i="42" a="1"/>
  <c r="U41" i="42" s="1"/>
  <c r="P41" i="40" a="1"/>
  <c r="P41" i="40" s="1"/>
  <c r="M41" i="40" a="1"/>
  <c r="M41" i="40" s="1"/>
  <c r="O41" i="40" a="1"/>
  <c r="O41" i="40" s="1"/>
  <c r="N41" i="40" a="1"/>
  <c r="N41" i="40" s="1"/>
  <c r="W76" i="46" a="1"/>
  <c r="W76" i="46" s="1"/>
  <c r="U71" i="43" a="1"/>
  <c r="U71" i="43" s="1"/>
  <c r="U97" i="43" s="1"/>
  <c r="U81" i="43" a="1"/>
  <c r="U81" i="43" s="1"/>
  <c r="U100" i="43" s="1"/>
  <c r="K100" i="43"/>
  <c r="W79" i="47" a="1"/>
  <c r="W79" i="47" s="1"/>
  <c r="W44" i="47" a="1"/>
  <c r="W44" i="47" s="1"/>
  <c r="W58" i="47" a="1"/>
  <c r="W58" i="47" s="1"/>
  <c r="W49" i="46" a="1"/>
  <c r="W49" i="46" s="1"/>
  <c r="W95" i="46" s="1"/>
  <c r="T495" i="28" s="1"/>
  <c r="J101" i="45"/>
  <c r="U41" i="45" a="1"/>
  <c r="U41" i="45" s="1"/>
  <c r="K76" i="44"/>
  <c r="U47" i="44" a="1"/>
  <c r="U47" i="44" s="1"/>
  <c r="U76" i="44" s="1"/>
  <c r="J47" i="57"/>
  <c r="AF47" i="57" s="1" a="1"/>
  <c r="AF47" i="57" s="1"/>
  <c r="U44" i="44" a="1"/>
  <c r="U44" i="44" s="1"/>
  <c r="U73" i="44" s="1"/>
  <c r="V52" i="42" a="1"/>
  <c r="V52" i="42" s="1"/>
  <c r="J105" i="44"/>
  <c r="F101" i="44"/>
  <c r="L120" i="46"/>
  <c r="AE79" i="57" a="1"/>
  <c r="AE79" i="57" s="1"/>
  <c r="AE132" i="57" s="1"/>
  <c r="T132" i="57" s="1"/>
  <c r="C31" i="59"/>
  <c r="N31" i="59" s="1"/>
  <c r="D48" i="59"/>
  <c r="O48" i="59" s="1"/>
  <c r="B71" i="57"/>
  <c r="B56" i="59"/>
  <c r="M56" i="59" s="1"/>
  <c r="C67" i="59"/>
  <c r="F70" i="59"/>
  <c r="Q70" i="59" s="1"/>
  <c r="D72" i="59"/>
  <c r="O72" i="59" s="1"/>
  <c r="B91" i="57"/>
  <c r="J361" i="28" s="1"/>
  <c r="B76" i="59"/>
  <c r="M76" i="59" s="1"/>
  <c r="E77" i="59"/>
  <c r="P77" i="59" s="1"/>
  <c r="C79" i="59"/>
  <c r="N79" i="59" s="1"/>
  <c r="F80" i="59"/>
  <c r="D82" i="59"/>
  <c r="O82" i="59" s="1"/>
  <c r="B93" i="59"/>
  <c r="E94" i="59"/>
  <c r="C96" i="59"/>
  <c r="F97" i="59"/>
  <c r="D99" i="59"/>
  <c r="B101" i="59"/>
  <c r="C104" i="59"/>
  <c r="K304" i="28" s="1"/>
  <c r="F105" i="59"/>
  <c r="D107" i="59"/>
  <c r="B109" i="59"/>
  <c r="E110" i="59"/>
  <c r="L74" i="59"/>
  <c r="E17" i="59"/>
  <c r="F49" i="57"/>
  <c r="AB49" i="57" s="1" a="1"/>
  <c r="AB49" i="57" s="1"/>
  <c r="F34" i="59"/>
  <c r="Q34" i="59" s="1"/>
  <c r="E57" i="59"/>
  <c r="P57" i="59" s="1"/>
  <c r="E102" i="59"/>
  <c r="F17" i="59"/>
  <c r="D31" i="59"/>
  <c r="O31" i="59" s="1"/>
  <c r="B60" i="57"/>
  <c r="B45" i="59"/>
  <c r="E48" i="59"/>
  <c r="P48" i="59" s="1"/>
  <c r="C56" i="59"/>
  <c r="N56" i="59" s="1"/>
  <c r="F57" i="59"/>
  <c r="Q57" i="59" s="1"/>
  <c r="D67" i="59"/>
  <c r="B84" i="57"/>
  <c r="B69" i="59"/>
  <c r="M69" i="59" s="1"/>
  <c r="E72" i="59"/>
  <c r="P72" i="59" s="1"/>
  <c r="C76" i="59"/>
  <c r="N76" i="59" s="1"/>
  <c r="F92" i="57"/>
  <c r="F77" i="59"/>
  <c r="Q77" i="59" s="1"/>
  <c r="D79" i="59"/>
  <c r="O79" i="59" s="1"/>
  <c r="B96" i="57"/>
  <c r="B81" i="59"/>
  <c r="M81" i="59" s="1"/>
  <c r="E82" i="59"/>
  <c r="P82" i="59" s="1"/>
  <c r="C93" i="59"/>
  <c r="F94" i="59"/>
  <c r="D96" i="59"/>
  <c r="B98" i="59"/>
  <c r="E99" i="59"/>
  <c r="C101" i="59"/>
  <c r="F102" i="59"/>
  <c r="D104" i="59"/>
  <c r="L304" i="28" s="1"/>
  <c r="B106" i="59"/>
  <c r="E107" i="59"/>
  <c r="C109" i="59"/>
  <c r="F110" i="59"/>
  <c r="K66" i="57"/>
  <c r="AG66" i="57" s="1" a="1"/>
  <c r="AG66" i="57" s="1"/>
  <c r="K51" i="59"/>
  <c r="V51" i="59" s="1"/>
  <c r="J79" i="57"/>
  <c r="J132" i="57" s="1"/>
  <c r="J64" i="59"/>
  <c r="B29" i="59"/>
  <c r="E31" i="59"/>
  <c r="P31" i="59" s="1"/>
  <c r="C45" i="59"/>
  <c r="F48" i="59"/>
  <c r="Q48" i="59" s="1"/>
  <c r="D56" i="59"/>
  <c r="O56" i="59" s="1"/>
  <c r="B73" i="57"/>
  <c r="X73" i="57" s="1" a="1"/>
  <c r="X73" i="57" s="1"/>
  <c r="B58" i="59"/>
  <c r="M58" i="59" s="1"/>
  <c r="E67" i="59"/>
  <c r="C69" i="59"/>
  <c r="N69" i="59" s="1"/>
  <c r="F72" i="59"/>
  <c r="Q72" i="59" s="1"/>
  <c r="D76" i="59"/>
  <c r="O76" i="59" s="1"/>
  <c r="B93" i="57"/>
  <c r="B78" i="59"/>
  <c r="M78" i="59" s="1"/>
  <c r="E79" i="59"/>
  <c r="P79" i="59" s="1"/>
  <c r="C81" i="59"/>
  <c r="N81" i="59" s="1"/>
  <c r="F82" i="59"/>
  <c r="Q82" i="59" s="1"/>
  <c r="D93" i="59"/>
  <c r="B95" i="59"/>
  <c r="E96" i="59"/>
  <c r="C98" i="59"/>
  <c r="F99" i="59"/>
  <c r="D101" i="59"/>
  <c r="B103" i="59"/>
  <c r="J303" i="28" s="1"/>
  <c r="E104" i="59"/>
  <c r="M304" i="28" s="1"/>
  <c r="C106" i="59"/>
  <c r="F107" i="59"/>
  <c r="D109" i="59"/>
  <c r="J106" i="45"/>
  <c r="L83" i="57"/>
  <c r="T358" i="28" s="1"/>
  <c r="L68" i="59"/>
  <c r="W68" i="59" s="1"/>
  <c r="J32" i="59"/>
  <c r="U32" i="59" s="1"/>
  <c r="C29" i="59"/>
  <c r="F46" i="57"/>
  <c r="AB46" i="57" s="1" a="1"/>
  <c r="AB46" i="57" s="1"/>
  <c r="F31" i="59"/>
  <c r="Q31" i="59" s="1"/>
  <c r="D45" i="59"/>
  <c r="B67" i="57"/>
  <c r="X67" i="57" s="1" a="1"/>
  <c r="X67" i="57" s="1"/>
  <c r="B52" i="59"/>
  <c r="M52" i="59" s="1"/>
  <c r="E56" i="59"/>
  <c r="P56" i="59" s="1"/>
  <c r="C58" i="59"/>
  <c r="N58" i="59" s="1"/>
  <c r="F67" i="59"/>
  <c r="D69" i="59"/>
  <c r="O69" i="59" s="1"/>
  <c r="B90" i="57"/>
  <c r="J360" i="28" s="1"/>
  <c r="B75" i="59"/>
  <c r="E76" i="59"/>
  <c r="P76" i="59" s="1"/>
  <c r="C78" i="59"/>
  <c r="N78" i="59" s="1"/>
  <c r="F79" i="59"/>
  <c r="Q79" i="59" s="1"/>
  <c r="D81" i="59"/>
  <c r="O81" i="59" s="1"/>
  <c r="B92" i="59"/>
  <c r="E93" i="59"/>
  <c r="C95" i="59"/>
  <c r="F96" i="59"/>
  <c r="D98" i="59"/>
  <c r="B100" i="59"/>
  <c r="E101" i="59"/>
  <c r="C103" i="59"/>
  <c r="K303" i="28" s="1"/>
  <c r="F104" i="59"/>
  <c r="D106" i="59"/>
  <c r="B108" i="59"/>
  <c r="J305" i="28" s="1"/>
  <c r="E109" i="59"/>
  <c r="L125" i="46"/>
  <c r="D29" i="59"/>
  <c r="B49" i="57"/>
  <c r="X49" i="57" s="1" a="1"/>
  <c r="X49" i="57" s="1"/>
  <c r="B34" i="59"/>
  <c r="M34" i="59" s="1"/>
  <c r="C52" i="59"/>
  <c r="N52" i="59" s="1"/>
  <c r="D58" i="59"/>
  <c r="O58" i="59" s="1"/>
  <c r="E69" i="59"/>
  <c r="P69" i="59" s="1"/>
  <c r="D78" i="59"/>
  <c r="O78" i="59" s="1"/>
  <c r="C92" i="59"/>
  <c r="E98" i="59"/>
  <c r="B105" i="59"/>
  <c r="L98" i="57"/>
  <c r="L83" i="59"/>
  <c r="W83" i="59" s="1"/>
  <c r="E29" i="59"/>
  <c r="F45" i="59"/>
  <c r="B72" i="57"/>
  <c r="X72" i="57" s="1" a="1"/>
  <c r="X72" i="57" s="1"/>
  <c r="B57" i="59"/>
  <c r="M57" i="59" s="1"/>
  <c r="C70" i="59"/>
  <c r="N70" i="59" s="1"/>
  <c r="D75" i="59"/>
  <c r="E78" i="59"/>
  <c r="P78" i="59" s="1"/>
  <c r="F81" i="59"/>
  <c r="Q81" i="59" s="1"/>
  <c r="B94" i="59"/>
  <c r="C97" i="59"/>
  <c r="D100" i="59"/>
  <c r="E103" i="59"/>
  <c r="M303" i="28" s="1"/>
  <c r="F106" i="59"/>
  <c r="B110" i="59"/>
  <c r="E45" i="59"/>
  <c r="F56" i="59"/>
  <c r="Q56" i="59" s="1"/>
  <c r="B85" i="57"/>
  <c r="B70" i="59"/>
  <c r="M70" i="59" s="1"/>
  <c r="C75" i="59"/>
  <c r="F91" i="57"/>
  <c r="N361" i="28" s="1"/>
  <c r="F76" i="59"/>
  <c r="Q76" i="59" s="1"/>
  <c r="B95" i="57"/>
  <c r="B80" i="59"/>
  <c r="E81" i="59"/>
  <c r="P81" i="59" s="1"/>
  <c r="F93" i="59"/>
  <c r="D95" i="59"/>
  <c r="B97" i="59"/>
  <c r="C100" i="59"/>
  <c r="F101" i="59"/>
  <c r="D103" i="59"/>
  <c r="L303" i="28" s="1"/>
  <c r="E106" i="59"/>
  <c r="C108" i="59"/>
  <c r="K305" i="28" s="1"/>
  <c r="F109" i="59"/>
  <c r="C34" i="59"/>
  <c r="N34" i="59" s="1"/>
  <c r="D52" i="59"/>
  <c r="O52" i="59" s="1"/>
  <c r="E58" i="59"/>
  <c r="P58" i="59" s="1"/>
  <c r="F69" i="59"/>
  <c r="Q69" i="59" s="1"/>
  <c r="B92" i="57"/>
  <c r="B77" i="59"/>
  <c r="M77" i="59" s="1"/>
  <c r="C80" i="59"/>
  <c r="D92" i="59"/>
  <c r="E95" i="59"/>
  <c r="F98" i="59"/>
  <c r="B102" i="59"/>
  <c r="C105" i="59"/>
  <c r="D108" i="59"/>
  <c r="L305" i="28" s="1"/>
  <c r="J71" i="59"/>
  <c r="U71" i="59" s="1"/>
  <c r="C17" i="59"/>
  <c r="F29" i="59"/>
  <c r="D34" i="59"/>
  <c r="O34" i="59" s="1"/>
  <c r="B63" i="57"/>
  <c r="X63" i="57" s="1" a="1"/>
  <c r="X63" i="57" s="1"/>
  <c r="B48" i="59"/>
  <c r="M48" i="59" s="1"/>
  <c r="E52" i="59"/>
  <c r="P52" i="59" s="1"/>
  <c r="C57" i="59"/>
  <c r="N57" i="59" s="1"/>
  <c r="F58" i="59"/>
  <c r="Q58" i="59" s="1"/>
  <c r="D70" i="59"/>
  <c r="O70" i="59" s="1"/>
  <c r="B87" i="57"/>
  <c r="B72" i="59"/>
  <c r="M72" i="59" s="1"/>
  <c r="E75" i="59"/>
  <c r="C77" i="59"/>
  <c r="N77" i="59" s="1"/>
  <c r="F78" i="59"/>
  <c r="Q78" i="59" s="1"/>
  <c r="D80" i="59"/>
  <c r="B97" i="57"/>
  <c r="B82" i="59"/>
  <c r="M82" i="59" s="1"/>
  <c r="E92" i="59"/>
  <c r="C94" i="59"/>
  <c r="F95" i="59"/>
  <c r="D97" i="59"/>
  <c r="B99" i="59"/>
  <c r="E100" i="59"/>
  <c r="C102" i="59"/>
  <c r="F103" i="59"/>
  <c r="D105" i="59"/>
  <c r="B107" i="59"/>
  <c r="E108" i="59"/>
  <c r="M305" i="28" s="1"/>
  <c r="C110" i="59"/>
  <c r="J49" i="59"/>
  <c r="U49" i="59" s="1"/>
  <c r="K65" i="57"/>
  <c r="K50" i="59"/>
  <c r="V50" i="59" s="1"/>
  <c r="L62" i="59"/>
  <c r="D17" i="59"/>
  <c r="B46" i="57"/>
  <c r="X46" i="57" s="1" a="1"/>
  <c r="X46" i="57" s="1"/>
  <c r="B31" i="59"/>
  <c r="M31" i="59" s="1"/>
  <c r="E34" i="59"/>
  <c r="P34" i="59" s="1"/>
  <c r="C48" i="59"/>
  <c r="N48" i="59" s="1"/>
  <c r="F67" i="57"/>
  <c r="AB67" i="57" s="1" a="1"/>
  <c r="AB67" i="57" s="1"/>
  <c r="F52" i="59"/>
  <c r="Q52" i="59" s="1"/>
  <c r="D57" i="59"/>
  <c r="O57" i="59" s="1"/>
  <c r="B82" i="57"/>
  <c r="B67" i="59"/>
  <c r="E70" i="59"/>
  <c r="P70" i="59" s="1"/>
  <c r="C72" i="59"/>
  <c r="N72" i="59" s="1"/>
  <c r="F90" i="57"/>
  <c r="N360" i="28" s="1"/>
  <c r="F75" i="59"/>
  <c r="D77" i="59"/>
  <c r="O77" i="59" s="1"/>
  <c r="B94" i="57"/>
  <c r="B79" i="59"/>
  <c r="M79" i="59" s="1"/>
  <c r="E80" i="59"/>
  <c r="C82" i="59"/>
  <c r="N82" i="59" s="1"/>
  <c r="F92" i="59"/>
  <c r="D94" i="59"/>
  <c r="B96" i="59"/>
  <c r="E97" i="59"/>
  <c r="C99" i="59"/>
  <c r="F100" i="59"/>
  <c r="D102" i="59"/>
  <c r="B104" i="59"/>
  <c r="J304" i="28" s="1"/>
  <c r="E105" i="59"/>
  <c r="C107" i="59"/>
  <c r="F108" i="59"/>
  <c r="N305" i="28" s="1"/>
  <c r="D110" i="59"/>
  <c r="J118" i="43"/>
  <c r="J68" i="57"/>
  <c r="J53" i="59"/>
  <c r="U53" i="59" s="1"/>
  <c r="J113" i="43"/>
  <c r="B17" i="59"/>
  <c r="B135" i="59" s="1"/>
  <c r="B136" i="59" s="1"/>
  <c r="AE86" i="57" a="1"/>
  <c r="AE86" i="57" s="1"/>
  <c r="AG89" i="57" a="1"/>
  <c r="AG89" i="57" s="1"/>
  <c r="H126" i="46"/>
  <c r="G127" i="46"/>
  <c r="I126" i="48"/>
  <c r="H127" i="48"/>
  <c r="L90" i="47"/>
  <c r="J100" i="44"/>
  <c r="D117" i="40"/>
  <c r="L114" i="47"/>
  <c r="D108" i="45"/>
  <c r="E107" i="45"/>
  <c r="F107" i="44"/>
  <c r="G106" i="44"/>
  <c r="G119" i="43"/>
  <c r="F120" i="43"/>
  <c r="I122" i="48"/>
  <c r="J121" i="48"/>
  <c r="H102" i="45"/>
  <c r="G103" i="45"/>
  <c r="F114" i="42"/>
  <c r="E115" i="42"/>
  <c r="F117" i="40"/>
  <c r="F110" i="42"/>
  <c r="B117" i="40"/>
  <c r="B118" i="40" s="1"/>
  <c r="D112" i="40"/>
  <c r="D32" i="57"/>
  <c r="E32" i="57"/>
  <c r="E112" i="40"/>
  <c r="C117" i="40"/>
  <c r="B112" i="40"/>
  <c r="B113" i="40" s="1"/>
  <c r="F32" i="57"/>
  <c r="F112" i="40"/>
  <c r="C32" i="57"/>
  <c r="C112" i="40"/>
  <c r="E117" i="40"/>
  <c r="B32" i="57"/>
  <c r="J114" i="50"/>
  <c r="I115" i="50"/>
  <c r="J120" i="49"/>
  <c r="I121" i="49"/>
  <c r="L89" i="57"/>
  <c r="G115" i="47"/>
  <c r="F116" i="47"/>
  <c r="L90" i="46"/>
  <c r="I121" i="46"/>
  <c r="H122" i="46"/>
  <c r="F102" i="44"/>
  <c r="G101" i="44"/>
  <c r="J70" i="44"/>
  <c r="J83" i="43"/>
  <c r="F114" i="43"/>
  <c r="E115" i="43"/>
  <c r="H109" i="42"/>
  <c r="G110" i="42"/>
  <c r="B44" i="57"/>
  <c r="D44" i="57"/>
  <c r="E46" i="57"/>
  <c r="F118" i="57"/>
  <c r="R249" i="28" s="1"/>
  <c r="E44" i="57"/>
  <c r="C92" i="57"/>
  <c r="N182" i="57" s="1"/>
  <c r="D93" i="57"/>
  <c r="O183" i="57" s="1"/>
  <c r="E94" i="57"/>
  <c r="P184" i="57" s="1"/>
  <c r="F95" i="57"/>
  <c r="Q185" i="57" s="1"/>
  <c r="F122" i="57"/>
  <c r="C125" i="57"/>
  <c r="C146" i="57" s="1"/>
  <c r="J64" i="57"/>
  <c r="AF64" i="57" s="1" a="1"/>
  <c r="AF64" i="57" s="1"/>
  <c r="L77" i="57"/>
  <c r="V47" i="43" a="1"/>
  <c r="V47" i="43" s="1"/>
  <c r="V69" i="44" a="1"/>
  <c r="V69" i="44" s="1"/>
  <c r="C67" i="57"/>
  <c r="D71" i="57"/>
  <c r="E72" i="57"/>
  <c r="F73" i="57"/>
  <c r="C94" i="57"/>
  <c r="N184" i="57" s="1"/>
  <c r="D95" i="57"/>
  <c r="O185" i="57" s="1"/>
  <c r="E96" i="57"/>
  <c r="P186" i="57" s="1"/>
  <c r="F97" i="57"/>
  <c r="Q187" i="57" s="1"/>
  <c r="C85" i="57"/>
  <c r="D84" i="57"/>
  <c r="E87" i="57"/>
  <c r="C82" i="57"/>
  <c r="D85" i="57"/>
  <c r="E84" i="57"/>
  <c r="F87" i="57"/>
  <c r="C73" i="57"/>
  <c r="D82" i="57"/>
  <c r="E85" i="57"/>
  <c r="F84" i="57"/>
  <c r="C91" i="57"/>
  <c r="D92" i="57"/>
  <c r="O182" i="57" s="1"/>
  <c r="E93" i="57"/>
  <c r="P183" i="57" s="1"/>
  <c r="F94" i="57"/>
  <c r="Q184" i="57" s="1"/>
  <c r="C97" i="57"/>
  <c r="N187" i="57" s="1"/>
  <c r="C124" i="57"/>
  <c r="C145" i="57" s="1"/>
  <c r="D125" i="57"/>
  <c r="D146" i="57" s="1"/>
  <c r="J86" i="57"/>
  <c r="U176" i="57" s="1"/>
  <c r="C93" i="57"/>
  <c r="N183" i="57" s="1"/>
  <c r="D94" i="57"/>
  <c r="O184" i="57" s="1"/>
  <c r="E95" i="57"/>
  <c r="P185" i="57" s="1"/>
  <c r="F96" i="57"/>
  <c r="Q186" i="57" s="1"/>
  <c r="F44" i="57"/>
  <c r="C49" i="57"/>
  <c r="D60" i="57"/>
  <c r="E63" i="57"/>
  <c r="C72" i="57"/>
  <c r="D73" i="57"/>
  <c r="E82" i="57"/>
  <c r="F85" i="57"/>
  <c r="C90" i="57"/>
  <c r="D91" i="57"/>
  <c r="E92" i="57"/>
  <c r="P182" i="57" s="1"/>
  <c r="F93" i="57"/>
  <c r="Q183" i="57" s="1"/>
  <c r="C96" i="57"/>
  <c r="N186" i="57" s="1"/>
  <c r="D97" i="57"/>
  <c r="O187" i="57" s="1"/>
  <c r="C123" i="57"/>
  <c r="D124" i="57"/>
  <c r="D145" i="57" s="1"/>
  <c r="E125" i="57"/>
  <c r="E146" i="57" s="1"/>
  <c r="C84" i="57"/>
  <c r="D87" i="57"/>
  <c r="E90" i="57"/>
  <c r="C63" i="57"/>
  <c r="D67" i="57"/>
  <c r="E71" i="57"/>
  <c r="F72" i="57"/>
  <c r="C60" i="57"/>
  <c r="D63" i="57"/>
  <c r="E67" i="57"/>
  <c r="F71" i="57"/>
  <c r="C46" i="57"/>
  <c r="D49" i="57"/>
  <c r="E60" i="57"/>
  <c r="F63" i="57"/>
  <c r="C44" i="57"/>
  <c r="D46" i="57"/>
  <c r="E49" i="57"/>
  <c r="F60" i="57"/>
  <c r="C71" i="57"/>
  <c r="D72" i="57"/>
  <c r="E73" i="57"/>
  <c r="F82" i="57"/>
  <c r="C87" i="57"/>
  <c r="D90" i="57"/>
  <c r="E91" i="57"/>
  <c r="C95" i="57"/>
  <c r="N185" i="57" s="1"/>
  <c r="D96" i="57"/>
  <c r="O186" i="57" s="1"/>
  <c r="E97" i="57"/>
  <c r="P187" i="57" s="1"/>
  <c r="F119" i="57"/>
  <c r="R251" i="28" s="1"/>
  <c r="C122" i="57"/>
  <c r="D123" i="57"/>
  <c r="E124" i="57"/>
  <c r="E145" i="57" s="1"/>
  <c r="F125" i="57"/>
  <c r="F146" i="57" s="1"/>
  <c r="D122" i="57"/>
  <c r="E123" i="57"/>
  <c r="F124" i="57"/>
  <c r="F145" i="57" s="1"/>
  <c r="F117" i="57"/>
  <c r="E122" i="57"/>
  <c r="F123" i="57"/>
  <c r="W56" i="45" a="1"/>
  <c r="W56" i="45" s="1"/>
  <c r="V61" i="45" a="1"/>
  <c r="V61" i="45" s="1"/>
  <c r="V63" i="45" a="1"/>
  <c r="V63" i="45" s="1"/>
  <c r="W53" i="45" a="1"/>
  <c r="W53" i="45" s="1"/>
  <c r="W48" i="45" a="1"/>
  <c r="W48" i="45" s="1"/>
  <c r="V57" i="45" a="1"/>
  <c r="V57" i="45" s="1"/>
  <c r="L79" i="45"/>
  <c r="J71" i="45"/>
  <c r="K81" i="45"/>
  <c r="V64" i="45" a="1"/>
  <c r="V64" i="45" s="1"/>
  <c r="V60" i="45" a="1"/>
  <c r="V60" i="45" s="1"/>
  <c r="V67" i="45" a="1"/>
  <c r="V67" i="45" s="1"/>
  <c r="V70" i="45" a="1"/>
  <c r="V70" i="45" s="1"/>
  <c r="V65" i="45" a="1"/>
  <c r="V65" i="45" s="1"/>
  <c r="W49" i="45" a="1"/>
  <c r="W49" i="45" s="1"/>
  <c r="W55" i="45" a="1"/>
  <c r="W55" i="45" s="1"/>
  <c r="W46" i="45" a="1"/>
  <c r="W46" i="45" s="1"/>
  <c r="V68" i="45" a="1"/>
  <c r="V68" i="45" s="1"/>
  <c r="L75" i="45"/>
  <c r="K85" i="44"/>
  <c r="K74" i="44"/>
  <c r="K86" i="44"/>
  <c r="V64" i="44" a="1"/>
  <c r="V64" i="44" s="1"/>
  <c r="V56" i="44" a="1"/>
  <c r="V56" i="44" s="1"/>
  <c r="L76" i="44"/>
  <c r="W54" i="44" a="1"/>
  <c r="W54" i="44" s="1"/>
  <c r="K73" i="44"/>
  <c r="W52" i="44" a="1"/>
  <c r="W52" i="44" s="1"/>
  <c r="W66" i="44" a="1"/>
  <c r="W66" i="44" s="1"/>
  <c r="W63" i="44" a="1"/>
  <c r="W63" i="44" s="1"/>
  <c r="W67" i="44" a="1"/>
  <c r="W67" i="44" s="1"/>
  <c r="V60" i="44" a="1"/>
  <c r="V60" i="44" s="1"/>
  <c r="K78" i="44"/>
  <c r="W59" i="44" a="1"/>
  <c r="W59" i="44" s="1"/>
  <c r="W55" i="44" a="1"/>
  <c r="W55" i="44" s="1"/>
  <c r="V69" i="43" a="1"/>
  <c r="V69" i="43" s="1"/>
  <c r="V45" i="43" a="1"/>
  <c r="V45" i="43" s="1"/>
  <c r="W67" i="43" a="1"/>
  <c r="W67" i="43" s="1"/>
  <c r="W51" i="43" a="1"/>
  <c r="W51" i="43" s="1"/>
  <c r="V72" i="43" a="1"/>
  <c r="V72" i="43" s="1"/>
  <c r="V73" i="43" a="1"/>
  <c r="V73" i="43" s="1"/>
  <c r="W65" i="43" a="1"/>
  <c r="W65" i="43" s="1"/>
  <c r="V68" i="43" a="1"/>
  <c r="V68" i="43" s="1"/>
  <c r="V79" i="43" a="1"/>
  <c r="V79" i="43" s="1"/>
  <c r="W63" i="43" a="1"/>
  <c r="W63" i="43" s="1"/>
  <c r="V80" i="43" a="1"/>
  <c r="V80" i="43" s="1"/>
  <c r="W59" i="43" a="1"/>
  <c r="W59" i="43" s="1"/>
  <c r="V70" i="43" a="1"/>
  <c r="V70" i="43" s="1"/>
  <c r="V54" i="43" a="1"/>
  <c r="V54" i="43" s="1"/>
  <c r="W55" i="43" a="1"/>
  <c r="W55" i="43" s="1"/>
  <c r="V77" i="43" a="1"/>
  <c r="V77" i="43" s="1"/>
  <c r="V75" i="43" a="1"/>
  <c r="V75" i="43" s="1"/>
  <c r="V52" i="43" a="1"/>
  <c r="V52" i="43" s="1"/>
  <c r="W49" i="43" a="1"/>
  <c r="W49" i="43" s="1"/>
  <c r="W60" i="43" a="1"/>
  <c r="W60" i="43" s="1"/>
  <c r="W58" i="43" a="1"/>
  <c r="W58" i="43" s="1"/>
  <c r="W62" i="43" a="1"/>
  <c r="W62" i="43" s="1"/>
  <c r="V50" i="43" a="1"/>
  <c r="V50" i="43" s="1"/>
  <c r="W66" i="42" a="1"/>
  <c r="W66" i="42" s="1"/>
  <c r="K92" i="42"/>
  <c r="V63" i="42" a="1"/>
  <c r="V63" i="42" s="1"/>
  <c r="V62" i="42" a="1"/>
  <c r="V62" i="42" s="1"/>
  <c r="V74" i="42" a="1"/>
  <c r="V74" i="42" s="1"/>
  <c r="V53" i="42" a="1"/>
  <c r="V53" i="42" s="1"/>
  <c r="W49" i="42" a="1"/>
  <c r="W49" i="42" s="1"/>
  <c r="V48" i="42" a="1"/>
  <c r="V48" i="42" s="1"/>
  <c r="V64" i="42" a="1"/>
  <c r="V64" i="42" s="1"/>
  <c r="W54" i="42" a="1"/>
  <c r="W54" i="42" s="1"/>
  <c r="V67" i="42" a="1"/>
  <c r="V67" i="42" s="1"/>
  <c r="V59" i="42" a="1"/>
  <c r="V59" i="42" s="1"/>
  <c r="W71" i="42" a="1"/>
  <c r="W71" i="42" s="1"/>
  <c r="W56" i="42" a="1"/>
  <c r="W56" i="42" s="1"/>
  <c r="V76" i="42" a="1"/>
  <c r="V76" i="42" s="1"/>
  <c r="V61" i="42" a="1"/>
  <c r="V61" i="42" s="1"/>
  <c r="V57" i="42" a="1"/>
  <c r="V57" i="42" s="1"/>
  <c r="J77" i="42"/>
  <c r="W52" i="42" a="1"/>
  <c r="W52" i="42" s="1"/>
  <c r="W69" i="42" a="1"/>
  <c r="W69" i="42" s="1"/>
  <c r="R45" i="40" a="1"/>
  <c r="R45" i="40" s="1"/>
  <c r="R49" i="40" a="1"/>
  <c r="R49" i="40" s="1"/>
  <c r="R46" i="40" a="1"/>
  <c r="R46" i="40" s="1"/>
  <c r="R58" i="40" a="1"/>
  <c r="R58" i="40" s="1"/>
  <c r="R59" i="40" a="1"/>
  <c r="R59" i="40" s="1"/>
  <c r="R50" i="40" a="1"/>
  <c r="R50" i="40" s="1"/>
  <c r="R60" i="40" a="1"/>
  <c r="R60" i="40" s="1"/>
  <c r="R63" i="40" a="1"/>
  <c r="R63" i="40" s="1"/>
  <c r="R66" i="40" a="1"/>
  <c r="R66" i="40" s="1"/>
  <c r="R73" i="40" a="1"/>
  <c r="R73" i="40" s="1"/>
  <c r="R76" i="40" a="1"/>
  <c r="R76" i="40" s="1"/>
  <c r="R48" i="40" a="1"/>
  <c r="R48" i="40" s="1"/>
  <c r="R51" i="40" a="1"/>
  <c r="R51" i="40" s="1"/>
  <c r="R54" i="40" a="1"/>
  <c r="R54" i="40" s="1"/>
  <c r="R64" i="40" a="1"/>
  <c r="R64" i="40" s="1"/>
  <c r="R70" i="40" a="1"/>
  <c r="R70" i="40" s="1"/>
  <c r="R77" i="40" a="1"/>
  <c r="R77" i="40" s="1"/>
  <c r="R80" i="40" a="1"/>
  <c r="R80" i="40" s="1"/>
  <c r="R83" i="40" a="1"/>
  <c r="R83" i="40" s="1"/>
  <c r="R52" i="40" a="1"/>
  <c r="R52" i="40" s="1"/>
  <c r="R55" i="40" a="1"/>
  <c r="R55" i="40" s="1"/>
  <c r="R61" i="40" a="1"/>
  <c r="R61" i="40" s="1"/>
  <c r="R68" i="40" a="1"/>
  <c r="R68" i="40" s="1"/>
  <c r="R71" i="40" a="1"/>
  <c r="R71" i="40" s="1"/>
  <c r="R74" i="40" a="1"/>
  <c r="R74" i="40" s="1"/>
  <c r="R81" i="40" a="1"/>
  <c r="R81" i="40" s="1"/>
  <c r="R56" i="40" a="1"/>
  <c r="R56" i="40" s="1"/>
  <c r="R69" i="40" a="1"/>
  <c r="R69" i="40" s="1"/>
  <c r="R78" i="40" a="1"/>
  <c r="R78" i="40" s="1"/>
  <c r="D135" i="59" l="1"/>
  <c r="E140" i="59"/>
  <c r="D140" i="59"/>
  <c r="F140" i="59"/>
  <c r="C135" i="59"/>
  <c r="C136" i="59" s="1"/>
  <c r="C140" i="59"/>
  <c r="B140" i="59"/>
  <c r="B141" i="59" s="1"/>
  <c r="F135" i="59"/>
  <c r="E135" i="59"/>
  <c r="F130" i="59"/>
  <c r="N323" i="28" s="1"/>
  <c r="V76" i="43" a="1"/>
  <c r="V76" i="43" s="1"/>
  <c r="W250" i="28"/>
  <c r="P181" i="57"/>
  <c r="M361" i="28"/>
  <c r="N180" i="57"/>
  <c r="K360" i="28"/>
  <c r="N181" i="57"/>
  <c r="K361" i="28"/>
  <c r="O180" i="57"/>
  <c r="L360" i="28"/>
  <c r="P180" i="57"/>
  <c r="M360" i="28"/>
  <c r="O181" i="57"/>
  <c r="L361" i="28"/>
  <c r="R500" i="28"/>
  <c r="W62" i="44" a="1"/>
  <c r="W62" i="44" s="1"/>
  <c r="X248" i="28"/>
  <c r="W179" i="57"/>
  <c r="T359" i="28"/>
  <c r="C127" i="59"/>
  <c r="K320" i="28" s="1"/>
  <c r="B127" i="59"/>
  <c r="J320" i="28" s="1"/>
  <c r="S484" i="28"/>
  <c r="S453" i="28"/>
  <c r="Q103" i="59"/>
  <c r="N303" i="28"/>
  <c r="T451" i="28"/>
  <c r="T482" i="28"/>
  <c r="T499" i="28"/>
  <c r="S464" i="28"/>
  <c r="S469" i="28" s="1"/>
  <c r="S495" i="28"/>
  <c r="T467" i="28"/>
  <c r="T498" i="28"/>
  <c r="T468" i="28"/>
  <c r="S497" i="28"/>
  <c r="T481" i="28"/>
  <c r="T448" i="28"/>
  <c r="T479" i="28"/>
  <c r="Q104" i="59"/>
  <c r="N304" i="28"/>
  <c r="T452" i="28"/>
  <c r="T483" i="28"/>
  <c r="T496" i="28"/>
  <c r="P404" i="28"/>
  <c r="D128" i="59"/>
  <c r="L321" i="28" s="1"/>
  <c r="C126" i="59"/>
  <c r="C128" i="59"/>
  <c r="K321" i="28" s="1"/>
  <c r="E130" i="59"/>
  <c r="M323" i="28" s="1"/>
  <c r="T450" i="28"/>
  <c r="V114" i="46"/>
  <c r="R418" i="28"/>
  <c r="W114" i="48"/>
  <c r="W116" i="48" s="1"/>
  <c r="W114" i="49"/>
  <c r="W116" i="49" s="1"/>
  <c r="D126" i="59"/>
  <c r="U81" i="45"/>
  <c r="U95" i="45" s="1"/>
  <c r="T464" i="28"/>
  <c r="B123" i="59"/>
  <c r="I374" i="28" s="1"/>
  <c r="I377" i="28" s="1"/>
  <c r="F131" i="59"/>
  <c r="W62" i="59"/>
  <c r="C123" i="59"/>
  <c r="J374" i="28" s="1"/>
  <c r="J377" i="28" s="1"/>
  <c r="B128" i="59"/>
  <c r="J321" i="28" s="1"/>
  <c r="N80" i="59"/>
  <c r="N122" i="59" s="1"/>
  <c r="C122" i="59"/>
  <c r="C131" i="59"/>
  <c r="B131" i="59"/>
  <c r="Q67" i="59"/>
  <c r="Q120" i="59" s="1"/>
  <c r="F120" i="59"/>
  <c r="N29" i="59"/>
  <c r="N117" i="59" s="1"/>
  <c r="C117" i="59"/>
  <c r="P67" i="59"/>
  <c r="P120" i="59" s="1"/>
  <c r="E120" i="59"/>
  <c r="B129" i="59"/>
  <c r="J322" i="28" s="1"/>
  <c r="E127" i="59"/>
  <c r="M320" i="28" s="1"/>
  <c r="D127" i="59"/>
  <c r="L320" i="28" s="1"/>
  <c r="P75" i="59"/>
  <c r="P121" i="59" s="1"/>
  <c r="E121" i="59"/>
  <c r="E129" i="59"/>
  <c r="M322" i="28" s="1"/>
  <c r="M80" i="59"/>
  <c r="M122" i="59" s="1"/>
  <c r="B122" i="59"/>
  <c r="N75" i="59"/>
  <c r="N121" i="59" s="1"/>
  <c r="C121" i="59"/>
  <c r="P45" i="59"/>
  <c r="P118" i="59" s="1"/>
  <c r="E118" i="59"/>
  <c r="M75" i="59"/>
  <c r="M121" i="59" s="1"/>
  <c r="B121" i="59"/>
  <c r="O45" i="59"/>
  <c r="O118" i="59" s="1"/>
  <c r="D118" i="59"/>
  <c r="D130" i="59"/>
  <c r="L323" i="28" s="1"/>
  <c r="N45" i="59"/>
  <c r="N118" i="59" s="1"/>
  <c r="C118" i="59"/>
  <c r="U64" i="59"/>
  <c r="U119" i="59" s="1"/>
  <c r="J119" i="59"/>
  <c r="W74" i="59"/>
  <c r="N67" i="59"/>
  <c r="N120" i="59" s="1"/>
  <c r="C120" i="59"/>
  <c r="P80" i="59"/>
  <c r="P122" i="59" s="1"/>
  <c r="E122" i="59"/>
  <c r="Q75" i="59"/>
  <c r="Q121" i="59" s="1"/>
  <c r="F121" i="59"/>
  <c r="M67" i="59"/>
  <c r="M120" i="59" s="1"/>
  <c r="B120" i="59"/>
  <c r="O80" i="59"/>
  <c r="O122" i="59" s="1"/>
  <c r="D122" i="59"/>
  <c r="O75" i="59"/>
  <c r="O121" i="59" s="1"/>
  <c r="D121" i="59"/>
  <c r="Q45" i="59"/>
  <c r="Q118" i="59" s="1"/>
  <c r="F118" i="59"/>
  <c r="C130" i="59"/>
  <c r="K323" i="28" s="1"/>
  <c r="Q102" i="59"/>
  <c r="F128" i="59"/>
  <c r="N321" i="28" s="1"/>
  <c r="F123" i="59"/>
  <c r="M374" i="28" s="1"/>
  <c r="M377" i="28" s="1"/>
  <c r="Q80" i="59"/>
  <c r="Q122" i="59" s="1"/>
  <c r="F122" i="59"/>
  <c r="D123" i="59"/>
  <c r="K374" i="28" s="1"/>
  <c r="K377" i="28" s="1"/>
  <c r="E131" i="59"/>
  <c r="Q29" i="59"/>
  <c r="Q117" i="59" s="1"/>
  <c r="F117" i="59"/>
  <c r="D131" i="59"/>
  <c r="F129" i="59"/>
  <c r="N322" i="28" s="1"/>
  <c r="B126" i="59"/>
  <c r="P29" i="59"/>
  <c r="P117" i="59" s="1"/>
  <c r="E117" i="59"/>
  <c r="O29" i="59"/>
  <c r="O117" i="59" s="1"/>
  <c r="D117" i="59"/>
  <c r="D129" i="59"/>
  <c r="L322" i="28" s="1"/>
  <c r="C129" i="59"/>
  <c r="K322" i="28" s="1"/>
  <c r="F127" i="59"/>
  <c r="N320" i="28" s="1"/>
  <c r="M29" i="59"/>
  <c r="M117" i="59" s="1"/>
  <c r="B117" i="59"/>
  <c r="F126" i="59"/>
  <c r="O67" i="59"/>
  <c r="O120" i="59" s="1"/>
  <c r="D120" i="59"/>
  <c r="M45" i="59"/>
  <c r="M118" i="59" s="1"/>
  <c r="B118" i="59"/>
  <c r="E128" i="59"/>
  <c r="M321" i="28" s="1"/>
  <c r="E123" i="59"/>
  <c r="L374" i="28" s="1"/>
  <c r="L377" i="28" s="1"/>
  <c r="B130" i="59"/>
  <c r="J323" i="28" s="1"/>
  <c r="E126" i="59"/>
  <c r="K85" i="42"/>
  <c r="M17" i="59"/>
  <c r="B112" i="59"/>
  <c r="F113" i="59"/>
  <c r="N17" i="59"/>
  <c r="C112" i="59"/>
  <c r="C113" i="59"/>
  <c r="B113" i="59"/>
  <c r="Q17" i="59"/>
  <c r="F112" i="59"/>
  <c r="O17" i="59"/>
  <c r="D112" i="59"/>
  <c r="E113" i="59"/>
  <c r="D113" i="59"/>
  <c r="P17" i="59"/>
  <c r="E112" i="59"/>
  <c r="T109" i="43"/>
  <c r="V116" i="46"/>
  <c r="Q100" i="59"/>
  <c r="N110" i="59"/>
  <c r="Q95" i="59"/>
  <c r="N100" i="59"/>
  <c r="M94" i="59"/>
  <c r="M100" i="59"/>
  <c r="P104" i="59"/>
  <c r="M98" i="59"/>
  <c r="P110" i="59"/>
  <c r="P94" i="59"/>
  <c r="N99" i="59"/>
  <c r="P108" i="59"/>
  <c r="N94" i="59"/>
  <c r="O108" i="59"/>
  <c r="M97" i="59"/>
  <c r="M103" i="59"/>
  <c r="Q110" i="59"/>
  <c r="M109" i="59"/>
  <c r="M93" i="59"/>
  <c r="P97" i="59"/>
  <c r="M107" i="59"/>
  <c r="P92" i="59"/>
  <c r="N105" i="59"/>
  <c r="M105" i="59"/>
  <c r="O98" i="59"/>
  <c r="N109" i="59"/>
  <c r="O96" i="59"/>
  <c r="O107" i="59"/>
  <c r="O110" i="59"/>
  <c r="M96" i="59"/>
  <c r="O105" i="59"/>
  <c r="M102" i="59"/>
  <c r="O95" i="59"/>
  <c r="Q96" i="59"/>
  <c r="O101" i="59"/>
  <c r="P107" i="59"/>
  <c r="Q94" i="59"/>
  <c r="P102" i="59"/>
  <c r="Q105" i="59"/>
  <c r="F128" i="53"/>
  <c r="Q108" i="59"/>
  <c r="Q93" i="59"/>
  <c r="P98" i="59"/>
  <c r="P109" i="59"/>
  <c r="N95" i="59"/>
  <c r="Q99" i="59"/>
  <c r="M106" i="59"/>
  <c r="N93" i="59"/>
  <c r="N104" i="59"/>
  <c r="N107" i="59"/>
  <c r="O94" i="59"/>
  <c r="N102" i="59"/>
  <c r="Q98" i="59"/>
  <c r="Q109" i="59"/>
  <c r="M110" i="59"/>
  <c r="N92" i="59"/>
  <c r="M108" i="59"/>
  <c r="P93" i="59"/>
  <c r="N98" i="59"/>
  <c r="M101" i="59"/>
  <c r="T95" i="44"/>
  <c r="P105" i="59"/>
  <c r="Q92" i="59"/>
  <c r="P100" i="59"/>
  <c r="P95" i="59"/>
  <c r="N108" i="59"/>
  <c r="Q106" i="59"/>
  <c r="F129" i="53"/>
  <c r="O106" i="59"/>
  <c r="D129" i="53"/>
  <c r="M92" i="59"/>
  <c r="P96" i="59"/>
  <c r="O104" i="59"/>
  <c r="T103" i="42"/>
  <c r="M104" i="59"/>
  <c r="M99" i="59"/>
  <c r="O92" i="59"/>
  <c r="P106" i="59"/>
  <c r="E129" i="53"/>
  <c r="P103" i="59"/>
  <c r="O109" i="59"/>
  <c r="M95" i="59"/>
  <c r="O99" i="59"/>
  <c r="O103" i="59"/>
  <c r="O100" i="59"/>
  <c r="N103" i="59"/>
  <c r="Q107" i="59"/>
  <c r="N101" i="59"/>
  <c r="Q97" i="59"/>
  <c r="O102" i="59"/>
  <c r="O97" i="59"/>
  <c r="Q101" i="59"/>
  <c r="N97" i="59"/>
  <c r="P101" i="59"/>
  <c r="N106" i="59"/>
  <c r="C129" i="53"/>
  <c r="O93" i="59"/>
  <c r="P99" i="59"/>
  <c r="N96" i="59"/>
  <c r="K108" i="42"/>
  <c r="W104" i="47"/>
  <c r="K86" i="42"/>
  <c r="U88" i="43"/>
  <c r="K85" i="45"/>
  <c r="K94" i="42"/>
  <c r="K93" i="42"/>
  <c r="O172" i="57"/>
  <c r="AF68" i="57" a="1"/>
  <c r="AF68" i="57" s="1"/>
  <c r="Q177" i="57"/>
  <c r="K83" i="42"/>
  <c r="K91" i="42"/>
  <c r="L76" i="45"/>
  <c r="P174" i="57"/>
  <c r="X60" i="57" a="1"/>
  <c r="X60" i="57" s="1"/>
  <c r="U83" i="42"/>
  <c r="K84" i="42"/>
  <c r="N177" i="57"/>
  <c r="O175" i="57"/>
  <c r="Q172" i="57"/>
  <c r="K81" i="42"/>
  <c r="K90" i="42"/>
  <c r="Q175" i="57"/>
  <c r="N172" i="57"/>
  <c r="S32" i="75"/>
  <c r="K113" i="42"/>
  <c r="P172" i="57"/>
  <c r="P177" i="57"/>
  <c r="O174" i="57"/>
  <c r="M172" i="57"/>
  <c r="X71" i="57" a="1"/>
  <c r="X71" i="57" s="1"/>
  <c r="K82" i="42"/>
  <c r="O177" i="57"/>
  <c r="Q174" i="57"/>
  <c r="N175" i="57"/>
  <c r="AG65" i="57" a="1"/>
  <c r="AG65" i="57" s="1"/>
  <c r="N174" i="57"/>
  <c r="P175" i="57"/>
  <c r="W103" i="46"/>
  <c r="W97" i="47"/>
  <c r="T466" i="28" s="1"/>
  <c r="W94" i="47"/>
  <c r="T494" i="28" s="1"/>
  <c r="W100" i="47"/>
  <c r="T95" i="45"/>
  <c r="T97" i="45" s="1"/>
  <c r="W100" i="46"/>
  <c r="U82" i="42"/>
  <c r="V91" i="43"/>
  <c r="W108" i="47"/>
  <c r="U84" i="42"/>
  <c r="W108" i="46"/>
  <c r="W115" i="46" s="1"/>
  <c r="V78" i="43" a="1"/>
  <c r="V78" i="43" s="1"/>
  <c r="V99" i="43" s="1"/>
  <c r="K99" i="43"/>
  <c r="K88" i="43"/>
  <c r="L78" i="45"/>
  <c r="V96" i="43"/>
  <c r="V87" i="43"/>
  <c r="K93" i="43"/>
  <c r="K98" i="43"/>
  <c r="W54" i="45" a="1"/>
  <c r="W54" i="45" s="1"/>
  <c r="T96" i="42"/>
  <c r="V82" i="43" a="1"/>
  <c r="V82" i="43" s="1"/>
  <c r="U89" i="45"/>
  <c r="U96" i="45" s="1"/>
  <c r="W41" i="43" a="1"/>
  <c r="W41" i="43" s="1"/>
  <c r="K97" i="43"/>
  <c r="V90" i="43"/>
  <c r="U101" i="43"/>
  <c r="U108" i="43" s="1"/>
  <c r="K101" i="43"/>
  <c r="K96" i="43"/>
  <c r="K86" i="45"/>
  <c r="K87" i="43"/>
  <c r="K90" i="43"/>
  <c r="L91" i="43"/>
  <c r="L92" i="43"/>
  <c r="K87" i="45"/>
  <c r="K88" i="45"/>
  <c r="U93" i="43"/>
  <c r="U107" i="43" s="1"/>
  <c r="K89" i="45"/>
  <c r="K84" i="45"/>
  <c r="X95" i="57" a="1"/>
  <c r="X95" i="57" s="1"/>
  <c r="M185" i="57"/>
  <c r="X91" i="57" a="1"/>
  <c r="X91" i="57" s="1"/>
  <c r="M181" i="57"/>
  <c r="AB90" i="57" a="1"/>
  <c r="AB90" i="57" s="1"/>
  <c r="Q180" i="57"/>
  <c r="X97" i="57" a="1"/>
  <c r="X97" i="57" s="1"/>
  <c r="M187" i="57"/>
  <c r="X85" i="57" a="1"/>
  <c r="X85" i="57" s="1"/>
  <c r="M175" i="57"/>
  <c r="AH98" i="57" a="1"/>
  <c r="AH98" i="57" s="1"/>
  <c r="W188" i="57"/>
  <c r="X90" i="57" a="1"/>
  <c r="X90" i="57" s="1"/>
  <c r="M180" i="57"/>
  <c r="X93" i="57" a="1"/>
  <c r="X93" i="57" s="1"/>
  <c r="M183" i="57"/>
  <c r="AB92" i="57" a="1"/>
  <c r="AB92" i="57" s="1"/>
  <c r="Q182" i="57"/>
  <c r="X84" i="57" a="1"/>
  <c r="X84" i="57" s="1"/>
  <c r="M174" i="57"/>
  <c r="X94" i="57" a="1"/>
  <c r="X94" i="57" s="1"/>
  <c r="M184" i="57"/>
  <c r="AB91" i="57" a="1"/>
  <c r="AB91" i="57" s="1"/>
  <c r="Q181" i="57"/>
  <c r="AH83" i="57" a="1"/>
  <c r="AH83" i="57" s="1"/>
  <c r="W173" i="57"/>
  <c r="X96" i="57" a="1"/>
  <c r="X96" i="57" s="1"/>
  <c r="M186" i="57"/>
  <c r="X87" i="57" a="1"/>
  <c r="X87" i="57" s="1"/>
  <c r="M177" i="57"/>
  <c r="X92" i="57" a="1"/>
  <c r="X92" i="57" s="1"/>
  <c r="M182" i="57"/>
  <c r="K79" i="44"/>
  <c r="K82" i="44"/>
  <c r="K87" i="44"/>
  <c r="U87" i="44"/>
  <c r="U94" i="44" s="1"/>
  <c r="V82" i="44"/>
  <c r="W53" i="44" a="1"/>
  <c r="W53" i="44" s="1"/>
  <c r="V83" i="44"/>
  <c r="K84" i="44"/>
  <c r="K83" i="44"/>
  <c r="U79" i="44"/>
  <c r="U93" i="44" s="1"/>
  <c r="W90" i="47"/>
  <c r="W90" i="46"/>
  <c r="W52" i="45" a="1"/>
  <c r="W52" i="45" s="1"/>
  <c r="V66" i="45" a="1"/>
  <c r="V66" i="45" s="1"/>
  <c r="V87" i="45" s="1"/>
  <c r="W45" i="45" a="1"/>
  <c r="W45" i="45" s="1"/>
  <c r="W76" i="45" s="1"/>
  <c r="V69" i="45" a="1"/>
  <c r="V69" i="45" s="1"/>
  <c r="V88" i="45" s="1"/>
  <c r="W44" i="45" a="1"/>
  <c r="W44" i="45" s="1"/>
  <c r="W75" i="45" s="1"/>
  <c r="W47" i="45" a="1"/>
  <c r="W47" i="45" s="1"/>
  <c r="W78" i="45" s="1"/>
  <c r="V59" i="45" a="1"/>
  <c r="V59" i="45" s="1"/>
  <c r="V85" i="45" s="1"/>
  <c r="V62" i="45" a="1"/>
  <c r="V62" i="45" s="1"/>
  <c r="V86" i="45" s="1"/>
  <c r="W50" i="45" a="1"/>
  <c r="W50" i="45" s="1"/>
  <c r="W79" i="45" s="1"/>
  <c r="V58" i="45" a="1"/>
  <c r="V58" i="45" s="1"/>
  <c r="V84" i="45" s="1"/>
  <c r="U71" i="45"/>
  <c r="V45" i="44" a="1"/>
  <c r="V45" i="44" s="1"/>
  <c r="V74" i="44" s="1"/>
  <c r="W49" i="44" a="1"/>
  <c r="W49" i="44" s="1"/>
  <c r="V65" i="44" a="1"/>
  <c r="V65" i="44" s="1"/>
  <c r="V85" i="44" s="1"/>
  <c r="W47" i="44" a="1"/>
  <c r="W47" i="44" s="1"/>
  <c r="W76" i="44" s="1"/>
  <c r="V68" i="44" a="1"/>
  <c r="V68" i="44" s="1"/>
  <c r="V86" i="44" s="1"/>
  <c r="V47" i="44" a="1"/>
  <c r="V47" i="44" s="1"/>
  <c r="V76" i="44" s="1"/>
  <c r="U70" i="44"/>
  <c r="V50" i="44" a="1"/>
  <c r="V50" i="44" s="1"/>
  <c r="V78" i="44" s="1"/>
  <c r="W41" i="44" a="1"/>
  <c r="W41" i="44" s="1"/>
  <c r="W58" i="44" a="1"/>
  <c r="W58" i="44" s="1"/>
  <c r="V61" i="44" a="1"/>
  <c r="V61" i="44" s="1"/>
  <c r="V84" i="44" s="1"/>
  <c r="W57" i="43" a="1"/>
  <c r="W57" i="43" s="1"/>
  <c r="W53" i="43" a="1"/>
  <c r="W53" i="43" s="1"/>
  <c r="W64" i="43" a="1"/>
  <c r="W64" i="43" s="1"/>
  <c r="V74" i="43" a="1"/>
  <c r="V74" i="43" s="1"/>
  <c r="V98" i="43" s="1"/>
  <c r="W66" i="43" a="1"/>
  <c r="W66" i="43" s="1"/>
  <c r="V46" i="43" a="1"/>
  <c r="V46" i="43" s="1"/>
  <c r="W56" i="43" a="1"/>
  <c r="W56" i="43" s="1"/>
  <c r="W61" i="43" a="1"/>
  <c r="W61" i="43" s="1"/>
  <c r="W92" i="43" s="1"/>
  <c r="W44" i="43" a="1"/>
  <c r="W44" i="43" s="1"/>
  <c r="V48" i="43" a="1"/>
  <c r="V48" i="43" s="1"/>
  <c r="U83" i="43"/>
  <c r="V60" i="42" a="1"/>
  <c r="V60" i="42" s="1"/>
  <c r="V90" i="42" s="1"/>
  <c r="W47" i="42" a="1"/>
  <c r="W47" i="42" s="1"/>
  <c r="V73" i="42" a="1"/>
  <c r="V73" i="42" s="1"/>
  <c r="V93" i="42" s="1"/>
  <c r="V68" i="42" a="1"/>
  <c r="V68" i="42" s="1"/>
  <c r="U87" i="42"/>
  <c r="U101" i="42" s="1"/>
  <c r="U77" i="42"/>
  <c r="V51" i="42" a="1"/>
  <c r="V51" i="42" s="1"/>
  <c r="V85" i="42" s="1"/>
  <c r="V44" i="42" a="1"/>
  <c r="V44" i="42" s="1"/>
  <c r="V81" i="42" s="1"/>
  <c r="V65" i="42" a="1"/>
  <c r="V65" i="42" s="1"/>
  <c r="V91" i="42" s="1"/>
  <c r="W45" i="42" a="1"/>
  <c r="W45" i="42" s="1"/>
  <c r="W41" i="42" a="1"/>
  <c r="W41" i="42" s="1"/>
  <c r="V55" i="42" a="1"/>
  <c r="V55" i="42" s="1"/>
  <c r="V86" i="42" s="1"/>
  <c r="V46" i="42" a="1"/>
  <c r="V46" i="42" s="1"/>
  <c r="V58" i="42" a="1"/>
  <c r="V58" i="42" s="1"/>
  <c r="K95" i="42"/>
  <c r="V75" i="42" a="1"/>
  <c r="V75" i="42" s="1"/>
  <c r="V94" i="42" s="1"/>
  <c r="V41" i="42" a="1"/>
  <c r="V41" i="42" s="1"/>
  <c r="K87" i="42"/>
  <c r="V70" i="42" a="1"/>
  <c r="V70" i="42" s="1"/>
  <c r="J96" i="42"/>
  <c r="U95" i="42"/>
  <c r="U102" i="42" s="1"/>
  <c r="E102" i="40"/>
  <c r="N101" i="40"/>
  <c r="N107" i="40" s="1"/>
  <c r="M101" i="40"/>
  <c r="M107" i="40" s="1"/>
  <c r="R62" i="40" a="1"/>
  <c r="R62" i="40" s="1"/>
  <c r="R92" i="40" s="1"/>
  <c r="G92" i="40"/>
  <c r="R82" i="40" a="1"/>
  <c r="R82" i="40" s="1"/>
  <c r="R100" i="40" s="1"/>
  <c r="G100" i="40"/>
  <c r="R75" i="40" a="1"/>
  <c r="R75" i="40" s="1"/>
  <c r="R98" i="40" s="1"/>
  <c r="G98" i="40"/>
  <c r="R79" i="40" a="1"/>
  <c r="R79" i="40" s="1"/>
  <c r="R99" i="40" s="1"/>
  <c r="G99" i="40"/>
  <c r="R47" i="40" a="1"/>
  <c r="R47" i="40" s="1"/>
  <c r="R88" i="40" s="1"/>
  <c r="G88" i="40"/>
  <c r="N93" i="40"/>
  <c r="N84" i="40"/>
  <c r="M84" i="40"/>
  <c r="M93" i="40"/>
  <c r="P93" i="40"/>
  <c r="P84" i="40"/>
  <c r="Q84" i="40"/>
  <c r="Q93" i="40"/>
  <c r="P101" i="40"/>
  <c r="P107" i="40" s="1"/>
  <c r="D102" i="40"/>
  <c r="F102" i="40"/>
  <c r="O101" i="40"/>
  <c r="O107" i="40" s="1"/>
  <c r="Q101" i="40"/>
  <c r="Q107" i="40" s="1"/>
  <c r="R72" i="40" a="1"/>
  <c r="R72" i="40" s="1"/>
  <c r="R97" i="40" s="1"/>
  <c r="G97" i="40"/>
  <c r="R65" i="40" a="1"/>
  <c r="R65" i="40" s="1"/>
  <c r="G101" i="40"/>
  <c r="G93" i="40"/>
  <c r="R44" i="40" a="1"/>
  <c r="R44" i="40" s="1"/>
  <c r="R87" i="40" s="1"/>
  <c r="G87" i="40"/>
  <c r="R57" i="40" a="1"/>
  <c r="R57" i="40" s="1"/>
  <c r="R91" i="40" s="1"/>
  <c r="G91" i="40"/>
  <c r="R67" i="40" a="1"/>
  <c r="R67" i="40" s="1"/>
  <c r="R96" i="40" s="1"/>
  <c r="G96" i="40"/>
  <c r="R53" i="40" a="1"/>
  <c r="R53" i="40" s="1"/>
  <c r="R90" i="40" s="1"/>
  <c r="G90" i="40"/>
  <c r="O93" i="40"/>
  <c r="O84" i="40"/>
  <c r="C102" i="40"/>
  <c r="B102" i="40"/>
  <c r="B159" i="57"/>
  <c r="B160" i="57" s="1"/>
  <c r="C159" i="57"/>
  <c r="F159" i="57"/>
  <c r="E159" i="57"/>
  <c r="D159" i="57"/>
  <c r="R41" i="40" a="1"/>
  <c r="R41" i="40" s="1"/>
  <c r="V81" i="43" a="1"/>
  <c r="V81" i="43" s="1"/>
  <c r="V71" i="43" a="1"/>
  <c r="V71" i="43" s="1"/>
  <c r="V97" i="43" s="1"/>
  <c r="F129" i="57"/>
  <c r="K101" i="45"/>
  <c r="V41" i="45" a="1"/>
  <c r="V41" i="45" s="1"/>
  <c r="K32" i="59"/>
  <c r="V32" i="59" s="1"/>
  <c r="V44" i="44" a="1"/>
  <c r="V44" i="44" s="1"/>
  <c r="V73" i="44" s="1"/>
  <c r="W51" i="44" a="1"/>
  <c r="W51" i="44" s="1"/>
  <c r="E144" i="57"/>
  <c r="D144" i="57"/>
  <c r="E133" i="57"/>
  <c r="F144" i="57"/>
  <c r="AF79" i="57" a="1"/>
  <c r="AF79" i="57" s="1"/>
  <c r="AF132" i="57" s="1"/>
  <c r="U132" i="57" s="1"/>
  <c r="K106" i="45"/>
  <c r="B135" i="57"/>
  <c r="C144" i="57"/>
  <c r="C131" i="57"/>
  <c r="B133" i="57"/>
  <c r="X82" i="57" a="1"/>
  <c r="X82" i="57" s="1"/>
  <c r="B134" i="57"/>
  <c r="C134" i="57"/>
  <c r="B131" i="57"/>
  <c r="E134" i="57"/>
  <c r="F134" i="57"/>
  <c r="G95" i="57"/>
  <c r="G80" i="59"/>
  <c r="G94" i="57"/>
  <c r="G79" i="59"/>
  <c r="R79" i="59" s="1"/>
  <c r="G119" i="57"/>
  <c r="G104" i="59"/>
  <c r="G93" i="57"/>
  <c r="G78" i="59"/>
  <c r="R78" i="59" s="1"/>
  <c r="G76" i="59"/>
  <c r="R76" i="59" s="1"/>
  <c r="G123" i="57"/>
  <c r="AC123" i="57" s="1" a="1"/>
  <c r="AC123" i="57" s="1"/>
  <c r="G108" i="59"/>
  <c r="G17" i="59"/>
  <c r="G97" i="57"/>
  <c r="G82" i="59"/>
  <c r="R82" i="59" s="1"/>
  <c r="G106" i="59"/>
  <c r="G60" i="57"/>
  <c r="G45" i="59"/>
  <c r="G46" i="57"/>
  <c r="AC46" i="57" s="1" a="1"/>
  <c r="AC46" i="57" s="1"/>
  <c r="G31" i="59"/>
  <c r="R31" i="59" s="1"/>
  <c r="L66" i="57"/>
  <c r="AH66" i="57" s="1" a="1"/>
  <c r="AH66" i="57" s="1"/>
  <c r="L51" i="59"/>
  <c r="W51" i="59" s="1"/>
  <c r="K105" i="44"/>
  <c r="G118" i="57"/>
  <c r="G103" i="59"/>
  <c r="G117" i="57"/>
  <c r="AC117" i="57" s="1" a="1"/>
  <c r="AC117" i="57" s="1"/>
  <c r="G102" i="59"/>
  <c r="G98" i="59"/>
  <c r="R98" i="59" s="1"/>
  <c r="G72" i="57"/>
  <c r="AC72" i="57" s="1" a="1"/>
  <c r="AC72" i="57" s="1"/>
  <c r="G57" i="59"/>
  <c r="R57" i="59" s="1"/>
  <c r="G100" i="59"/>
  <c r="R100" i="59" s="1"/>
  <c r="G92" i="57"/>
  <c r="G77" i="59"/>
  <c r="R77" i="59" s="1"/>
  <c r="K49" i="59"/>
  <c r="V49" i="59" s="1"/>
  <c r="K118" i="43"/>
  <c r="K113" i="43"/>
  <c r="K100" i="44"/>
  <c r="G105" i="59"/>
  <c r="R105" i="59" s="1"/>
  <c r="G85" i="57"/>
  <c r="G70" i="59"/>
  <c r="R70" i="59" s="1"/>
  <c r="G95" i="59"/>
  <c r="R95" i="59" s="1"/>
  <c r="G93" i="59"/>
  <c r="R93" i="59" s="1"/>
  <c r="G96" i="59"/>
  <c r="R96" i="59" s="1"/>
  <c r="G92" i="59"/>
  <c r="G122" i="57"/>
  <c r="G107" i="59"/>
  <c r="R107" i="59" s="1"/>
  <c r="G96" i="57"/>
  <c r="G81" i="59"/>
  <c r="R81" i="59" s="1"/>
  <c r="K79" i="57"/>
  <c r="K132" i="57" s="1"/>
  <c r="K64" i="59"/>
  <c r="K53" i="59"/>
  <c r="V53" i="59" s="1"/>
  <c r="L65" i="57"/>
  <c r="L50" i="59"/>
  <c r="W50" i="59" s="1"/>
  <c r="G101" i="59"/>
  <c r="R101" i="59" s="1"/>
  <c r="G44" i="57"/>
  <c r="AC44" i="57" s="1" a="1"/>
  <c r="AC44" i="57" s="1"/>
  <c r="G29" i="59"/>
  <c r="G34" i="59"/>
  <c r="R34" i="59" s="1"/>
  <c r="G99" i="59"/>
  <c r="G125" i="57"/>
  <c r="G110" i="59"/>
  <c r="R110" i="59" s="1"/>
  <c r="G63" i="57"/>
  <c r="AC63" i="57" s="1" a="1"/>
  <c r="AC63" i="57" s="1"/>
  <c r="G48" i="59"/>
  <c r="R48" i="59" s="1"/>
  <c r="G87" i="57"/>
  <c r="G72" i="59"/>
  <c r="R72" i="59" s="1"/>
  <c r="G84" i="57"/>
  <c r="G69" i="59"/>
  <c r="R69" i="59" s="1"/>
  <c r="G97" i="59"/>
  <c r="R97" i="59" s="1"/>
  <c r="G82" i="57"/>
  <c r="G67" i="59"/>
  <c r="G90" i="57"/>
  <c r="O360" i="28" s="1"/>
  <c r="G75" i="59"/>
  <c r="K71" i="59"/>
  <c r="V71" i="59" s="1"/>
  <c r="G73" i="57"/>
  <c r="AC73" i="57" s="1" a="1"/>
  <c r="AC73" i="57" s="1"/>
  <c r="G58" i="59"/>
  <c r="R58" i="59" s="1"/>
  <c r="G94" i="59"/>
  <c r="G124" i="57"/>
  <c r="G109" i="59"/>
  <c r="G71" i="57"/>
  <c r="G56" i="59"/>
  <c r="R56" i="59" s="1"/>
  <c r="G67" i="57"/>
  <c r="AC67" i="57" s="1" a="1"/>
  <c r="AC67" i="57" s="1"/>
  <c r="G52" i="59"/>
  <c r="R52" i="59" s="1"/>
  <c r="D131" i="57"/>
  <c r="C133" i="57"/>
  <c r="D135" i="57"/>
  <c r="AB32" i="57" a="1"/>
  <c r="AB32" i="57" s="1"/>
  <c r="F127" i="57"/>
  <c r="F137" i="57"/>
  <c r="AA32" i="57" a="1"/>
  <c r="AA32" i="57" s="1"/>
  <c r="E137" i="57"/>
  <c r="E127" i="57"/>
  <c r="C135" i="57"/>
  <c r="N135" i="57" s="1"/>
  <c r="D134" i="57"/>
  <c r="F133" i="57"/>
  <c r="F131" i="57"/>
  <c r="E135" i="57"/>
  <c r="D129" i="57"/>
  <c r="Z32" i="57" a="1"/>
  <c r="Z32" i="57" s="1"/>
  <c r="D137" i="57"/>
  <c r="D127" i="57"/>
  <c r="D133" i="57"/>
  <c r="F135" i="57"/>
  <c r="E129" i="57"/>
  <c r="Y32" i="57" a="1"/>
  <c r="Y32" i="57" s="1"/>
  <c r="C127" i="57"/>
  <c r="C137" i="57"/>
  <c r="C129" i="57"/>
  <c r="E131" i="57"/>
  <c r="X44" i="57" a="1"/>
  <c r="X44" i="57" s="1"/>
  <c r="X129" i="57" s="1"/>
  <c r="B129" i="57"/>
  <c r="B127" i="57"/>
  <c r="B137" i="57"/>
  <c r="X32" i="57" a="1"/>
  <c r="X32" i="57" s="1"/>
  <c r="AF86" i="57" a="1"/>
  <c r="AF86" i="57" s="1"/>
  <c r="AB72" i="57" a="1"/>
  <c r="AB72" i="57" s="1"/>
  <c r="AA90" i="57" a="1"/>
  <c r="AA90" i="57" s="1"/>
  <c r="Z124" i="57" a="1"/>
  <c r="Z124" i="57" s="1"/>
  <c r="Z145" i="57" s="1"/>
  <c r="O145" i="57" s="1"/>
  <c r="Z97" i="57" a="1"/>
  <c r="Z97" i="57" s="1"/>
  <c r="Z91" i="57" a="1"/>
  <c r="Z91" i="57" s="1"/>
  <c r="Z73" i="57" a="1"/>
  <c r="Z73" i="57" s="1"/>
  <c r="Y49" i="57" a="1"/>
  <c r="Y49" i="57" s="1"/>
  <c r="Z125" i="57" a="1"/>
  <c r="Z125" i="57" s="1"/>
  <c r="Z146" i="57" s="1"/>
  <c r="O146" i="57" s="1"/>
  <c r="Z92" i="57" a="1"/>
  <c r="Z92" i="57" s="1"/>
  <c r="Z82" i="57" a="1"/>
  <c r="Z82" i="57" s="1"/>
  <c r="Z85" i="57" a="1"/>
  <c r="Z85" i="57" s="1"/>
  <c r="Y85" i="57" a="1"/>
  <c r="Y85" i="57" s="1"/>
  <c r="Y94" i="57" a="1"/>
  <c r="Y94" i="57" s="1"/>
  <c r="Y67" i="57" a="1"/>
  <c r="Y67" i="57" s="1"/>
  <c r="Z93" i="57" a="1"/>
  <c r="Z93" i="57" s="1"/>
  <c r="AA95" i="57" a="1"/>
  <c r="AA95" i="57" s="1"/>
  <c r="AH89" i="57" a="1"/>
  <c r="AH89" i="57" s="1"/>
  <c r="AB71" i="57" a="1"/>
  <c r="AB71" i="57" s="1"/>
  <c r="AA123" i="57" a="1"/>
  <c r="AA123" i="57" s="1"/>
  <c r="AB125" i="57" a="1"/>
  <c r="AB125" i="57" s="1"/>
  <c r="AB146" i="57" s="1"/>
  <c r="Q146" i="57" s="1"/>
  <c r="AB119" i="57" a="1"/>
  <c r="AB119" i="57" s="1"/>
  <c r="AA91" i="57" a="1"/>
  <c r="AA91" i="57" s="1"/>
  <c r="AA73" i="57" a="1"/>
  <c r="AA73" i="57" s="1"/>
  <c r="AA49" i="57" a="1"/>
  <c r="AA49" i="57" s="1"/>
  <c r="AA60" i="57" a="1"/>
  <c r="AA60" i="57" s="1"/>
  <c r="Z94" i="57" a="1"/>
  <c r="Z94" i="57" s="1"/>
  <c r="Y95" i="57" a="1"/>
  <c r="Y95" i="57" s="1"/>
  <c r="AB118" i="57" a="1"/>
  <c r="AB118" i="57" s="1"/>
  <c r="AA67" i="57" a="1"/>
  <c r="AA67" i="57" s="1"/>
  <c r="Y123" i="57" a="1"/>
  <c r="Y123" i="57" s="1"/>
  <c r="Y96" i="57" a="1"/>
  <c r="Y96" i="57" s="1"/>
  <c r="Y90" i="57" a="1"/>
  <c r="Y90" i="57" s="1"/>
  <c r="Y72" i="57" a="1"/>
  <c r="Y72" i="57" s="1"/>
  <c r="AB44" i="57" a="1"/>
  <c r="AB44" i="57" s="1"/>
  <c r="AB129" i="57" s="1"/>
  <c r="Q129" i="57" s="1"/>
  <c r="Y124" i="57" a="1"/>
  <c r="Y124" i="57" s="1"/>
  <c r="Y145" i="57" s="1"/>
  <c r="N145" i="57" s="1"/>
  <c r="Y97" i="57" a="1"/>
  <c r="Y97" i="57" s="1"/>
  <c r="Y91" i="57" a="1"/>
  <c r="Y91" i="57" s="1"/>
  <c r="Y73" i="57" a="1"/>
  <c r="Y73" i="57" s="1"/>
  <c r="Y82" i="57" a="1"/>
  <c r="Y82" i="57" s="1"/>
  <c r="AB97" i="57" a="1"/>
  <c r="AB97" i="57" s="1"/>
  <c r="AB73" i="57" a="1"/>
  <c r="AB73" i="57" s="1"/>
  <c r="Y125" i="57" a="1"/>
  <c r="Y125" i="57" s="1"/>
  <c r="Y146" i="57" s="1"/>
  <c r="N146" i="57" s="1"/>
  <c r="Y92" i="57" a="1"/>
  <c r="Y92" i="57" s="1"/>
  <c r="Y122" i="57" a="1"/>
  <c r="Y122" i="57" s="1"/>
  <c r="AB82" i="57" a="1"/>
  <c r="AB82" i="57" s="1"/>
  <c r="AH77" i="57" a="1"/>
  <c r="AH77" i="57" s="1"/>
  <c r="AA71" i="57" a="1"/>
  <c r="AA71" i="57" s="1"/>
  <c r="Z87" i="57" a="1"/>
  <c r="Z87" i="57" s="1"/>
  <c r="Z122" i="57" a="1"/>
  <c r="Z122" i="57" s="1"/>
  <c r="AA124" i="57" a="1"/>
  <c r="AA124" i="57" s="1"/>
  <c r="AA145" i="57" s="1"/>
  <c r="P145" i="57" s="1"/>
  <c r="AA97" i="57" a="1"/>
  <c r="AA97" i="57" s="1"/>
  <c r="Z90" i="57" a="1"/>
  <c r="Z90" i="57" s="1"/>
  <c r="Z72" i="57" a="1"/>
  <c r="Z72" i="57" s="1"/>
  <c r="Z46" i="57" a="1"/>
  <c r="Z46" i="57" s="1"/>
  <c r="Z49" i="57" a="1"/>
  <c r="Z49" i="57" s="1"/>
  <c r="Y93" i="57" a="1"/>
  <c r="Y93" i="57" s="1"/>
  <c r="AB60" i="57" a="1"/>
  <c r="AB60" i="57" s="1"/>
  <c r="AB117" i="57" a="1"/>
  <c r="AB117" i="57" s="1"/>
  <c r="Z67" i="57" a="1"/>
  <c r="Z67" i="57" s="1"/>
  <c r="AB93" i="57" a="1"/>
  <c r="AB93" i="57" s="1"/>
  <c r="AB85" i="57" a="1"/>
  <c r="AB85" i="57" s="1"/>
  <c r="AA63" i="57" a="1"/>
  <c r="AA63" i="57" s="1"/>
  <c r="AB94" i="57" a="1"/>
  <c r="AB94" i="57" s="1"/>
  <c r="AB84" i="57" a="1"/>
  <c r="AB84" i="57" s="1"/>
  <c r="AB87" i="57" a="1"/>
  <c r="AB87" i="57" s="1"/>
  <c r="AA87" i="57" a="1"/>
  <c r="AA87" i="57" s="1"/>
  <c r="AA96" i="57" a="1"/>
  <c r="AA96" i="57" s="1"/>
  <c r="AA72" i="57" a="1"/>
  <c r="AA72" i="57" s="1"/>
  <c r="AB122" i="57" a="1"/>
  <c r="AB122" i="57" s="1"/>
  <c r="AB95" i="57" a="1"/>
  <c r="AB95" i="57" s="1"/>
  <c r="AA44" i="57" a="1"/>
  <c r="AA44" i="57" s="1"/>
  <c r="AB124" i="57" a="1"/>
  <c r="AB124" i="57" s="1"/>
  <c r="AB145" i="57" s="1"/>
  <c r="Q145" i="57" s="1"/>
  <c r="AB63" i="57" a="1"/>
  <c r="AB63" i="57" s="1"/>
  <c r="Z44" i="57" a="1"/>
  <c r="Z44" i="57" s="1"/>
  <c r="AB123" i="57" a="1"/>
  <c r="AB123" i="57" s="1"/>
  <c r="Z63" i="57" a="1"/>
  <c r="Z63" i="57" s="1"/>
  <c r="Y84" i="57" a="1"/>
  <c r="Y84" i="57" s="1"/>
  <c r="Z123" i="57" a="1"/>
  <c r="Z123" i="57" s="1"/>
  <c r="Z96" i="57" a="1"/>
  <c r="Z96" i="57" s="1"/>
  <c r="Y87" i="57" a="1"/>
  <c r="Y87" i="57" s="1"/>
  <c r="Y71" i="57" a="1"/>
  <c r="Y71" i="57" s="1"/>
  <c r="Y44" i="57" a="1"/>
  <c r="Y44" i="57" s="1"/>
  <c r="Y46" i="57" a="1"/>
  <c r="Y46" i="57" s="1"/>
  <c r="AB96" i="57" a="1"/>
  <c r="AB96" i="57" s="1"/>
  <c r="AA46" i="57" a="1"/>
  <c r="AA46" i="57" s="1"/>
  <c r="AA122" i="57" a="1"/>
  <c r="AA122" i="57" s="1"/>
  <c r="Y60" i="57" a="1"/>
  <c r="Y60" i="57" s="1"/>
  <c r="Y63" i="57" a="1"/>
  <c r="Y63" i="57" s="1"/>
  <c r="AA125" i="57" a="1"/>
  <c r="AA125" i="57" s="1"/>
  <c r="AA146" i="57" s="1"/>
  <c r="P146" i="57" s="1"/>
  <c r="AA92" i="57" a="1"/>
  <c r="AA92" i="57" s="1"/>
  <c r="AA82" i="57" a="1"/>
  <c r="AA82" i="57" s="1"/>
  <c r="Z60" i="57" a="1"/>
  <c r="Z60" i="57" s="1"/>
  <c r="AA93" i="57" a="1"/>
  <c r="AA93" i="57" s="1"/>
  <c r="AA85" i="57" a="1"/>
  <c r="AA85" i="57" s="1"/>
  <c r="AA84" i="57" a="1"/>
  <c r="AA84" i="57" s="1"/>
  <c r="Z84" i="57" a="1"/>
  <c r="Z84" i="57" s="1"/>
  <c r="Z95" i="57" a="1"/>
  <c r="Z95" i="57" s="1"/>
  <c r="Z71" i="57" a="1"/>
  <c r="Z71" i="57" s="1"/>
  <c r="AA94" i="57" a="1"/>
  <c r="AA94" i="57" s="1"/>
  <c r="I126" i="46"/>
  <c r="H127" i="46"/>
  <c r="K70" i="44"/>
  <c r="K121" i="48"/>
  <c r="J122" i="48"/>
  <c r="H106" i="44"/>
  <c r="G107" i="44"/>
  <c r="E108" i="45"/>
  <c r="F107" i="45"/>
  <c r="J126" i="48"/>
  <c r="I127" i="48"/>
  <c r="G120" i="43"/>
  <c r="H119" i="43"/>
  <c r="I102" i="45"/>
  <c r="H103" i="45"/>
  <c r="F115" i="42"/>
  <c r="G114" i="42"/>
  <c r="G117" i="40"/>
  <c r="G32" i="57"/>
  <c r="G112" i="40"/>
  <c r="S59" i="40" a="1"/>
  <c r="S59" i="40" s="1"/>
  <c r="J115" i="50"/>
  <c r="K114" i="50"/>
  <c r="J121" i="49"/>
  <c r="K120" i="49"/>
  <c r="H115" i="47"/>
  <c r="G116" i="47"/>
  <c r="J121" i="46"/>
  <c r="I122" i="46"/>
  <c r="G102" i="44"/>
  <c r="H101" i="44"/>
  <c r="K83" i="43"/>
  <c r="F115" i="43"/>
  <c r="G114" i="43"/>
  <c r="I109" i="42"/>
  <c r="H110" i="42"/>
  <c r="S45" i="40" a="1"/>
  <c r="S45" i="40" s="1"/>
  <c r="S49" i="40" a="1"/>
  <c r="S49" i="40" s="1"/>
  <c r="K86" i="57"/>
  <c r="V176" i="57" s="1"/>
  <c r="K64" i="57"/>
  <c r="G49" i="57"/>
  <c r="S58" i="40" a="1"/>
  <c r="S58" i="40" s="1"/>
  <c r="G91" i="57"/>
  <c r="K68" i="57"/>
  <c r="K47" i="57"/>
  <c r="W69" i="44" a="1"/>
  <c r="W69" i="44" s="1"/>
  <c r="W47" i="43" a="1"/>
  <c r="W47" i="43" s="1"/>
  <c r="K71" i="45"/>
  <c r="L81" i="45"/>
  <c r="W68" i="45" a="1"/>
  <c r="W68" i="45" s="1"/>
  <c r="W70" i="45" a="1"/>
  <c r="W70" i="45" s="1"/>
  <c r="W64" i="45" a="1"/>
  <c r="W64" i="45" s="1"/>
  <c r="W61" i="45" a="1"/>
  <c r="W61" i="45" s="1"/>
  <c r="W57" i="45" a="1"/>
  <c r="W57" i="45" s="1"/>
  <c r="W63" i="45" a="1"/>
  <c r="W63" i="45" s="1"/>
  <c r="W65" i="45" a="1"/>
  <c r="W65" i="45" s="1"/>
  <c r="W67" i="45" a="1"/>
  <c r="W67" i="45" s="1"/>
  <c r="W60" i="45" a="1"/>
  <c r="W60" i="45" s="1"/>
  <c r="L85" i="44"/>
  <c r="L74" i="44"/>
  <c r="L78" i="44"/>
  <c r="W60" i="44" a="1"/>
  <c r="W60" i="44" s="1"/>
  <c r="L73" i="44"/>
  <c r="W56" i="44" a="1"/>
  <c r="W56" i="44" s="1"/>
  <c r="W64" i="44" a="1"/>
  <c r="W64" i="44" s="1"/>
  <c r="W69" i="43" a="1"/>
  <c r="W69" i="43" s="1"/>
  <c r="W45" i="43" a="1"/>
  <c r="W45" i="43" s="1"/>
  <c r="W79" i="43" a="1"/>
  <c r="W79" i="43" s="1"/>
  <c r="W50" i="43" a="1"/>
  <c r="W50" i="43" s="1"/>
  <c r="W77" i="43" a="1"/>
  <c r="W77" i="43" s="1"/>
  <c r="W54" i="43" a="1"/>
  <c r="W54" i="43" s="1"/>
  <c r="W70" i="43" a="1"/>
  <c r="W70" i="43" s="1"/>
  <c r="W68" i="43" a="1"/>
  <c r="W68" i="43" s="1"/>
  <c r="W73" i="43" a="1"/>
  <c r="W73" i="43" s="1"/>
  <c r="W72" i="43" a="1"/>
  <c r="W72" i="43" s="1"/>
  <c r="W80" i="43" a="1"/>
  <c r="W80" i="43" s="1"/>
  <c r="W52" i="43" a="1"/>
  <c r="W52" i="43" s="1"/>
  <c r="W75" i="43" a="1"/>
  <c r="W75" i="43" s="1"/>
  <c r="L92" i="42"/>
  <c r="W57" i="42" a="1"/>
  <c r="W57" i="42" s="1"/>
  <c r="W64" i="42" a="1"/>
  <c r="W64" i="42" s="1"/>
  <c r="W53" i="42" a="1"/>
  <c r="W53" i="42" s="1"/>
  <c r="W63" i="42" a="1"/>
  <c r="W63" i="42" s="1"/>
  <c r="W67" i="42" a="1"/>
  <c r="W67" i="42" s="1"/>
  <c r="W62" i="42" a="1"/>
  <c r="W62" i="42" s="1"/>
  <c r="W76" i="42" a="1"/>
  <c r="W76" i="42" s="1"/>
  <c r="K77" i="42"/>
  <c r="W48" i="42" a="1"/>
  <c r="W48" i="42" s="1"/>
  <c r="W74" i="42" a="1"/>
  <c r="W74" i="42" s="1"/>
  <c r="W61" i="42" a="1"/>
  <c r="W61" i="42" s="1"/>
  <c r="W59" i="42" a="1"/>
  <c r="W59" i="42" s="1"/>
  <c r="S78" i="40" a="1"/>
  <c r="S78" i="40" s="1"/>
  <c r="S81" i="40" a="1"/>
  <c r="S81" i="40" s="1"/>
  <c r="S80" i="40" a="1"/>
  <c r="S80" i="40" s="1"/>
  <c r="S48" i="40" a="1"/>
  <c r="S48" i="40" s="1"/>
  <c r="S66" i="40" a="1"/>
  <c r="S66" i="40" s="1"/>
  <c r="S61" i="40" a="1"/>
  <c r="S61" i="40" s="1"/>
  <c r="S64" i="40" a="1"/>
  <c r="S64" i="40" s="1"/>
  <c r="S74" i="40" a="1"/>
  <c r="S74" i="40" s="1"/>
  <c r="S77" i="40" a="1"/>
  <c r="S77" i="40" s="1"/>
  <c r="S50" i="40" a="1"/>
  <c r="S50" i="40" s="1"/>
  <c r="S56" i="40" a="1"/>
  <c r="S56" i="40" s="1"/>
  <c r="S71" i="40" a="1"/>
  <c r="S71" i="40" s="1"/>
  <c r="S55" i="40" a="1"/>
  <c r="S55" i="40" s="1"/>
  <c r="S70" i="40" a="1"/>
  <c r="S70" i="40" s="1"/>
  <c r="S54" i="40" a="1"/>
  <c r="S54" i="40" s="1"/>
  <c r="S76" i="40" a="1"/>
  <c r="S76" i="40" s="1"/>
  <c r="S63" i="40" a="1"/>
  <c r="S63" i="40" s="1"/>
  <c r="S69" i="40" a="1"/>
  <c r="S69" i="40" s="1"/>
  <c r="S68" i="40" a="1"/>
  <c r="S68" i="40" s="1"/>
  <c r="S52" i="40" a="1"/>
  <c r="S52" i="40" s="1"/>
  <c r="S83" i="40" a="1"/>
  <c r="S83" i="40" s="1"/>
  <c r="S51" i="40" a="1"/>
  <c r="S51" i="40" s="1"/>
  <c r="S73" i="40" a="1"/>
  <c r="S73" i="40" s="1"/>
  <c r="S60" i="40" a="1"/>
  <c r="S60" i="40" s="1"/>
  <c r="M140" i="59" l="1"/>
  <c r="J190" i="28"/>
  <c r="D136" i="59"/>
  <c r="C137" i="59"/>
  <c r="J179" i="28" s="1"/>
  <c r="G135" i="59"/>
  <c r="N140" i="59"/>
  <c r="C141" i="59"/>
  <c r="G140" i="59"/>
  <c r="M135" i="59"/>
  <c r="N135" i="59"/>
  <c r="W76" i="43" a="1"/>
  <c r="W76" i="43" s="1"/>
  <c r="X250" i="28"/>
  <c r="R181" i="57"/>
  <c r="O361" i="28"/>
  <c r="AC118" i="57" a="1"/>
  <c r="AC118" i="57" s="1"/>
  <c r="S249" i="28"/>
  <c r="AC119" i="57" a="1"/>
  <c r="AC119" i="57" s="1"/>
  <c r="S251" i="28"/>
  <c r="S500" i="28"/>
  <c r="T484" i="28"/>
  <c r="R104" i="59"/>
  <c r="O304" i="28"/>
  <c r="K319" i="28"/>
  <c r="K324" i="28" s="1"/>
  <c r="T469" i="28"/>
  <c r="L319" i="28"/>
  <c r="L324" i="28" s="1"/>
  <c r="R108" i="59"/>
  <c r="O305" i="28"/>
  <c r="E127" i="53"/>
  <c r="B127" i="53"/>
  <c r="T497" i="28"/>
  <c r="T500" i="28" s="1"/>
  <c r="N319" i="28"/>
  <c r="N324" i="28" s="1"/>
  <c r="J319" i="28"/>
  <c r="J324" i="28" s="1"/>
  <c r="D128" i="53"/>
  <c r="T453" i="28"/>
  <c r="R103" i="59"/>
  <c r="O303" i="28"/>
  <c r="S418" i="28"/>
  <c r="M319" i="28"/>
  <c r="M324" i="28" s="1"/>
  <c r="D131" i="53"/>
  <c r="F131" i="53"/>
  <c r="E126" i="53"/>
  <c r="I403" i="28"/>
  <c r="J403" i="28"/>
  <c r="C131" i="53"/>
  <c r="C128" i="53"/>
  <c r="F127" i="53"/>
  <c r="F126" i="53"/>
  <c r="C126" i="53"/>
  <c r="C127" i="53"/>
  <c r="M407" i="28"/>
  <c r="K406" i="28"/>
  <c r="I405" i="28"/>
  <c r="L407" i="28"/>
  <c r="I406" i="28"/>
  <c r="J406" i="28"/>
  <c r="D127" i="53"/>
  <c r="B126" i="53"/>
  <c r="K405" i="28"/>
  <c r="Q404" i="28"/>
  <c r="L406" i="28"/>
  <c r="D126" i="53"/>
  <c r="E128" i="53"/>
  <c r="B128" i="53"/>
  <c r="E131" i="53"/>
  <c r="M403" i="28"/>
  <c r="K407" i="28"/>
  <c r="M406" i="28"/>
  <c r="J405" i="28"/>
  <c r="K403" i="28"/>
  <c r="L403" i="28"/>
  <c r="I407" i="28"/>
  <c r="L405" i="28"/>
  <c r="M405" i="28"/>
  <c r="J407" i="28"/>
  <c r="P130" i="59"/>
  <c r="M341" i="28" s="1"/>
  <c r="Q130" i="59"/>
  <c r="N341" i="28" s="1"/>
  <c r="O106" i="40"/>
  <c r="K417" i="28"/>
  <c r="L100" i="43"/>
  <c r="P106" i="40"/>
  <c r="L417" i="28"/>
  <c r="M106" i="40"/>
  <c r="M108" i="40" s="1"/>
  <c r="I417" i="28"/>
  <c r="V81" i="45"/>
  <c r="V95" i="45" s="1"/>
  <c r="N106" i="40"/>
  <c r="N108" i="40" s="1"/>
  <c r="J417" i="28"/>
  <c r="O130" i="59"/>
  <c r="L341" i="28" s="1"/>
  <c r="N130" i="59"/>
  <c r="K341" i="28" s="1"/>
  <c r="Q106" i="40"/>
  <c r="M417" i="28"/>
  <c r="W114" i="46"/>
  <c r="O128" i="59"/>
  <c r="L339" i="28" s="1"/>
  <c r="O126" i="59"/>
  <c r="L337" i="28" s="1"/>
  <c r="P127" i="59"/>
  <c r="M338" i="28" s="1"/>
  <c r="P128" i="59"/>
  <c r="M339" i="28" s="1"/>
  <c r="M128" i="59"/>
  <c r="J339" i="28" s="1"/>
  <c r="N128" i="59"/>
  <c r="K339" i="28" s="1"/>
  <c r="R99" i="59"/>
  <c r="R127" i="59" s="1"/>
  <c r="O338" i="28" s="1"/>
  <c r="G127" i="59"/>
  <c r="O320" i="28" s="1"/>
  <c r="V64" i="59"/>
  <c r="V119" i="59" s="1"/>
  <c r="K119" i="59"/>
  <c r="R106" i="59"/>
  <c r="G129" i="59"/>
  <c r="O322" i="28" s="1"/>
  <c r="O131" i="59"/>
  <c r="L284" i="28" s="1"/>
  <c r="M131" i="59"/>
  <c r="J284" i="28" s="1"/>
  <c r="Q129" i="59"/>
  <c r="N340" i="28" s="1"/>
  <c r="Q131" i="59"/>
  <c r="N284" i="28" s="1"/>
  <c r="P126" i="59"/>
  <c r="M337" i="28" s="1"/>
  <c r="M112" i="59"/>
  <c r="M123" i="59"/>
  <c r="R109" i="59"/>
  <c r="R130" i="59" s="1"/>
  <c r="O341" i="28" s="1"/>
  <c r="G130" i="59"/>
  <c r="O323" i="28" s="1"/>
  <c r="R67" i="59"/>
  <c r="R120" i="59" s="1"/>
  <c r="G120" i="59"/>
  <c r="N131" i="59"/>
  <c r="K284" i="28" s="1"/>
  <c r="Q127" i="59"/>
  <c r="N338" i="28" s="1"/>
  <c r="Q126" i="59"/>
  <c r="N337" i="28" s="1"/>
  <c r="N126" i="59"/>
  <c r="K337" i="28" s="1"/>
  <c r="N127" i="59"/>
  <c r="K338" i="28" s="1"/>
  <c r="Q112" i="59"/>
  <c r="Q123" i="59"/>
  <c r="N112" i="59"/>
  <c r="N123" i="59"/>
  <c r="Q128" i="59"/>
  <c r="N339" i="28" s="1"/>
  <c r="R29" i="59"/>
  <c r="R117" i="59" s="1"/>
  <c r="G117" i="59"/>
  <c r="G131" i="59"/>
  <c r="R102" i="59"/>
  <c r="G128" i="59"/>
  <c r="O321" i="28" s="1"/>
  <c r="R45" i="59"/>
  <c r="R118" i="59" s="1"/>
  <c r="G118" i="59"/>
  <c r="N129" i="59"/>
  <c r="K340" i="28" s="1"/>
  <c r="O127" i="59"/>
  <c r="L338" i="28" s="1"/>
  <c r="P129" i="59"/>
  <c r="M340" i="28" s="1"/>
  <c r="M127" i="59"/>
  <c r="J338" i="28" s="1"/>
  <c r="O129" i="59"/>
  <c r="L340" i="28" s="1"/>
  <c r="M126" i="59"/>
  <c r="J337" i="28" s="1"/>
  <c r="R94" i="59"/>
  <c r="R126" i="59" s="1"/>
  <c r="O337" i="28" s="1"/>
  <c r="G126" i="59"/>
  <c r="R75" i="59"/>
  <c r="R121" i="59" s="1"/>
  <c r="G121" i="59"/>
  <c r="G123" i="59"/>
  <c r="N374" i="28" s="1"/>
  <c r="N377" i="28" s="1"/>
  <c r="R80" i="59"/>
  <c r="R122" i="59" s="1"/>
  <c r="G122" i="59"/>
  <c r="M129" i="59"/>
  <c r="J340" i="28" s="1"/>
  <c r="P131" i="59"/>
  <c r="M284" i="28" s="1"/>
  <c r="M130" i="59"/>
  <c r="J341" i="28" s="1"/>
  <c r="P112" i="59"/>
  <c r="P123" i="59"/>
  <c r="O112" i="59"/>
  <c r="O123" i="59"/>
  <c r="Q108" i="40"/>
  <c r="N113" i="59"/>
  <c r="R92" i="59"/>
  <c r="G113" i="59"/>
  <c r="E113" i="53"/>
  <c r="R17" i="59"/>
  <c r="G112" i="59"/>
  <c r="D113" i="53"/>
  <c r="F113" i="53"/>
  <c r="P113" i="59"/>
  <c r="O113" i="59"/>
  <c r="M113" i="59"/>
  <c r="Q113" i="59"/>
  <c r="C113" i="53"/>
  <c r="U109" i="43"/>
  <c r="P111" i="59"/>
  <c r="U97" i="45"/>
  <c r="M111" i="59"/>
  <c r="N111" i="59"/>
  <c r="O111" i="59"/>
  <c r="Q111" i="59"/>
  <c r="L108" i="42"/>
  <c r="L91" i="42"/>
  <c r="N96" i="53" a="1"/>
  <c r="N96" i="53" s="1"/>
  <c r="C111" i="57"/>
  <c r="Y111" i="57" s="1" a="1"/>
  <c r="Y111" i="57" s="1"/>
  <c r="N97" i="53" a="1"/>
  <c r="N97" i="53" s="1"/>
  <c r="C112" i="57"/>
  <c r="Y112" i="57" s="1" a="1"/>
  <c r="Y112" i="57" s="1"/>
  <c r="N101" i="53" a="1"/>
  <c r="N101" i="53" s="1"/>
  <c r="C116" i="57"/>
  <c r="Y116" i="57" s="1" a="1"/>
  <c r="Y116" i="57" s="1"/>
  <c r="O99" i="53" a="1"/>
  <c r="O99" i="53" s="1"/>
  <c r="D114" i="57"/>
  <c r="O92" i="53" a="1"/>
  <c r="O92" i="53" s="1"/>
  <c r="D111" i="53"/>
  <c r="D141" i="53"/>
  <c r="D107" i="57"/>
  <c r="P96" i="53" a="1"/>
  <c r="P96" i="53" s="1"/>
  <c r="E111" i="57"/>
  <c r="AA111" i="57" s="1" a="1"/>
  <c r="AA111" i="57" s="1"/>
  <c r="P95" i="53" a="1"/>
  <c r="P95" i="53" s="1"/>
  <c r="E110" i="57"/>
  <c r="AA110" i="57" s="1" a="1"/>
  <c r="AA110" i="57" s="1"/>
  <c r="M105" i="53" a="1"/>
  <c r="M105" i="53" s="1"/>
  <c r="B120" i="57"/>
  <c r="X120" i="57" s="1" a="1"/>
  <c r="X120" i="57" s="1"/>
  <c r="P94" i="53" a="1"/>
  <c r="P94" i="53" s="1"/>
  <c r="E109" i="57"/>
  <c r="M94" i="53" a="1"/>
  <c r="M94" i="53" s="1"/>
  <c r="B109" i="57"/>
  <c r="N98" i="53" a="1"/>
  <c r="N98" i="53" s="1"/>
  <c r="C113" i="57"/>
  <c r="Y113" i="57" s="1" a="1"/>
  <c r="Y113" i="57" s="1"/>
  <c r="N104" i="53" a="1"/>
  <c r="N104" i="53" s="1"/>
  <c r="C119" i="57"/>
  <c r="P102" i="53" a="1"/>
  <c r="P102" i="53" s="1"/>
  <c r="E117" i="57"/>
  <c r="O95" i="53" a="1"/>
  <c r="O95" i="53" s="1"/>
  <c r="D110" i="57"/>
  <c r="Z110" i="57" s="1" a="1"/>
  <c r="Z110" i="57" s="1"/>
  <c r="M93" i="53" a="1"/>
  <c r="M93" i="53" s="1"/>
  <c r="B108" i="57"/>
  <c r="X108" i="57" s="1" a="1"/>
  <c r="X108" i="57" s="1"/>
  <c r="P99" i="53" a="1"/>
  <c r="P99" i="53" s="1"/>
  <c r="E114" i="57"/>
  <c r="Q101" i="53" a="1"/>
  <c r="Q101" i="53" s="1"/>
  <c r="F116" i="57"/>
  <c r="AB116" i="57" s="1" a="1"/>
  <c r="AB116" i="57" s="1"/>
  <c r="M95" i="53" a="1"/>
  <c r="M95" i="53" s="1"/>
  <c r="B110" i="57"/>
  <c r="X110" i="57" s="1" a="1"/>
  <c r="X110" i="57" s="1"/>
  <c r="M99" i="53" a="1"/>
  <c r="M99" i="53" s="1"/>
  <c r="B114" i="57"/>
  <c r="M92" i="53" a="1"/>
  <c r="M92" i="53" s="1"/>
  <c r="B107" i="57"/>
  <c r="P100" i="53" a="1"/>
  <c r="P100" i="53" s="1"/>
  <c r="E115" i="57"/>
  <c r="AA115" i="57" s="1" a="1"/>
  <c r="AA115" i="57" s="1"/>
  <c r="N105" i="53" a="1"/>
  <c r="N105" i="53" s="1"/>
  <c r="C120" i="57"/>
  <c r="Y120" i="57" s="1" a="1"/>
  <c r="Y120" i="57" s="1"/>
  <c r="N100" i="53" a="1"/>
  <c r="N100" i="53" s="1"/>
  <c r="C115" i="57"/>
  <c r="Y115" i="57" s="1" a="1"/>
  <c r="Y115" i="57" s="1"/>
  <c r="U103" i="42"/>
  <c r="P93" i="53" a="1"/>
  <c r="P93" i="53" s="1"/>
  <c r="E108" i="57"/>
  <c r="AA108" i="57" s="1" a="1"/>
  <c r="AA108" i="57" s="1"/>
  <c r="Q98" i="53" a="1"/>
  <c r="Q98" i="53" s="1"/>
  <c r="F113" i="57"/>
  <c r="AB113" i="57" s="1" a="1"/>
  <c r="AB113" i="57" s="1"/>
  <c r="N93" i="53" a="1"/>
  <c r="N93" i="53" s="1"/>
  <c r="C108" i="57"/>
  <c r="Y108" i="57" s="1" a="1"/>
  <c r="Y108" i="57" s="1"/>
  <c r="P98" i="53" a="1"/>
  <c r="P98" i="53" s="1"/>
  <c r="E113" i="57"/>
  <c r="AA113" i="57" s="1" a="1"/>
  <c r="AA113" i="57" s="1"/>
  <c r="Q94" i="53" a="1"/>
  <c r="Q94" i="53" s="1"/>
  <c r="F109" i="57"/>
  <c r="M102" i="53" a="1"/>
  <c r="M102" i="53" s="1"/>
  <c r="B117" i="57"/>
  <c r="N94" i="53" a="1"/>
  <c r="N94" i="53" s="1"/>
  <c r="C109" i="57"/>
  <c r="O93" i="53" a="1"/>
  <c r="O93" i="53" s="1"/>
  <c r="D108" i="57"/>
  <c r="Z108" i="57" s="1" a="1"/>
  <c r="Z108" i="57" s="1"/>
  <c r="O97" i="53" a="1"/>
  <c r="O97" i="53" s="1"/>
  <c r="D112" i="57"/>
  <c r="Z112" i="57" s="1" a="1"/>
  <c r="Z112" i="57" s="1"/>
  <c r="N103" i="53" a="1"/>
  <c r="N103" i="53" s="1"/>
  <c r="C118" i="57"/>
  <c r="M104" i="53" a="1"/>
  <c r="M104" i="53" s="1"/>
  <c r="B119" i="57"/>
  <c r="O106" i="53" a="1"/>
  <c r="O106" i="53" s="1"/>
  <c r="O129" i="53" s="1"/>
  <c r="D121" i="57"/>
  <c r="Q92" i="53" a="1"/>
  <c r="Q92" i="53" s="1"/>
  <c r="F111" i="53"/>
  <c r="F141" i="53"/>
  <c r="F107" i="57"/>
  <c r="O96" i="53" a="1"/>
  <c r="O96" i="53" s="1"/>
  <c r="D111" i="57"/>
  <c r="Z111" i="57" s="1" a="1"/>
  <c r="Z111" i="57" s="1"/>
  <c r="P92" i="53" a="1"/>
  <c r="P92" i="53" s="1"/>
  <c r="E111" i="53"/>
  <c r="E141" i="53"/>
  <c r="E107" i="57"/>
  <c r="M98" i="53" a="1"/>
  <c r="M98" i="53" s="1"/>
  <c r="B113" i="57"/>
  <c r="X113" i="57" s="1" a="1"/>
  <c r="X113" i="57" s="1"/>
  <c r="Q95" i="53" a="1"/>
  <c r="Q95" i="53" s="1"/>
  <c r="F110" i="57"/>
  <c r="AB110" i="57" s="1" a="1"/>
  <c r="AB110" i="57" s="1"/>
  <c r="O108" i="40"/>
  <c r="N102" i="53" a="1"/>
  <c r="N102" i="53" s="1"/>
  <c r="C117" i="57"/>
  <c r="M106" i="53" a="1"/>
  <c r="M106" i="53" s="1"/>
  <c r="B121" i="57"/>
  <c r="Q93" i="53" a="1"/>
  <c r="Q93" i="53" s="1"/>
  <c r="F108" i="57"/>
  <c r="AB108" i="57" s="1" a="1"/>
  <c r="AB108" i="57" s="1"/>
  <c r="O105" i="53" a="1"/>
  <c r="O105" i="53" s="1"/>
  <c r="D120" i="57"/>
  <c r="Z120" i="57" s="1" a="1"/>
  <c r="Z120" i="57" s="1"/>
  <c r="U95" i="44"/>
  <c r="N106" i="53" a="1"/>
  <c r="N106" i="53" s="1"/>
  <c r="N129" i="53" s="1"/>
  <c r="C121" i="57"/>
  <c r="O102" i="53" a="1"/>
  <c r="O102" i="53" s="1"/>
  <c r="D117" i="57"/>
  <c r="O100" i="53" a="1"/>
  <c r="O100" i="53" s="1"/>
  <c r="D115" i="57"/>
  <c r="Z115" i="57" s="1" a="1"/>
  <c r="Z115" i="57" s="1"/>
  <c r="P103" i="53" a="1"/>
  <c r="P103" i="53" s="1"/>
  <c r="E118" i="57"/>
  <c r="Q106" i="53" a="1"/>
  <c r="Q106" i="53" s="1"/>
  <c r="Q129" i="53" s="1"/>
  <c r="G129" i="53"/>
  <c r="F121" i="57"/>
  <c r="P105" i="53" a="1"/>
  <c r="P105" i="53" s="1"/>
  <c r="E120" i="57"/>
  <c r="AA120" i="57" s="1" a="1"/>
  <c r="AA120" i="57" s="1"/>
  <c r="P104" i="53" a="1"/>
  <c r="P104" i="53" s="1"/>
  <c r="E119" i="57"/>
  <c r="N92" i="53" a="1"/>
  <c r="N92" i="53" s="1"/>
  <c r="C111" i="53"/>
  <c r="C141" i="53"/>
  <c r="C107" i="57"/>
  <c r="O94" i="53" a="1"/>
  <c r="O94" i="53" s="1"/>
  <c r="D109" i="57"/>
  <c r="Q99" i="53" a="1"/>
  <c r="Q99" i="53" s="1"/>
  <c r="F114" i="57"/>
  <c r="O101" i="53" a="1"/>
  <c r="O101" i="53" s="1"/>
  <c r="D116" i="57"/>
  <c r="Z116" i="57" s="1" a="1"/>
  <c r="Z116" i="57" s="1"/>
  <c r="M96" i="53" a="1"/>
  <c r="M96" i="53" s="1"/>
  <c r="B111" i="57"/>
  <c r="X111" i="57" s="1" a="1"/>
  <c r="X111" i="57" s="1"/>
  <c r="M103" i="53" a="1"/>
  <c r="M103" i="53" s="1"/>
  <c r="B118" i="57"/>
  <c r="N99" i="53" a="1"/>
  <c r="N99" i="53" s="1"/>
  <c r="N127" i="53" s="1"/>
  <c r="C114" i="57"/>
  <c r="L86" i="42"/>
  <c r="P108" i="40"/>
  <c r="P101" i="53" a="1"/>
  <c r="P101" i="53" s="1"/>
  <c r="E116" i="57"/>
  <c r="AA116" i="57" s="1" a="1"/>
  <c r="AA116" i="57" s="1"/>
  <c r="Q97" i="53" a="1"/>
  <c r="Q97" i="53" s="1"/>
  <c r="F112" i="57"/>
  <c r="AB112" i="57" s="1" a="1"/>
  <c r="AB112" i="57" s="1"/>
  <c r="O103" i="53" a="1"/>
  <c r="O103" i="53" s="1"/>
  <c r="D118" i="57"/>
  <c r="P106" i="53" a="1"/>
  <c r="P106" i="53" s="1"/>
  <c r="P129" i="53" s="1"/>
  <c r="E121" i="57"/>
  <c r="O104" i="53" a="1"/>
  <c r="O104" i="53" s="1"/>
  <c r="D119" i="57"/>
  <c r="O98" i="53" a="1"/>
  <c r="O98" i="53" s="1"/>
  <c r="D113" i="57"/>
  <c r="Z113" i="57" s="1" a="1"/>
  <c r="Z113" i="57" s="1"/>
  <c r="P97" i="53" a="1"/>
  <c r="P97" i="53" s="1"/>
  <c r="E112" i="57"/>
  <c r="AA112" i="57" s="1" a="1"/>
  <c r="AA112" i="57" s="1"/>
  <c r="M100" i="53" a="1"/>
  <c r="M100" i="53" s="1"/>
  <c r="B115" i="57"/>
  <c r="X115" i="57" s="1" a="1"/>
  <c r="X115" i="57" s="1"/>
  <c r="Q100" i="53" a="1"/>
  <c r="Q100" i="53" s="1"/>
  <c r="F115" i="57"/>
  <c r="AB115" i="57" s="1" a="1"/>
  <c r="AB115" i="57" s="1"/>
  <c r="W116" i="46"/>
  <c r="M101" i="53" a="1"/>
  <c r="M101" i="53" s="1"/>
  <c r="B116" i="57"/>
  <c r="X116" i="57" s="1" a="1"/>
  <c r="X116" i="57" s="1"/>
  <c r="N95" i="53" a="1"/>
  <c r="N95" i="53" s="1"/>
  <c r="C110" i="57"/>
  <c r="Y110" i="57" s="1" a="1"/>
  <c r="Y110" i="57" s="1"/>
  <c r="Q105" i="53" a="1"/>
  <c r="Q105" i="53" s="1"/>
  <c r="Q128" i="53" s="1"/>
  <c r="G128" i="53"/>
  <c r="F120" i="57"/>
  <c r="Q96" i="53" a="1"/>
  <c r="Q96" i="53" s="1"/>
  <c r="F111" i="57"/>
  <c r="AB111" i="57" s="1" a="1"/>
  <c r="AB111" i="57" s="1"/>
  <c r="M97" i="53" a="1"/>
  <c r="M97" i="53" s="1"/>
  <c r="B112" i="57"/>
  <c r="X112" i="57" s="1" a="1"/>
  <c r="X112" i="57" s="1"/>
  <c r="V100" i="43"/>
  <c r="L93" i="42"/>
  <c r="L98" i="43"/>
  <c r="L81" i="42"/>
  <c r="L83" i="42"/>
  <c r="X133" i="57"/>
  <c r="L33" i="75" s="1"/>
  <c r="L94" i="42"/>
  <c r="X131" i="57"/>
  <c r="L31" i="75" s="1"/>
  <c r="X134" i="57"/>
  <c r="M134" i="57" s="1"/>
  <c r="L88" i="45"/>
  <c r="L29" i="75"/>
  <c r="E195" i="57"/>
  <c r="E197" i="57" s="1"/>
  <c r="N195" i="57"/>
  <c r="O195" i="57"/>
  <c r="P195" i="57"/>
  <c r="AC71" i="57" a="1"/>
  <c r="AC71" i="57" s="1"/>
  <c r="L84" i="42"/>
  <c r="AG68" i="57" a="1"/>
  <c r="AG68" i="57" s="1"/>
  <c r="L113" i="42"/>
  <c r="L90" i="42"/>
  <c r="AC60" i="57" a="1"/>
  <c r="AC60" i="57" s="1"/>
  <c r="L82" i="42"/>
  <c r="AH65" i="57" a="1"/>
  <c r="AH65" i="57" s="1"/>
  <c r="P29" i="75"/>
  <c r="L85" i="42"/>
  <c r="V83" i="42"/>
  <c r="D195" i="57"/>
  <c r="T32" i="75"/>
  <c r="V92" i="42"/>
  <c r="V82" i="42"/>
  <c r="V93" i="43"/>
  <c r="V107" i="43" s="1"/>
  <c r="V84" i="42"/>
  <c r="P102" i="40"/>
  <c r="X135" i="57"/>
  <c r="M135" i="57" s="1"/>
  <c r="L97" i="43"/>
  <c r="L96" i="43"/>
  <c r="W78" i="43" a="1"/>
  <c r="W78" i="43" s="1"/>
  <c r="W99" i="43" s="1"/>
  <c r="L99" i="43"/>
  <c r="L86" i="45"/>
  <c r="W82" i="43" a="1"/>
  <c r="W82" i="43" s="1"/>
  <c r="W90" i="43"/>
  <c r="L90" i="43"/>
  <c r="V89" i="45"/>
  <c r="V96" i="45" s="1"/>
  <c r="W87" i="43"/>
  <c r="V101" i="43"/>
  <c r="V108" i="43" s="1"/>
  <c r="L88" i="43"/>
  <c r="Q102" i="40"/>
  <c r="W91" i="43"/>
  <c r="L93" i="43"/>
  <c r="L84" i="45"/>
  <c r="V88" i="43"/>
  <c r="M195" i="57"/>
  <c r="L89" i="45"/>
  <c r="L87" i="45"/>
  <c r="L85" i="45"/>
  <c r="W96" i="43"/>
  <c r="L101" i="43"/>
  <c r="L87" i="43"/>
  <c r="AC85" i="57" a="1"/>
  <c r="AC85" i="57" s="1"/>
  <c r="R175" i="57"/>
  <c r="AC92" i="57" a="1"/>
  <c r="AC92" i="57" s="1"/>
  <c r="R182" i="57"/>
  <c r="AC97" i="57" a="1"/>
  <c r="AC97" i="57" s="1"/>
  <c r="R187" i="57"/>
  <c r="AC93" i="57" a="1"/>
  <c r="AC93" i="57" s="1"/>
  <c r="R183" i="57"/>
  <c r="AC94" i="57" a="1"/>
  <c r="AC94" i="57" s="1"/>
  <c r="R184" i="57"/>
  <c r="AC82" i="57" a="1"/>
  <c r="AC82" i="57" s="1"/>
  <c r="AC84" i="57" a="1"/>
  <c r="AC84" i="57" s="1"/>
  <c r="R174" i="57"/>
  <c r="AC96" i="57" a="1"/>
  <c r="AC96" i="57" s="1"/>
  <c r="R186" i="57"/>
  <c r="AC95" i="57" a="1"/>
  <c r="AC95" i="57" s="1"/>
  <c r="R185" i="57"/>
  <c r="Q195" i="57"/>
  <c r="AC90" i="57" a="1"/>
  <c r="AC90" i="57" s="1"/>
  <c r="R180" i="57"/>
  <c r="AC87" i="57" a="1"/>
  <c r="AC87" i="57" s="1"/>
  <c r="R177" i="57"/>
  <c r="F195" i="57"/>
  <c r="L79" i="44"/>
  <c r="L82" i="44"/>
  <c r="V87" i="44"/>
  <c r="V94" i="44" s="1"/>
  <c r="W82" i="44"/>
  <c r="L86" i="44"/>
  <c r="L84" i="44"/>
  <c r="V79" i="44"/>
  <c r="V93" i="44" s="1"/>
  <c r="W83" i="44"/>
  <c r="L83" i="44"/>
  <c r="L87" i="44"/>
  <c r="V71" i="45"/>
  <c r="W59" i="45" a="1"/>
  <c r="W59" i="45" s="1"/>
  <c r="W85" i="45" s="1"/>
  <c r="W58" i="45" a="1"/>
  <c r="W58" i="45" s="1"/>
  <c r="W84" i="45" s="1"/>
  <c r="W66" i="45" a="1"/>
  <c r="W66" i="45" s="1"/>
  <c r="W87" i="45" s="1"/>
  <c r="W62" i="45" a="1"/>
  <c r="W62" i="45" s="1"/>
  <c r="W86" i="45" s="1"/>
  <c r="W69" i="45" a="1"/>
  <c r="W69" i="45" s="1"/>
  <c r="W88" i="45" s="1"/>
  <c r="W65" i="44" a="1"/>
  <c r="W65" i="44" s="1"/>
  <c r="W85" i="44" s="1"/>
  <c r="W50" i="44" a="1"/>
  <c r="W50" i="44" s="1"/>
  <c r="W78" i="44" s="1"/>
  <c r="W45" i="44" a="1"/>
  <c r="W45" i="44" s="1"/>
  <c r="W74" i="44" s="1"/>
  <c r="W68" i="44" a="1"/>
  <c r="W68" i="44" s="1"/>
  <c r="W86" i="44" s="1"/>
  <c r="W61" i="44" a="1"/>
  <c r="W61" i="44" s="1"/>
  <c r="W84" i="44" s="1"/>
  <c r="V70" i="44"/>
  <c r="W44" i="44" a="1"/>
  <c r="W44" i="44" s="1"/>
  <c r="W73" i="44" s="1"/>
  <c r="W74" i="43" a="1"/>
  <c r="W74" i="43" s="1"/>
  <c r="W98" i="43" s="1"/>
  <c r="W48" i="43" a="1"/>
  <c r="W48" i="43" s="1"/>
  <c r="W46" i="43" a="1"/>
  <c r="W46" i="43" s="1"/>
  <c r="V83" i="43"/>
  <c r="W60" i="42" a="1"/>
  <c r="W60" i="42" s="1"/>
  <c r="W90" i="42" s="1"/>
  <c r="W75" i="42" a="1"/>
  <c r="W75" i="42" s="1"/>
  <c r="W94" i="42" s="1"/>
  <c r="W46" i="42" a="1"/>
  <c r="W46" i="42" s="1"/>
  <c r="W73" i="42" a="1"/>
  <c r="W73" i="42" s="1"/>
  <c r="W93" i="42" s="1"/>
  <c r="W68" i="42" a="1"/>
  <c r="W68" i="42" s="1"/>
  <c r="W58" i="42" a="1"/>
  <c r="W58" i="42" s="1"/>
  <c r="L95" i="42"/>
  <c r="W55" i="42" a="1"/>
  <c r="W55" i="42" s="1"/>
  <c r="W86" i="42" s="1"/>
  <c r="U96" i="42"/>
  <c r="K96" i="42"/>
  <c r="W65" i="42" a="1"/>
  <c r="W65" i="42" s="1"/>
  <c r="W91" i="42" s="1"/>
  <c r="W51" i="42" a="1"/>
  <c r="W51" i="42" s="1"/>
  <c r="W85" i="42" s="1"/>
  <c r="W44" i="42" a="1"/>
  <c r="W44" i="42" s="1"/>
  <c r="W81" i="42" s="1"/>
  <c r="V87" i="42"/>
  <c r="V101" i="42" s="1"/>
  <c r="V77" i="42"/>
  <c r="V95" i="42"/>
  <c r="V102" i="42" s="1"/>
  <c r="W70" i="42" a="1"/>
  <c r="W70" i="42" s="1"/>
  <c r="L87" i="42"/>
  <c r="S62" i="40" a="1"/>
  <c r="S62" i="40" s="1"/>
  <c r="S92" i="40" s="1"/>
  <c r="H92" i="40"/>
  <c r="S75" i="40" a="1"/>
  <c r="S75" i="40" s="1"/>
  <c r="S98" i="40" s="1"/>
  <c r="H98" i="40"/>
  <c r="S65" i="40" a="1"/>
  <c r="S65" i="40" s="1"/>
  <c r="H101" i="40"/>
  <c r="S47" i="40" a="1"/>
  <c r="S47" i="40" s="1"/>
  <c r="S88" i="40" s="1"/>
  <c r="H88" i="40"/>
  <c r="S72" i="40" a="1"/>
  <c r="S72" i="40" s="1"/>
  <c r="S97" i="40" s="1"/>
  <c r="H97" i="40"/>
  <c r="S79" i="40" a="1"/>
  <c r="S79" i="40" s="1"/>
  <c r="S99" i="40" s="1"/>
  <c r="H99" i="40"/>
  <c r="S53" i="40" a="1"/>
  <c r="S53" i="40" s="1"/>
  <c r="S90" i="40" s="1"/>
  <c r="H90" i="40"/>
  <c r="S57" i="40" a="1"/>
  <c r="S57" i="40" s="1"/>
  <c r="S91" i="40" s="1"/>
  <c r="H91" i="40"/>
  <c r="H93" i="40"/>
  <c r="M102" i="40"/>
  <c r="S44" i="40" a="1"/>
  <c r="S44" i="40" s="1"/>
  <c r="H87" i="40"/>
  <c r="S67" i="40" a="1"/>
  <c r="S67" i="40" s="1"/>
  <c r="S96" i="40" s="1"/>
  <c r="H96" i="40"/>
  <c r="S82" i="40" a="1"/>
  <c r="S82" i="40" s="1"/>
  <c r="S100" i="40" s="1"/>
  <c r="H100" i="40"/>
  <c r="G102" i="40"/>
  <c r="N102" i="40"/>
  <c r="R93" i="40"/>
  <c r="R84" i="40"/>
  <c r="R101" i="40"/>
  <c r="R107" i="40" s="1"/>
  <c r="O102" i="40"/>
  <c r="C160" i="57"/>
  <c r="D160" i="57" s="1"/>
  <c r="G159" i="57"/>
  <c r="T46" i="40" a="1"/>
  <c r="T46" i="40" s="1"/>
  <c r="S46" i="40" a="1"/>
  <c r="S46" i="40" s="1"/>
  <c r="S41" i="40" a="1"/>
  <c r="S41" i="40" s="1"/>
  <c r="W71" i="43" a="1"/>
  <c r="W71" i="43" s="1"/>
  <c r="W97" i="43" s="1"/>
  <c r="W81" i="43" a="1"/>
  <c r="W81" i="43" s="1"/>
  <c r="L101" i="45"/>
  <c r="W41" i="45" a="1"/>
  <c r="W41" i="45" s="1"/>
  <c r="T49" i="40" a="1"/>
  <c r="T49" i="40" s="1"/>
  <c r="T59" i="40" a="1"/>
  <c r="T59" i="40" s="1"/>
  <c r="AA144" i="57"/>
  <c r="P144" i="57" s="1"/>
  <c r="T45" i="40" a="1"/>
  <c r="T45" i="40" s="1"/>
  <c r="AB134" i="57"/>
  <c r="Q134" i="57" s="1"/>
  <c r="Z133" i="57"/>
  <c r="O133" i="57" s="1"/>
  <c r="AB144" i="57"/>
  <c r="Q144" i="57" s="1"/>
  <c r="Z131" i="57"/>
  <c r="O131" i="57" s="1"/>
  <c r="Z134" i="57"/>
  <c r="O134" i="57" s="1"/>
  <c r="AG79" i="57" a="1"/>
  <c r="AG79" i="57" s="1"/>
  <c r="AG132" i="57" s="1"/>
  <c r="V132" i="57" s="1"/>
  <c r="G129" i="57"/>
  <c r="G134" i="57"/>
  <c r="G131" i="57"/>
  <c r="G144" i="57"/>
  <c r="AC122" i="57" a="1"/>
  <c r="AC122" i="57" s="1"/>
  <c r="AC144" i="57" s="1"/>
  <c r="AC125" i="57" a="1"/>
  <c r="AC125" i="57" s="1"/>
  <c r="AC146" i="57" s="1"/>
  <c r="G146" i="57"/>
  <c r="R146" i="57" s="1"/>
  <c r="AC124" i="57" a="1"/>
  <c r="AC124" i="57" s="1"/>
  <c r="AC145" i="57" s="1"/>
  <c r="G145" i="57"/>
  <c r="M129" i="57"/>
  <c r="Y129" i="57"/>
  <c r="N129" i="57" s="1"/>
  <c r="Y144" i="57"/>
  <c r="N144" i="57" s="1"/>
  <c r="Z129" i="57"/>
  <c r="O129" i="57" s="1"/>
  <c r="Z144" i="57"/>
  <c r="O144" i="57" s="1"/>
  <c r="Y134" i="57"/>
  <c r="N134" i="57" s="1"/>
  <c r="AB127" i="57"/>
  <c r="P27" i="75" s="1"/>
  <c r="AB137" i="57"/>
  <c r="O44" i="28" s="1"/>
  <c r="X127" i="57"/>
  <c r="L27" i="75" s="1"/>
  <c r="X137" i="57"/>
  <c r="K44" i="28" s="1"/>
  <c r="AA129" i="57"/>
  <c r="P129" i="57" s="1"/>
  <c r="Y135" i="57"/>
  <c r="AA134" i="57"/>
  <c r="P134" i="57" s="1"/>
  <c r="AA135" i="57"/>
  <c r="P135" i="57" s="1"/>
  <c r="Z135" i="57"/>
  <c r="O135" i="57" s="1"/>
  <c r="Y131" i="57"/>
  <c r="N131" i="57" s="1"/>
  <c r="AB135" i="57"/>
  <c r="Q135" i="57" s="1"/>
  <c r="AB131" i="57"/>
  <c r="Q131" i="57" s="1"/>
  <c r="Y137" i="57"/>
  <c r="L44" i="28" s="1"/>
  <c r="Y127" i="57"/>
  <c r="M27" i="75" s="1"/>
  <c r="Z127" i="57"/>
  <c r="N27" i="75" s="1"/>
  <c r="Z137" i="57"/>
  <c r="M44" i="28" s="1"/>
  <c r="AA133" i="57"/>
  <c r="P133" i="57" s="1"/>
  <c r="AB133" i="57"/>
  <c r="Q133" i="57" s="1"/>
  <c r="Y133" i="57"/>
  <c r="N133" i="57" s="1"/>
  <c r="AA131" i="57"/>
  <c r="P131" i="57" s="1"/>
  <c r="AA137" i="57"/>
  <c r="N44" i="28" s="1"/>
  <c r="AA127" i="57"/>
  <c r="O27" i="75" s="1"/>
  <c r="G133" i="57"/>
  <c r="H125" i="57"/>
  <c r="H110" i="59"/>
  <c r="S110" i="59" s="1"/>
  <c r="H101" i="59"/>
  <c r="S101" i="59" s="1"/>
  <c r="L79" i="57"/>
  <c r="L132" i="57" s="1"/>
  <c r="L64" i="59"/>
  <c r="H92" i="57"/>
  <c r="H77" i="59"/>
  <c r="S77" i="59" s="1"/>
  <c r="H97" i="57"/>
  <c r="H82" i="59"/>
  <c r="S82" i="59" s="1"/>
  <c r="H60" i="57"/>
  <c r="H45" i="59"/>
  <c r="H94" i="57"/>
  <c r="H79" i="59"/>
  <c r="S79" i="59" s="1"/>
  <c r="H85" i="57"/>
  <c r="H70" i="59"/>
  <c r="S70" i="59" s="1"/>
  <c r="L113" i="43"/>
  <c r="L32" i="59"/>
  <c r="W32" i="59" s="1"/>
  <c r="H93" i="57"/>
  <c r="H78" i="59"/>
  <c r="S78" i="59" s="1"/>
  <c r="H87" i="57"/>
  <c r="H72" i="59"/>
  <c r="S72" i="59" s="1"/>
  <c r="H72" i="57"/>
  <c r="AD72" i="57" s="1" a="1"/>
  <c r="AD72" i="57" s="1"/>
  <c r="H57" i="59"/>
  <c r="S57" i="59" s="1"/>
  <c r="H96" i="57"/>
  <c r="H81" i="59"/>
  <c r="S81" i="59" s="1"/>
  <c r="H71" i="57"/>
  <c r="H56" i="59"/>
  <c r="S56" i="59" s="1"/>
  <c r="H117" i="57"/>
  <c r="AD117" i="57" s="1" a="1"/>
  <c r="AD117" i="57" s="1"/>
  <c r="H102" i="59"/>
  <c r="H123" i="57"/>
  <c r="AD123" i="57" s="1" a="1"/>
  <c r="AD123" i="57" s="1"/>
  <c r="H108" i="59"/>
  <c r="L71" i="59"/>
  <c r="W71" i="59" s="1"/>
  <c r="H73" i="57"/>
  <c r="AD73" i="57" s="1" a="1"/>
  <c r="AD73" i="57" s="1"/>
  <c r="H58" i="59"/>
  <c r="S58" i="59" s="1"/>
  <c r="H46" i="57"/>
  <c r="AD46" i="57" s="1" a="1"/>
  <c r="AD46" i="57" s="1"/>
  <c r="H31" i="59"/>
  <c r="S31" i="59" s="1"/>
  <c r="L118" i="43"/>
  <c r="L49" i="59"/>
  <c r="W49" i="59" s="1"/>
  <c r="H95" i="57"/>
  <c r="H80" i="59"/>
  <c r="H93" i="59"/>
  <c r="S93" i="59" s="1"/>
  <c r="H97" i="59"/>
  <c r="S97" i="59" s="1"/>
  <c r="H124" i="57"/>
  <c r="H145" i="57" s="1"/>
  <c r="H109" i="59"/>
  <c r="I67" i="57"/>
  <c r="AE67" i="57" s="1" a="1"/>
  <c r="AE67" i="57" s="1"/>
  <c r="H95" i="59"/>
  <c r="S95" i="59" s="1"/>
  <c r="H84" i="57"/>
  <c r="H69" i="59"/>
  <c r="S69" i="59" s="1"/>
  <c r="H63" i="57"/>
  <c r="AD63" i="57" s="1" a="1"/>
  <c r="AD63" i="57" s="1"/>
  <c r="H48" i="59"/>
  <c r="S48" i="59" s="1"/>
  <c r="H67" i="57"/>
  <c r="AD67" i="57" s="1" a="1"/>
  <c r="AD67" i="57" s="1"/>
  <c r="H52" i="59"/>
  <c r="S52" i="59" s="1"/>
  <c r="H44" i="57"/>
  <c r="AD44" i="57" s="1" a="1"/>
  <c r="AD44" i="57" s="1"/>
  <c r="H29" i="59"/>
  <c r="H94" i="59"/>
  <c r="H96" i="59"/>
  <c r="S96" i="59" s="1"/>
  <c r="H118" i="57"/>
  <c r="H103" i="59"/>
  <c r="H98" i="59"/>
  <c r="S98" i="59" s="1"/>
  <c r="H119" i="57"/>
  <c r="H104" i="59"/>
  <c r="H106" i="59"/>
  <c r="H82" i="57"/>
  <c r="H67" i="59"/>
  <c r="H122" i="57"/>
  <c r="H107" i="59"/>
  <c r="S107" i="59" s="1"/>
  <c r="H105" i="59"/>
  <c r="S105" i="59" s="1"/>
  <c r="H90" i="57"/>
  <c r="H75" i="59"/>
  <c r="H100" i="59"/>
  <c r="S100" i="59" s="1"/>
  <c r="H99" i="59"/>
  <c r="H92" i="59"/>
  <c r="H91" i="57"/>
  <c r="P361" i="28" s="1"/>
  <c r="H76" i="59"/>
  <c r="S76" i="59" s="1"/>
  <c r="L100" i="44"/>
  <c r="H17" i="59"/>
  <c r="L68" i="57"/>
  <c r="L53" i="59"/>
  <c r="W53" i="59" s="1"/>
  <c r="L105" i="44"/>
  <c r="L106" i="45"/>
  <c r="H49" i="57"/>
  <c r="AD49" i="57" s="1" a="1"/>
  <c r="AD49" i="57" s="1"/>
  <c r="H34" i="59"/>
  <c r="S34" i="59" s="1"/>
  <c r="G135" i="57"/>
  <c r="AC32" i="57" a="1"/>
  <c r="AC32" i="57" s="1"/>
  <c r="G137" i="57"/>
  <c r="G127" i="57"/>
  <c r="AG47" i="57" a="1"/>
  <c r="AG47" i="57" s="1"/>
  <c r="AG86" i="57" a="1"/>
  <c r="AG86" i="57" s="1"/>
  <c r="AC49" i="57" a="1"/>
  <c r="AC49" i="57" s="1"/>
  <c r="AC129" i="57" s="1"/>
  <c r="AG64" i="57" a="1"/>
  <c r="AG64" i="57" s="1"/>
  <c r="AC91" i="57" a="1"/>
  <c r="AC91" i="57" s="1"/>
  <c r="J127" i="48"/>
  <c r="K126" i="48"/>
  <c r="G107" i="45"/>
  <c r="F108" i="45"/>
  <c r="H107" i="44"/>
  <c r="I106" i="44"/>
  <c r="K122" i="48"/>
  <c r="L121" i="48"/>
  <c r="I119" i="43"/>
  <c r="H120" i="43"/>
  <c r="J126" i="46"/>
  <c r="I127" i="46"/>
  <c r="J102" i="45"/>
  <c r="I103" i="45"/>
  <c r="G115" i="42"/>
  <c r="H114" i="42"/>
  <c r="C118" i="40"/>
  <c r="H117" i="40"/>
  <c r="H32" i="57"/>
  <c r="H112" i="40"/>
  <c r="L114" i="50"/>
  <c r="K115" i="50"/>
  <c r="K121" i="49"/>
  <c r="L120" i="49"/>
  <c r="I115" i="47"/>
  <c r="H116" i="47"/>
  <c r="J122" i="46"/>
  <c r="K121" i="46"/>
  <c r="L70" i="44"/>
  <c r="I101" i="44"/>
  <c r="H102" i="44"/>
  <c r="L83" i="43"/>
  <c r="H114" i="43"/>
  <c r="G115" i="43"/>
  <c r="J109" i="42"/>
  <c r="I110" i="42"/>
  <c r="C113" i="40"/>
  <c r="L64" i="57"/>
  <c r="L86" i="57"/>
  <c r="W176" i="57" s="1"/>
  <c r="L47" i="57"/>
  <c r="L71" i="45"/>
  <c r="L77" i="42"/>
  <c r="U46" i="40" a="1"/>
  <c r="U46" i="40" s="1"/>
  <c r="T60" i="40" a="1"/>
  <c r="T60" i="40" s="1"/>
  <c r="T51" i="40" a="1"/>
  <c r="T51" i="40" s="1"/>
  <c r="T83" i="40" a="1"/>
  <c r="T83" i="40" s="1"/>
  <c r="T68" i="40" a="1"/>
  <c r="T68" i="40" s="1"/>
  <c r="T76" i="40" a="1"/>
  <c r="T76" i="40" s="1"/>
  <c r="T70" i="40" a="1"/>
  <c r="T70" i="40" s="1"/>
  <c r="T71" i="40" a="1"/>
  <c r="T71" i="40" s="1"/>
  <c r="T77" i="40" a="1"/>
  <c r="T77" i="40" s="1"/>
  <c r="U45" i="40" a="1"/>
  <c r="U45" i="40" s="1"/>
  <c r="T64" i="40" a="1"/>
  <c r="T64" i="40" s="1"/>
  <c r="T66" i="40" a="1"/>
  <c r="T66" i="40" s="1"/>
  <c r="T48" i="40" a="1"/>
  <c r="T48" i="40" s="1"/>
  <c r="T80" i="40" a="1"/>
  <c r="T80" i="40" s="1"/>
  <c r="U49" i="40" a="1"/>
  <c r="U49" i="40" s="1"/>
  <c r="T73" i="40" a="1"/>
  <c r="T73" i="40" s="1"/>
  <c r="T52" i="40" a="1"/>
  <c r="T52" i="40" s="1"/>
  <c r="T69" i="40" a="1"/>
  <c r="T69" i="40" s="1"/>
  <c r="T63" i="40" a="1"/>
  <c r="T63" i="40" s="1"/>
  <c r="T54" i="40" a="1"/>
  <c r="T54" i="40" s="1"/>
  <c r="T55" i="40" a="1"/>
  <c r="T55" i="40" s="1"/>
  <c r="T56" i="40" a="1"/>
  <c r="T56" i="40" s="1"/>
  <c r="T50" i="40" a="1"/>
  <c r="T50" i="40" s="1"/>
  <c r="T74" i="40" a="1"/>
  <c r="T74" i="40" s="1"/>
  <c r="T61" i="40" a="1"/>
  <c r="T61" i="40" s="1"/>
  <c r="T81" i="40" a="1"/>
  <c r="T81" i="40" s="1"/>
  <c r="T78" i="40" a="1"/>
  <c r="T78" i="40" s="1"/>
  <c r="H135" i="59" l="1"/>
  <c r="H140" i="59"/>
  <c r="D141" i="59"/>
  <c r="C142" i="59"/>
  <c r="K220" i="28" s="1"/>
  <c r="K190" i="28"/>
  <c r="D137" i="59"/>
  <c r="K179" i="28" s="1"/>
  <c r="E136" i="59"/>
  <c r="R128" i="59"/>
  <c r="O339" i="28" s="1"/>
  <c r="N128" i="53"/>
  <c r="AD118" i="57" a="1"/>
  <c r="AD118" i="57" s="1"/>
  <c r="T249" i="28"/>
  <c r="AD119" i="57" a="1"/>
  <c r="AD119" i="57" s="1"/>
  <c r="T251" i="28"/>
  <c r="X119" i="57" a="1"/>
  <c r="X119" i="57" s="1"/>
  <c r="N251" i="28"/>
  <c r="Y119" i="57" a="1"/>
  <c r="Y119" i="57" s="1"/>
  <c r="O251" i="28"/>
  <c r="S180" i="57"/>
  <c r="P360" i="28"/>
  <c r="AA118" i="57" a="1"/>
  <c r="AA118" i="57" s="1"/>
  <c r="Q249" i="28"/>
  <c r="Z119" i="57" a="1"/>
  <c r="Z119" i="57" s="1"/>
  <c r="P251" i="28"/>
  <c r="Z118" i="57" a="1"/>
  <c r="Z118" i="57" s="1"/>
  <c r="P249" i="28"/>
  <c r="X118" i="57" a="1"/>
  <c r="X118" i="57" s="1"/>
  <c r="N249" i="28"/>
  <c r="AA119" i="57" a="1"/>
  <c r="AA119" i="57" s="1"/>
  <c r="Q251" i="28"/>
  <c r="Y118" i="57" a="1"/>
  <c r="Y118" i="57" s="1"/>
  <c r="O249" i="28"/>
  <c r="M408" i="28"/>
  <c r="M420" i="28"/>
  <c r="M423" i="28" s="1"/>
  <c r="M424" i="28"/>
  <c r="L420" i="28"/>
  <c r="L423" i="28" s="1"/>
  <c r="L424" i="28"/>
  <c r="K420" i="28"/>
  <c r="K423" i="28" s="1"/>
  <c r="K424" i="28"/>
  <c r="J420" i="28"/>
  <c r="J424" i="28"/>
  <c r="I420" i="28"/>
  <c r="I423" i="28" s="1"/>
  <c r="I424" i="28"/>
  <c r="O126" i="53"/>
  <c r="N342" i="28"/>
  <c r="R129" i="59"/>
  <c r="O340" i="28" s="1"/>
  <c r="S108" i="59"/>
  <c r="P305" i="28"/>
  <c r="M342" i="28"/>
  <c r="S104" i="59"/>
  <c r="P304" i="28"/>
  <c r="L342" i="28"/>
  <c r="O128" i="53"/>
  <c r="O319" i="28"/>
  <c r="O324" i="28" s="1"/>
  <c r="K388" i="28"/>
  <c r="S103" i="59"/>
  <c r="P303" i="28"/>
  <c r="K389" i="28"/>
  <c r="K390" i="28"/>
  <c r="J342" i="28"/>
  <c r="K342" i="28"/>
  <c r="O127" i="53"/>
  <c r="N407" i="28"/>
  <c r="N405" i="28"/>
  <c r="Q127" i="53"/>
  <c r="N131" i="53"/>
  <c r="K286" i="28" s="1"/>
  <c r="K287" i="28" s="1"/>
  <c r="P131" i="53"/>
  <c r="M286" i="28" s="1"/>
  <c r="M287" i="28" s="1"/>
  <c r="Q131" i="53"/>
  <c r="N286" i="28" s="1"/>
  <c r="N287" i="28" s="1"/>
  <c r="N126" i="53"/>
  <c r="G126" i="53"/>
  <c r="P127" i="53"/>
  <c r="M126" i="53"/>
  <c r="G127" i="53"/>
  <c r="G131" i="53"/>
  <c r="Q126" i="53"/>
  <c r="M127" i="53"/>
  <c r="O131" i="53"/>
  <c r="L286" i="28" s="1"/>
  <c r="L287" i="28" s="1"/>
  <c r="R404" i="28"/>
  <c r="M128" i="53"/>
  <c r="P128" i="53"/>
  <c r="P126" i="53"/>
  <c r="N406" i="28"/>
  <c r="N403" i="28"/>
  <c r="R111" i="59"/>
  <c r="R106" i="40"/>
  <c r="N417" i="28"/>
  <c r="W81" i="45"/>
  <c r="W95" i="45" s="1"/>
  <c r="I34" i="59"/>
  <c r="T34" i="59" s="1"/>
  <c r="H131" i="59"/>
  <c r="V97" i="45"/>
  <c r="S99" i="59"/>
  <c r="S127" i="59" s="1"/>
  <c r="P338" i="28" s="1"/>
  <c r="H127" i="59"/>
  <c r="P320" i="28" s="1"/>
  <c r="S106" i="59"/>
  <c r="H129" i="59"/>
  <c r="P322" i="28" s="1"/>
  <c r="S29" i="59"/>
  <c r="S117" i="59" s="1"/>
  <c r="H117" i="59"/>
  <c r="S45" i="59"/>
  <c r="S118" i="59" s="1"/>
  <c r="H118" i="59"/>
  <c r="M267" i="28"/>
  <c r="S102" i="59"/>
  <c r="H128" i="59"/>
  <c r="P321" i="28" s="1"/>
  <c r="K267" i="28"/>
  <c r="H123" i="59"/>
  <c r="O374" i="28" s="1"/>
  <c r="O377" i="28" s="1"/>
  <c r="S75" i="59"/>
  <c r="S121" i="59" s="1"/>
  <c r="H121" i="59"/>
  <c r="S67" i="59"/>
  <c r="S120" i="59" s="1"/>
  <c r="H120" i="59"/>
  <c r="S109" i="59"/>
  <c r="S130" i="59" s="1"/>
  <c r="P341" i="28" s="1"/>
  <c r="H130" i="59"/>
  <c r="P323" i="28" s="1"/>
  <c r="S80" i="59"/>
  <c r="S122" i="59" s="1"/>
  <c r="H122" i="59"/>
  <c r="W64" i="59"/>
  <c r="W119" i="59" s="1"/>
  <c r="L119" i="59"/>
  <c r="R113" i="59"/>
  <c r="R131" i="59"/>
  <c r="O284" i="28" s="1"/>
  <c r="L267" i="28"/>
  <c r="S94" i="59"/>
  <c r="S126" i="59" s="1"/>
  <c r="P337" i="28" s="1"/>
  <c r="H126" i="59"/>
  <c r="R112" i="59"/>
  <c r="R123" i="59"/>
  <c r="N267" i="28"/>
  <c r="J267" i="28"/>
  <c r="U59" i="40" a="1"/>
  <c r="U59" i="40" s="1"/>
  <c r="I77" i="59"/>
  <c r="T77" i="59" s="1"/>
  <c r="I92" i="57"/>
  <c r="AE92" i="57" s="1" a="1"/>
  <c r="AE92" i="57" s="1"/>
  <c r="I31" i="59"/>
  <c r="T31" i="59" s="1"/>
  <c r="I46" i="57"/>
  <c r="AE46" i="57" s="1" a="1"/>
  <c r="AE46" i="57" s="1"/>
  <c r="M131" i="57"/>
  <c r="S17" i="59"/>
  <c r="H112" i="59"/>
  <c r="S92" i="59"/>
  <c r="H113" i="59"/>
  <c r="N113" i="53"/>
  <c r="P113" i="53"/>
  <c r="Q113" i="53"/>
  <c r="G113" i="53"/>
  <c r="O113" i="53"/>
  <c r="V109" i="43"/>
  <c r="V103" i="42"/>
  <c r="R97" i="53" a="1"/>
  <c r="R97" i="53" s="1"/>
  <c r="G112" i="57"/>
  <c r="AC112" i="57" s="1" a="1"/>
  <c r="AC112" i="57" s="1"/>
  <c r="I49" i="57"/>
  <c r="AE49" i="57" s="1" a="1"/>
  <c r="AE49" i="57" s="1"/>
  <c r="X117" i="57" a="1"/>
  <c r="X117" i="57" s="1"/>
  <c r="X142" i="57" s="1"/>
  <c r="B142" i="57"/>
  <c r="R98" i="53" a="1"/>
  <c r="R98" i="53" s="1"/>
  <c r="G113" i="57"/>
  <c r="AC113" i="57" s="1" a="1"/>
  <c r="AC113" i="57" s="1"/>
  <c r="E141" i="57"/>
  <c r="AA114" i="57" a="1"/>
  <c r="AA114" i="57" s="1"/>
  <c r="AA141" i="57" s="1"/>
  <c r="R95" i="53" a="1"/>
  <c r="R95" i="53" s="1"/>
  <c r="G110" i="57"/>
  <c r="AC110" i="57" s="1" a="1"/>
  <c r="AC110" i="57" s="1"/>
  <c r="B139" i="57"/>
  <c r="X107" i="57" a="1"/>
  <c r="X107" i="57" s="1"/>
  <c r="X139" i="57" s="1"/>
  <c r="I52" i="59"/>
  <c r="T52" i="59" s="1"/>
  <c r="R96" i="53" a="1"/>
  <c r="R96" i="53" s="1"/>
  <c r="G111" i="57"/>
  <c r="AC111" i="57" s="1" a="1"/>
  <c r="AC111" i="57" s="1"/>
  <c r="N111" i="53"/>
  <c r="AB107" i="57" a="1"/>
  <c r="AB107" i="57" s="1"/>
  <c r="F164" i="57"/>
  <c r="F147" i="57"/>
  <c r="F139" i="57"/>
  <c r="F140" i="57"/>
  <c r="AB109" i="57" a="1"/>
  <c r="AB109" i="57" s="1"/>
  <c r="AB140" i="57" s="1"/>
  <c r="R100" i="53" a="1"/>
  <c r="R100" i="53" s="1"/>
  <c r="G115" i="57"/>
  <c r="AC115" i="57" s="1" a="1"/>
  <c r="AC115" i="57" s="1"/>
  <c r="E143" i="57"/>
  <c r="AA121" i="57" a="1"/>
  <c r="AA121" i="57" s="1"/>
  <c r="AA143" i="57" s="1"/>
  <c r="F141" i="57"/>
  <c r="AB114" i="57" a="1"/>
  <c r="AB114" i="57" s="1"/>
  <c r="AB141" i="57" s="1"/>
  <c r="R93" i="53" a="1"/>
  <c r="R93" i="53" s="1"/>
  <c r="G108" i="57"/>
  <c r="AC108" i="57" s="1" a="1"/>
  <c r="AC108" i="57" s="1"/>
  <c r="R92" i="53" a="1"/>
  <c r="R92" i="53" s="1"/>
  <c r="G111" i="53"/>
  <c r="G141" i="53"/>
  <c r="G107" i="57"/>
  <c r="R94" i="53" a="1"/>
  <c r="R94" i="53" s="1"/>
  <c r="G109" i="57"/>
  <c r="X114" i="57" a="1"/>
  <c r="X114" i="57" s="1"/>
  <c r="X141" i="57" s="1"/>
  <c r="B141" i="57"/>
  <c r="X109" i="57" a="1"/>
  <c r="X109" i="57" s="1"/>
  <c r="X140" i="57" s="1"/>
  <c r="B140" i="57"/>
  <c r="V95" i="44"/>
  <c r="F142" i="57"/>
  <c r="AB120" i="57" a="1"/>
  <c r="AB120" i="57" s="1"/>
  <c r="AB142" i="57" s="1"/>
  <c r="D142" i="57"/>
  <c r="Z117" i="57" a="1"/>
  <c r="Z117" i="57" s="1"/>
  <c r="X121" i="57" a="1"/>
  <c r="X121" i="57" s="1"/>
  <c r="X143" i="57" s="1"/>
  <c r="B143" i="57"/>
  <c r="Z107" i="57" a="1"/>
  <c r="Z107" i="57" s="1"/>
  <c r="D164" i="57"/>
  <c r="D147" i="57"/>
  <c r="D139" i="57"/>
  <c r="C141" i="57"/>
  <c r="Y114" i="57" a="1"/>
  <c r="Y114" i="57" s="1"/>
  <c r="Y141" i="57" s="1"/>
  <c r="R99" i="53" a="1"/>
  <c r="R99" i="53" s="1"/>
  <c r="G114" i="57"/>
  <c r="AA107" i="57" a="1"/>
  <c r="AA107" i="57" s="1"/>
  <c r="E147" i="57"/>
  <c r="E139" i="57"/>
  <c r="E164" i="57"/>
  <c r="AA109" i="57" a="1"/>
  <c r="AA109" i="57" s="1"/>
  <c r="AA140" i="57" s="1"/>
  <c r="E140" i="57"/>
  <c r="R108" i="40"/>
  <c r="R105" i="53" a="1"/>
  <c r="R105" i="53" s="1"/>
  <c r="R128" i="53" s="1"/>
  <c r="H128" i="53"/>
  <c r="G120" i="57"/>
  <c r="D140" i="57"/>
  <c r="Z109" i="57" a="1"/>
  <c r="Z109" i="57" s="1"/>
  <c r="Z140" i="57" s="1"/>
  <c r="C143" i="57"/>
  <c r="Y121" i="57" a="1"/>
  <c r="Y121" i="57" s="1"/>
  <c r="Y143" i="57" s="1"/>
  <c r="C142" i="57"/>
  <c r="Y117" i="57" a="1"/>
  <c r="Y117" i="57" s="1"/>
  <c r="Q111" i="53"/>
  <c r="F143" i="57"/>
  <c r="AB121" i="57" a="1"/>
  <c r="AB121" i="57" s="1"/>
  <c r="AB143" i="57" s="1"/>
  <c r="D143" i="57"/>
  <c r="Z121" i="57" a="1"/>
  <c r="Z121" i="57" s="1"/>
  <c r="Z143" i="57" s="1"/>
  <c r="E142" i="57"/>
  <c r="AA117" i="57" a="1"/>
  <c r="AA117" i="57" s="1"/>
  <c r="AA142" i="57" s="1"/>
  <c r="O111" i="53"/>
  <c r="C139" i="57"/>
  <c r="C164" i="57"/>
  <c r="Y107" i="57" a="1"/>
  <c r="Y107" i="57" s="1"/>
  <c r="C147" i="57"/>
  <c r="R106" i="53" a="1"/>
  <c r="R106" i="53" s="1"/>
  <c r="R129" i="53" s="1"/>
  <c r="H129" i="53"/>
  <c r="G121" i="57"/>
  <c r="P111" i="53"/>
  <c r="C140" i="57"/>
  <c r="Y109" i="57" a="1"/>
  <c r="Y109" i="57" s="1"/>
  <c r="Y140" i="57" s="1"/>
  <c r="R101" i="53" a="1"/>
  <c r="R101" i="53" s="1"/>
  <c r="G116" i="57"/>
  <c r="AC116" i="57" s="1" a="1"/>
  <c r="AC116" i="57" s="1"/>
  <c r="D141" i="57"/>
  <c r="Z114" i="57" a="1"/>
  <c r="Z114" i="57" s="1"/>
  <c r="Z141" i="57" s="1"/>
  <c r="AC134" i="57"/>
  <c r="Q34" i="75" s="1"/>
  <c r="M133" i="57"/>
  <c r="W100" i="43"/>
  <c r="W83" i="42"/>
  <c r="AC131" i="57"/>
  <c r="Q31" i="75" s="1"/>
  <c r="F196" i="57"/>
  <c r="E196" i="57"/>
  <c r="P196" i="57"/>
  <c r="Q196" i="57"/>
  <c r="P137" i="57"/>
  <c r="O37" i="75"/>
  <c r="U32" i="75"/>
  <c r="M31" i="75"/>
  <c r="N137" i="57"/>
  <c r="M37" i="75"/>
  <c r="Q29" i="75"/>
  <c r="P31" i="75"/>
  <c r="AH68" i="57" a="1"/>
  <c r="AH68" i="57" s="1"/>
  <c r="AD71" i="57" a="1"/>
  <c r="AD71" i="57" s="1"/>
  <c r="P34" i="75"/>
  <c r="AD60" i="57" a="1"/>
  <c r="AD60" i="57" s="1"/>
  <c r="O33" i="75"/>
  <c r="D197" i="57"/>
  <c r="M137" i="57"/>
  <c r="L37" i="75"/>
  <c r="O34" i="75"/>
  <c r="N31" i="75"/>
  <c r="M33" i="75"/>
  <c r="O137" i="57"/>
  <c r="N37" i="75"/>
  <c r="Q137" i="57"/>
  <c r="P37" i="75"/>
  <c r="O31" i="75"/>
  <c r="N29" i="75"/>
  <c r="N33" i="75"/>
  <c r="O29" i="75"/>
  <c r="P33" i="75"/>
  <c r="M29" i="75"/>
  <c r="W82" i="42"/>
  <c r="W92" i="42"/>
  <c r="W84" i="42"/>
  <c r="F197" i="57"/>
  <c r="AC133" i="57"/>
  <c r="Q33" i="75" s="1"/>
  <c r="AC135" i="57"/>
  <c r="R135" i="57" s="1"/>
  <c r="W101" i="43"/>
  <c r="W108" i="43" s="1"/>
  <c r="W87" i="42"/>
  <c r="W101" i="42" s="1"/>
  <c r="W88" i="43"/>
  <c r="W89" i="45"/>
  <c r="W96" i="45" s="1"/>
  <c r="W93" i="43"/>
  <c r="W107" i="43" s="1"/>
  <c r="AD84" i="57" a="1"/>
  <c r="AD84" i="57" s="1"/>
  <c r="S174" i="57"/>
  <c r="AD96" i="57" a="1"/>
  <c r="AD96" i="57" s="1"/>
  <c r="S186" i="57"/>
  <c r="AD87" i="57" a="1"/>
  <c r="AD87" i="57" s="1"/>
  <c r="S177" i="57"/>
  <c r="AD85" i="57" a="1"/>
  <c r="AD85" i="57" s="1"/>
  <c r="S175" i="57"/>
  <c r="G195" i="57"/>
  <c r="G196" i="57" s="1"/>
  <c r="R172" i="57"/>
  <c r="R195" i="57" s="1"/>
  <c r="AD91" i="57" a="1"/>
  <c r="AD91" i="57" s="1"/>
  <c r="S181" i="57"/>
  <c r="AD94" i="57" a="1"/>
  <c r="AD94" i="57" s="1"/>
  <c r="S184" i="57"/>
  <c r="AD97" i="57" a="1"/>
  <c r="AD97" i="57" s="1"/>
  <c r="S187" i="57"/>
  <c r="AD82" i="57" a="1"/>
  <c r="AD82" i="57" s="1"/>
  <c r="AD93" i="57" a="1"/>
  <c r="AD93" i="57" s="1"/>
  <c r="S183" i="57"/>
  <c r="AD95" i="57" a="1"/>
  <c r="AD95" i="57" s="1"/>
  <c r="S185" i="57"/>
  <c r="AD92" i="57" a="1"/>
  <c r="AD92" i="57" s="1"/>
  <c r="S182" i="57"/>
  <c r="W87" i="44"/>
  <c r="W94" i="44" s="1"/>
  <c r="W79" i="44"/>
  <c r="W93" i="44" s="1"/>
  <c r="W71" i="45"/>
  <c r="V96" i="42"/>
  <c r="W70" i="44"/>
  <c r="W83" i="43"/>
  <c r="W77" i="42"/>
  <c r="L96" i="42"/>
  <c r="W95" i="42"/>
  <c r="W102" i="42" s="1"/>
  <c r="H159" i="57"/>
  <c r="T65" i="40" a="1"/>
  <c r="T65" i="40" s="1"/>
  <c r="I101" i="40"/>
  <c r="T75" i="40" a="1"/>
  <c r="T75" i="40" s="1"/>
  <c r="T98" i="40" s="1"/>
  <c r="I98" i="40"/>
  <c r="T72" i="40" a="1"/>
  <c r="T72" i="40" s="1"/>
  <c r="T97" i="40" s="1"/>
  <c r="I97" i="40"/>
  <c r="T47" i="40" a="1"/>
  <c r="T47" i="40" s="1"/>
  <c r="T88" i="40" s="1"/>
  <c r="I88" i="40"/>
  <c r="T79" i="40" a="1"/>
  <c r="T79" i="40" s="1"/>
  <c r="T99" i="40" s="1"/>
  <c r="I99" i="40"/>
  <c r="T44" i="40" a="1"/>
  <c r="T44" i="40" s="1"/>
  <c r="T87" i="40" s="1"/>
  <c r="I87" i="40"/>
  <c r="S93" i="40"/>
  <c r="S84" i="40"/>
  <c r="I91" i="40"/>
  <c r="T82" i="40" a="1"/>
  <c r="T82" i="40" s="1"/>
  <c r="T100" i="40" s="1"/>
  <c r="I100" i="40"/>
  <c r="S87" i="40"/>
  <c r="T53" i="40" a="1"/>
  <c r="T53" i="40" s="1"/>
  <c r="T90" i="40" s="1"/>
  <c r="I90" i="40"/>
  <c r="T67" i="40" a="1"/>
  <c r="T67" i="40" s="1"/>
  <c r="T96" i="40" s="1"/>
  <c r="I96" i="40"/>
  <c r="I93" i="40"/>
  <c r="R102" i="40"/>
  <c r="H102" i="40"/>
  <c r="T62" i="40" a="1"/>
  <c r="T62" i="40" s="1"/>
  <c r="T92" i="40" s="1"/>
  <c r="I92" i="40"/>
  <c r="S101" i="40"/>
  <c r="S107" i="40" s="1"/>
  <c r="C161" i="57"/>
  <c r="V167" i="28" s="1"/>
  <c r="D161" i="57"/>
  <c r="W167" i="28" s="1"/>
  <c r="E160" i="57"/>
  <c r="T41" i="40" a="1"/>
  <c r="T41" i="40" s="1"/>
  <c r="J90" i="57"/>
  <c r="R360" i="28" s="1"/>
  <c r="T57" i="40" a="1"/>
  <c r="T57" i="40" s="1"/>
  <c r="U58" i="40" a="1"/>
  <c r="U58" i="40" s="1"/>
  <c r="T58" i="40" a="1"/>
  <c r="T58" i="40" s="1"/>
  <c r="O127" i="57"/>
  <c r="P127" i="57"/>
  <c r="Q127" i="57"/>
  <c r="N127" i="57"/>
  <c r="M127" i="57"/>
  <c r="R129" i="57"/>
  <c r="AH79" i="57" a="1"/>
  <c r="AH79" i="57" s="1"/>
  <c r="AH132" i="57" s="1"/>
  <c r="W132" i="57" s="1"/>
  <c r="R144" i="57"/>
  <c r="AD124" i="57" a="1"/>
  <c r="AD124" i="57" s="1"/>
  <c r="AD145" i="57" s="1"/>
  <c r="S145" i="57" s="1"/>
  <c r="H131" i="57"/>
  <c r="R145" i="57"/>
  <c r="AD122" i="57" a="1"/>
  <c r="AD122" i="57" s="1"/>
  <c r="AD144" i="57" s="1"/>
  <c r="H144" i="57"/>
  <c r="AD125" i="57" a="1"/>
  <c r="AD125" i="57" s="1"/>
  <c r="AD146" i="57" s="1"/>
  <c r="H146" i="57"/>
  <c r="AD129" i="57"/>
  <c r="AC137" i="57"/>
  <c r="P44" i="28" s="1"/>
  <c r="AC127" i="57"/>
  <c r="Q27" i="75" s="1"/>
  <c r="H133" i="57"/>
  <c r="H135" i="57"/>
  <c r="H134" i="57"/>
  <c r="I124" i="57"/>
  <c r="I109" i="59"/>
  <c r="I44" i="57"/>
  <c r="I29" i="59"/>
  <c r="I99" i="59"/>
  <c r="I82" i="57"/>
  <c r="I67" i="59"/>
  <c r="I101" i="59"/>
  <c r="T101" i="59" s="1"/>
  <c r="I85" i="57"/>
  <c r="I70" i="59"/>
  <c r="T70" i="59" s="1"/>
  <c r="I73" i="57"/>
  <c r="AE73" i="57" s="1" a="1"/>
  <c r="AE73" i="57" s="1"/>
  <c r="I58" i="59"/>
  <c r="T58" i="59" s="1"/>
  <c r="J67" i="57"/>
  <c r="AF67" i="57" s="1" a="1"/>
  <c r="AF67" i="57" s="1"/>
  <c r="J52" i="59"/>
  <c r="U52" i="59" s="1"/>
  <c r="I63" i="57"/>
  <c r="AE63" i="57" s="1" a="1"/>
  <c r="AE63" i="57" s="1"/>
  <c r="I48" i="59"/>
  <c r="T48" i="59" s="1"/>
  <c r="I98" i="59"/>
  <c r="T98" i="59" s="1"/>
  <c r="I95" i="59"/>
  <c r="T95" i="59" s="1"/>
  <c r="J49" i="57"/>
  <c r="AF49" i="57" s="1" a="1"/>
  <c r="AF49" i="57" s="1"/>
  <c r="J34" i="59"/>
  <c r="U34" i="59" s="1"/>
  <c r="H129" i="57"/>
  <c r="I122" i="57"/>
  <c r="I107" i="59"/>
  <c r="T107" i="59" s="1"/>
  <c r="I93" i="57"/>
  <c r="I78" i="59"/>
  <c r="T78" i="59" s="1"/>
  <c r="I96" i="59"/>
  <c r="T96" i="59" s="1"/>
  <c r="I97" i="57"/>
  <c r="I82" i="59"/>
  <c r="T82" i="59" s="1"/>
  <c r="I60" i="57"/>
  <c r="I45" i="59"/>
  <c r="I91" i="57"/>
  <c r="I76" i="59"/>
  <c r="T76" i="59" s="1"/>
  <c r="I105" i="59"/>
  <c r="T105" i="59" s="1"/>
  <c r="I94" i="57"/>
  <c r="I79" i="59"/>
  <c r="T79" i="59" s="1"/>
  <c r="I71" i="57"/>
  <c r="I56" i="59"/>
  <c r="T56" i="59" s="1"/>
  <c r="I96" i="57"/>
  <c r="T186" i="57" s="1"/>
  <c r="I81" i="59"/>
  <c r="T81" i="59" s="1"/>
  <c r="I94" i="59"/>
  <c r="I17" i="59"/>
  <c r="I93" i="59"/>
  <c r="T93" i="59" s="1"/>
  <c r="J46" i="57"/>
  <c r="AF46" i="57" s="1" a="1"/>
  <c r="AF46" i="57" s="1"/>
  <c r="J31" i="59"/>
  <c r="U31" i="59" s="1"/>
  <c r="I97" i="59"/>
  <c r="T97" i="59" s="1"/>
  <c r="I125" i="57"/>
  <c r="I146" i="57" s="1"/>
  <c r="I110" i="59"/>
  <c r="T110" i="59" s="1"/>
  <c r="J92" i="57"/>
  <c r="J77" i="59"/>
  <c r="U77" i="59" s="1"/>
  <c r="I106" i="59"/>
  <c r="I95" i="57"/>
  <c r="I80" i="59"/>
  <c r="I92" i="59"/>
  <c r="I119" i="57"/>
  <c r="I104" i="59"/>
  <c r="AD90" i="57" a="1"/>
  <c r="AD90" i="57" s="1"/>
  <c r="I84" i="57"/>
  <c r="I69" i="59"/>
  <c r="T69" i="59" s="1"/>
  <c r="I123" i="57"/>
  <c r="AE123" i="57" s="1" a="1"/>
  <c r="AE123" i="57" s="1"/>
  <c r="I108" i="59"/>
  <c r="I87" i="57"/>
  <c r="I72" i="59"/>
  <c r="T72" i="59" s="1"/>
  <c r="I100" i="59"/>
  <c r="T100" i="59" s="1"/>
  <c r="I117" i="57"/>
  <c r="I102" i="59"/>
  <c r="I118" i="57"/>
  <c r="I103" i="59"/>
  <c r="I72" i="57"/>
  <c r="AE72" i="57" s="1" a="1"/>
  <c r="AE72" i="57" s="1"/>
  <c r="I57" i="59"/>
  <c r="T57" i="59" s="1"/>
  <c r="I90" i="57"/>
  <c r="Q360" i="28" s="1"/>
  <c r="I75" i="59"/>
  <c r="AD32" i="57" a="1"/>
  <c r="AD32" i="57" s="1"/>
  <c r="H127" i="57"/>
  <c r="H137" i="57"/>
  <c r="AH47" i="57" a="1"/>
  <c r="AH47" i="57" s="1"/>
  <c r="AH86" i="57" a="1"/>
  <c r="AH86" i="57" s="1"/>
  <c r="AH64" i="57" a="1"/>
  <c r="AH64" i="57" s="1"/>
  <c r="L126" i="48"/>
  <c r="K127" i="48"/>
  <c r="G108" i="45"/>
  <c r="H107" i="45"/>
  <c r="J127" i="46"/>
  <c r="K126" i="46"/>
  <c r="J106" i="44"/>
  <c r="I107" i="44"/>
  <c r="J119" i="43"/>
  <c r="I120" i="43"/>
  <c r="L122" i="48"/>
  <c r="K102" i="45"/>
  <c r="J103" i="45"/>
  <c r="I114" i="42"/>
  <c r="H115" i="42"/>
  <c r="I32" i="57"/>
  <c r="I112" i="40"/>
  <c r="I117" i="40"/>
  <c r="D118" i="40"/>
  <c r="C119" i="40"/>
  <c r="L115" i="50"/>
  <c r="L121" i="49"/>
  <c r="J115" i="47"/>
  <c r="I116" i="47"/>
  <c r="L121" i="46"/>
  <c r="K122" i="46"/>
  <c r="J101" i="44"/>
  <c r="I102" i="44"/>
  <c r="H115" i="43"/>
  <c r="I114" i="43"/>
  <c r="J110" i="42"/>
  <c r="K109" i="42"/>
  <c r="B111" i="59"/>
  <c r="D113" i="40"/>
  <c r="C114" i="40"/>
  <c r="V49" i="40" a="1"/>
  <c r="V49" i="40" s="1"/>
  <c r="U80" i="40" a="1"/>
  <c r="U80" i="40" s="1"/>
  <c r="U66" i="40" a="1"/>
  <c r="U66" i="40" s="1"/>
  <c r="U64" i="40" a="1"/>
  <c r="U64" i="40" s="1"/>
  <c r="V45" i="40" a="1"/>
  <c r="V45" i="40" s="1"/>
  <c r="U70" i="40" a="1"/>
  <c r="U70" i="40" s="1"/>
  <c r="U68" i="40" a="1"/>
  <c r="U68" i="40" s="1"/>
  <c r="U51" i="40" a="1"/>
  <c r="U51" i="40" s="1"/>
  <c r="V46" i="40" a="1"/>
  <c r="V46" i="40" s="1"/>
  <c r="U56" i="40" a="1"/>
  <c r="U56" i="40" s="1"/>
  <c r="U73" i="40" a="1"/>
  <c r="U73" i="40" s="1"/>
  <c r="U78" i="40" a="1"/>
  <c r="U78" i="40" s="1"/>
  <c r="U74" i="40" a="1"/>
  <c r="U74" i="40" s="1"/>
  <c r="U54" i="40" a="1"/>
  <c r="U54" i="40" s="1"/>
  <c r="U52" i="40" a="1"/>
  <c r="U52" i="40" s="1"/>
  <c r="U81" i="40" a="1"/>
  <c r="U81" i="40" s="1"/>
  <c r="U61" i="40" a="1"/>
  <c r="U61" i="40" s="1"/>
  <c r="U50" i="40" a="1"/>
  <c r="U50" i="40" s="1"/>
  <c r="U55" i="40" a="1"/>
  <c r="U55" i="40" s="1"/>
  <c r="U63" i="40" a="1"/>
  <c r="U63" i="40" s="1"/>
  <c r="U69" i="40" a="1"/>
  <c r="U69" i="40" s="1"/>
  <c r="U48" i="40" a="1"/>
  <c r="U48" i="40" s="1"/>
  <c r="V58" i="40" a="1"/>
  <c r="V58" i="40" s="1"/>
  <c r="U77" i="40" a="1"/>
  <c r="U77" i="40" s="1"/>
  <c r="U71" i="40" a="1"/>
  <c r="U71" i="40" s="1"/>
  <c r="U76" i="40" a="1"/>
  <c r="U76" i="40" s="1"/>
  <c r="U83" i="40" a="1"/>
  <c r="U83" i="40" s="1"/>
  <c r="U60" i="40" a="1"/>
  <c r="U60" i="40" s="1"/>
  <c r="V59" i="40" a="1"/>
  <c r="V59" i="40" s="1"/>
  <c r="Y142" i="57" l="1"/>
  <c r="L190" i="28"/>
  <c r="E137" i="59"/>
  <c r="L179" i="28" s="1"/>
  <c r="F136" i="59"/>
  <c r="E141" i="59"/>
  <c r="D142" i="59"/>
  <c r="L220" i="28" s="1"/>
  <c r="I140" i="59"/>
  <c r="I135" i="59"/>
  <c r="O342" i="28"/>
  <c r="Z142" i="57"/>
  <c r="O142" i="57" s="1"/>
  <c r="M422" i="28"/>
  <c r="AE118" i="57" a="1"/>
  <c r="AE118" i="57" s="1"/>
  <c r="U249" i="28"/>
  <c r="AE119" i="57" a="1"/>
  <c r="AE119" i="57" s="1"/>
  <c r="U251" i="28"/>
  <c r="T181" i="57"/>
  <c r="Q361" i="28"/>
  <c r="J270" i="28"/>
  <c r="K270" i="28"/>
  <c r="N270" i="28"/>
  <c r="L422" i="28"/>
  <c r="M270" i="28"/>
  <c r="L270" i="28"/>
  <c r="R196" i="57"/>
  <c r="N408" i="28"/>
  <c r="K422" i="28"/>
  <c r="N141" i="57"/>
  <c r="J422" i="28"/>
  <c r="J423" i="28"/>
  <c r="N420" i="28"/>
  <c r="N423" i="28" s="1"/>
  <c r="N424" i="28"/>
  <c r="I422" i="28"/>
  <c r="M143" i="57"/>
  <c r="S128" i="59"/>
  <c r="P339" i="28" s="1"/>
  <c r="S129" i="59"/>
  <c r="P340" i="28" s="1"/>
  <c r="H126" i="53"/>
  <c r="T104" i="59"/>
  <c r="Q304" i="28"/>
  <c r="R126" i="53"/>
  <c r="T108" i="59"/>
  <c r="Q305" i="28"/>
  <c r="T103" i="59"/>
  <c r="Q303" i="28"/>
  <c r="R127" i="53"/>
  <c r="P319" i="28"/>
  <c r="P324" i="28" s="1"/>
  <c r="R131" i="53"/>
  <c r="O286" i="28" s="1"/>
  <c r="O287" i="28" s="1"/>
  <c r="H131" i="53"/>
  <c r="S404" i="28"/>
  <c r="O406" i="28"/>
  <c r="O403" i="28"/>
  <c r="H127" i="53"/>
  <c r="O407" i="28"/>
  <c r="O405" i="28"/>
  <c r="W97" i="45"/>
  <c r="J75" i="59"/>
  <c r="U75" i="59" s="1"/>
  <c r="S106" i="40"/>
  <c r="S108" i="40" s="1"/>
  <c r="O417" i="28"/>
  <c r="T94" i="59"/>
  <c r="T126" i="59" s="1"/>
  <c r="Q337" i="28" s="1"/>
  <c r="I126" i="59"/>
  <c r="T45" i="59"/>
  <c r="T118" i="59" s="1"/>
  <c r="I118" i="59"/>
  <c r="T29" i="59"/>
  <c r="T117" i="59" s="1"/>
  <c r="I117" i="59"/>
  <c r="T75" i="59"/>
  <c r="T121" i="59" s="1"/>
  <c r="I121" i="59"/>
  <c r="T102" i="59"/>
  <c r="I128" i="59"/>
  <c r="Q321" i="28" s="1"/>
  <c r="T106" i="59"/>
  <c r="I129" i="59"/>
  <c r="Q322" i="28" s="1"/>
  <c r="S113" i="59"/>
  <c r="S131" i="59"/>
  <c r="P284" i="28" s="1"/>
  <c r="I131" i="59"/>
  <c r="T109" i="59"/>
  <c r="T130" i="59" s="1"/>
  <c r="Q341" i="28" s="1"/>
  <c r="I130" i="59"/>
  <c r="Q323" i="28" s="1"/>
  <c r="T80" i="59"/>
  <c r="T122" i="59" s="1"/>
  <c r="I122" i="59"/>
  <c r="I123" i="59"/>
  <c r="P374" i="28" s="1"/>
  <c r="P377" i="28" s="1"/>
  <c r="T67" i="59"/>
  <c r="T120" i="59" s="1"/>
  <c r="I120" i="59"/>
  <c r="T99" i="59"/>
  <c r="T127" i="59" s="1"/>
  <c r="Q338" i="28" s="1"/>
  <c r="I127" i="59"/>
  <c r="Q320" i="28" s="1"/>
  <c r="S112" i="59"/>
  <c r="S123" i="59"/>
  <c r="O267" i="28"/>
  <c r="T182" i="57"/>
  <c r="S111" i="59"/>
  <c r="O140" i="57"/>
  <c r="T17" i="59"/>
  <c r="I112" i="59"/>
  <c r="N140" i="57"/>
  <c r="R113" i="53"/>
  <c r="T92" i="59"/>
  <c r="I113" i="59"/>
  <c r="H113" i="53"/>
  <c r="O143" i="57"/>
  <c r="N143" i="57"/>
  <c r="Q141" i="57"/>
  <c r="M141" i="57"/>
  <c r="Q140" i="57"/>
  <c r="P141" i="57"/>
  <c r="R134" i="57"/>
  <c r="W95" i="44"/>
  <c r="P142" i="57"/>
  <c r="Q142" i="57"/>
  <c r="W103" i="42"/>
  <c r="S94" i="53" a="1"/>
  <c r="S94" i="53" s="1"/>
  <c r="H109" i="57"/>
  <c r="G143" i="57"/>
  <c r="AC121" i="57" a="1"/>
  <c r="AC121" i="57" s="1"/>
  <c r="AC143" i="57" s="1"/>
  <c r="P140" i="57"/>
  <c r="I129" i="57"/>
  <c r="W109" i="43"/>
  <c r="O141" i="57"/>
  <c r="S106" i="53" a="1"/>
  <c r="S106" i="53" s="1"/>
  <c r="S129" i="53" s="1"/>
  <c r="I129" i="53"/>
  <c r="H121" i="57"/>
  <c r="S98" i="53" a="1"/>
  <c r="S98" i="53" s="1"/>
  <c r="H113" i="57"/>
  <c r="AD113" i="57" s="1" a="1"/>
  <c r="AD113" i="57" s="1"/>
  <c r="G147" i="57"/>
  <c r="G139" i="57"/>
  <c r="G164" i="57"/>
  <c r="AC107" i="57" a="1"/>
  <c r="AC107" i="57" s="1"/>
  <c r="P143" i="57"/>
  <c r="AB147" i="57"/>
  <c r="AB139" i="57"/>
  <c r="Q139" i="57" s="1"/>
  <c r="M139" i="57"/>
  <c r="M142" i="57"/>
  <c r="S92" i="53" a="1"/>
  <c r="S92" i="53" s="1"/>
  <c r="H111" i="53"/>
  <c r="H141" i="53"/>
  <c r="H107" i="57"/>
  <c r="S101" i="53" a="1"/>
  <c r="S101" i="53" s="1"/>
  <c r="H116" i="57"/>
  <c r="AD116" i="57" s="1" a="1"/>
  <c r="AD116" i="57" s="1"/>
  <c r="Y147" i="57"/>
  <c r="Y139" i="57"/>
  <c r="N139" i="57" s="1"/>
  <c r="Q143" i="57"/>
  <c r="Z139" i="57"/>
  <c r="O139" i="57" s="1"/>
  <c r="Z147" i="57"/>
  <c r="S95" i="53" a="1"/>
  <c r="S95" i="53" s="1"/>
  <c r="H110" i="57"/>
  <c r="AD110" i="57" s="1" a="1"/>
  <c r="AD110" i="57" s="1"/>
  <c r="AC120" i="57" a="1"/>
  <c r="AC120" i="57" s="1"/>
  <c r="AC142" i="57" s="1"/>
  <c r="G142" i="57"/>
  <c r="AA139" i="57"/>
  <c r="P139" i="57" s="1"/>
  <c r="AA147" i="57"/>
  <c r="M140" i="57"/>
  <c r="S100" i="53" a="1"/>
  <c r="S100" i="53" s="1"/>
  <c r="H115" i="57"/>
  <c r="AD115" i="57" s="1" a="1"/>
  <c r="AD115" i="57" s="1"/>
  <c r="S105" i="53" a="1"/>
  <c r="S105" i="53" s="1"/>
  <c r="S128" i="53" s="1"/>
  <c r="I128" i="53"/>
  <c r="H120" i="57"/>
  <c r="G141" i="57"/>
  <c r="AC114" i="57" a="1"/>
  <c r="AC114" i="57" s="1"/>
  <c r="AC141" i="57" s="1"/>
  <c r="R111" i="53"/>
  <c r="S99" i="53" a="1"/>
  <c r="S99" i="53" s="1"/>
  <c r="H114" i="57"/>
  <c r="S96" i="53" a="1"/>
  <c r="S96" i="53" s="1"/>
  <c r="H111" i="57"/>
  <c r="AD111" i="57" s="1" a="1"/>
  <c r="AD111" i="57" s="1"/>
  <c r="S97" i="53" a="1"/>
  <c r="S97" i="53" s="1"/>
  <c r="H112" i="57"/>
  <c r="AD112" i="57" s="1" a="1"/>
  <c r="AD112" i="57" s="1"/>
  <c r="N142" i="57"/>
  <c r="AC109" i="57" a="1"/>
  <c r="AC109" i="57" s="1"/>
  <c r="AC140" i="57" s="1"/>
  <c r="G140" i="57"/>
  <c r="S93" i="53" a="1"/>
  <c r="S93" i="53" s="1"/>
  <c r="H108" i="57"/>
  <c r="AD108" i="57" s="1" a="1"/>
  <c r="AD108" i="57" s="1"/>
  <c r="R29" i="75"/>
  <c r="AD134" i="57"/>
  <c r="R34" i="75" s="1"/>
  <c r="R131" i="57"/>
  <c r="AD133" i="57"/>
  <c r="R33" i="75" s="1"/>
  <c r="R133" i="57"/>
  <c r="AD131" i="57"/>
  <c r="R31" i="75" s="1"/>
  <c r="W96" i="42"/>
  <c r="AE71" i="57" a="1"/>
  <c r="AE71" i="57" s="1"/>
  <c r="AE60" i="57" a="1"/>
  <c r="AE60" i="57" s="1"/>
  <c r="V32" i="75"/>
  <c r="T174" i="57"/>
  <c r="R137" i="57"/>
  <c r="Q37" i="75"/>
  <c r="T91" i="40"/>
  <c r="G197" i="57"/>
  <c r="AD135" i="57"/>
  <c r="R35" i="75" s="1"/>
  <c r="AE90" i="57" a="1"/>
  <c r="AE90" i="57" s="1"/>
  <c r="T180" i="57"/>
  <c r="S172" i="57"/>
  <c r="S195" i="57" s="1"/>
  <c r="H195" i="57"/>
  <c r="H196" i="57" s="1"/>
  <c r="AE95" i="57" a="1"/>
  <c r="AE95" i="57" s="1"/>
  <c r="T185" i="57"/>
  <c r="AE97" i="57" a="1"/>
  <c r="AE97" i="57" s="1"/>
  <c r="T187" i="57"/>
  <c r="AE93" i="57" a="1"/>
  <c r="AE93" i="57" s="1"/>
  <c r="T183" i="57"/>
  <c r="AF90" i="57" a="1"/>
  <c r="AF90" i="57" s="1"/>
  <c r="U180" i="57"/>
  <c r="AE87" i="57" a="1"/>
  <c r="AE87" i="57" s="1"/>
  <c r="T177" i="57"/>
  <c r="AF92" i="57" a="1"/>
  <c r="AF92" i="57" s="1"/>
  <c r="U182" i="57"/>
  <c r="AE94" i="57" a="1"/>
  <c r="AE94" i="57" s="1"/>
  <c r="T184" i="57"/>
  <c r="AE85" i="57" a="1"/>
  <c r="AE85" i="57" s="1"/>
  <c r="T175" i="57"/>
  <c r="AE82" i="57" a="1"/>
  <c r="AE82" i="57" s="1"/>
  <c r="S102" i="40"/>
  <c r="U72" i="40" a="1"/>
  <c r="U72" i="40" s="1"/>
  <c r="U97" i="40" s="1"/>
  <c r="J97" i="40"/>
  <c r="U53" i="40" a="1"/>
  <c r="U53" i="40" s="1"/>
  <c r="U90" i="40" s="1"/>
  <c r="J90" i="40"/>
  <c r="U65" i="40" a="1"/>
  <c r="U65" i="40" s="1"/>
  <c r="J101" i="40"/>
  <c r="V57" i="40" a="1"/>
  <c r="V57" i="40" s="1"/>
  <c r="U62" i="40" a="1"/>
  <c r="U62" i="40" s="1"/>
  <c r="U92" i="40" s="1"/>
  <c r="J92" i="40"/>
  <c r="U57" i="40" a="1"/>
  <c r="U57" i="40" s="1"/>
  <c r="U91" i="40" s="1"/>
  <c r="J91" i="40"/>
  <c r="U67" i="40" a="1"/>
  <c r="U67" i="40" s="1"/>
  <c r="U96" i="40" s="1"/>
  <c r="J96" i="40"/>
  <c r="J93" i="40"/>
  <c r="U47" i="40" a="1"/>
  <c r="U47" i="40" s="1"/>
  <c r="U88" i="40" s="1"/>
  <c r="J88" i="40"/>
  <c r="U79" i="40" a="1"/>
  <c r="U79" i="40" s="1"/>
  <c r="U99" i="40" s="1"/>
  <c r="J99" i="40"/>
  <c r="U75" i="40" a="1"/>
  <c r="U75" i="40" s="1"/>
  <c r="U98" i="40" s="1"/>
  <c r="J98" i="40"/>
  <c r="U44" i="40" a="1"/>
  <c r="U44" i="40" s="1"/>
  <c r="U87" i="40" s="1"/>
  <c r="J87" i="40"/>
  <c r="U82" i="40" a="1"/>
  <c r="U82" i="40" s="1"/>
  <c r="U100" i="40" s="1"/>
  <c r="J100" i="40"/>
  <c r="T93" i="40"/>
  <c r="T84" i="40"/>
  <c r="I102" i="40"/>
  <c r="T101" i="40"/>
  <c r="T107" i="40" s="1"/>
  <c r="I159" i="57"/>
  <c r="J76" i="59"/>
  <c r="U76" i="59" s="1"/>
  <c r="F160" i="57"/>
  <c r="E161" i="57"/>
  <c r="X167" i="28" s="1"/>
  <c r="U41" i="40" a="1"/>
  <c r="U41" i="40" s="1"/>
  <c r="J91" i="57"/>
  <c r="R361" i="28" s="1"/>
  <c r="R127" i="57"/>
  <c r="AE125" i="57" a="1"/>
  <c r="AE125" i="57" s="1"/>
  <c r="AE146" i="57" s="1"/>
  <c r="T146" i="57" s="1"/>
  <c r="AE44" i="57" a="1"/>
  <c r="AE44" i="57" s="1"/>
  <c r="AE129" i="57" s="1"/>
  <c r="S144" i="57"/>
  <c r="S146" i="57"/>
  <c r="AE117" i="57" a="1"/>
  <c r="AE117" i="57" s="1"/>
  <c r="S129" i="57"/>
  <c r="AE124" i="57" a="1"/>
  <c r="AE124" i="57" s="1"/>
  <c r="AE145" i="57" s="1"/>
  <c r="I145" i="57"/>
  <c r="AE122" i="57" a="1"/>
  <c r="AE122" i="57" s="1"/>
  <c r="AE144" i="57" s="1"/>
  <c r="I144" i="57"/>
  <c r="AD127" i="57"/>
  <c r="R27" i="75" s="1"/>
  <c r="AD137" i="57"/>
  <c r="Q44" i="28" s="1"/>
  <c r="I133" i="57"/>
  <c r="I135" i="57"/>
  <c r="I134" i="57"/>
  <c r="I131" i="57"/>
  <c r="J125" i="57"/>
  <c r="J146" i="57" s="1"/>
  <c r="J110" i="59"/>
  <c r="U110" i="59" s="1"/>
  <c r="J17" i="59"/>
  <c r="J94" i="57"/>
  <c r="J79" i="59"/>
  <c r="U79" i="59" s="1"/>
  <c r="J87" i="57"/>
  <c r="J72" i="59"/>
  <c r="U72" i="59" s="1"/>
  <c r="J97" i="57"/>
  <c r="J82" i="59"/>
  <c r="U82" i="59" s="1"/>
  <c r="J118" i="57"/>
  <c r="J103" i="59"/>
  <c r="J117" i="57"/>
  <c r="J102" i="59"/>
  <c r="J44" i="57"/>
  <c r="J129" i="57" s="1"/>
  <c r="J29" i="59"/>
  <c r="J84" i="57"/>
  <c r="J69" i="59"/>
  <c r="U69" i="59" s="1"/>
  <c r="J124" i="57"/>
  <c r="J145" i="57" s="1"/>
  <c r="J109" i="59"/>
  <c r="J101" i="59"/>
  <c r="U101" i="59" s="1"/>
  <c r="K49" i="57"/>
  <c r="AG49" i="57" s="1" a="1"/>
  <c r="AG49" i="57" s="1"/>
  <c r="K34" i="59"/>
  <c r="V34" i="59" s="1"/>
  <c r="J97" i="59"/>
  <c r="U97" i="59" s="1"/>
  <c r="J93" i="59"/>
  <c r="U93" i="59" s="1"/>
  <c r="K67" i="57"/>
  <c r="AG67" i="57" s="1" a="1"/>
  <c r="AG67" i="57" s="1"/>
  <c r="K52" i="59"/>
  <c r="V52" i="59" s="1"/>
  <c r="AE96" i="57" a="1"/>
  <c r="AE96" i="57" s="1"/>
  <c r="AE91" i="57" a="1"/>
  <c r="AE91" i="57" s="1"/>
  <c r="J93" i="57"/>
  <c r="J78" i="59"/>
  <c r="U78" i="59" s="1"/>
  <c r="J92" i="59"/>
  <c r="K90" i="57"/>
  <c r="S360" i="28" s="1"/>
  <c r="K75" i="59"/>
  <c r="J100" i="59"/>
  <c r="U100" i="59" s="1"/>
  <c r="K46" i="57"/>
  <c r="AG46" i="57" s="1" a="1"/>
  <c r="AG46" i="57" s="1"/>
  <c r="K31" i="59"/>
  <c r="V31" i="59" s="1"/>
  <c r="J119" i="57"/>
  <c r="J104" i="59"/>
  <c r="J96" i="59"/>
  <c r="U96" i="59" s="1"/>
  <c r="J73" i="57"/>
  <c r="AF73" i="57" s="1" a="1"/>
  <c r="AF73" i="57" s="1"/>
  <c r="J58" i="59"/>
  <c r="U58" i="59" s="1"/>
  <c r="J95" i="59"/>
  <c r="U95" i="59" s="1"/>
  <c r="J95" i="57"/>
  <c r="J80" i="59"/>
  <c r="K91" i="57"/>
  <c r="S361" i="28" s="1"/>
  <c r="K76" i="59"/>
  <c r="V76" i="59" s="1"/>
  <c r="J96" i="57"/>
  <c r="J81" i="59"/>
  <c r="U81" i="59" s="1"/>
  <c r="J85" i="57"/>
  <c r="J70" i="59"/>
  <c r="U70" i="59" s="1"/>
  <c r="J60" i="57"/>
  <c r="J45" i="59"/>
  <c r="J106" i="59"/>
  <c r="K92" i="57"/>
  <c r="K77" i="59"/>
  <c r="V77" i="59" s="1"/>
  <c r="J98" i="59"/>
  <c r="U98" i="59" s="1"/>
  <c r="J63" i="57"/>
  <c r="AF63" i="57" s="1" a="1"/>
  <c r="AF63" i="57" s="1"/>
  <c r="J48" i="59"/>
  <c r="U48" i="59" s="1"/>
  <c r="J94" i="59"/>
  <c r="J71" i="57"/>
  <c r="J56" i="59"/>
  <c r="U56" i="59" s="1"/>
  <c r="J123" i="57"/>
  <c r="AF123" i="57" s="1" a="1"/>
  <c r="AF123" i="57" s="1"/>
  <c r="J108" i="59"/>
  <c r="J105" i="59"/>
  <c r="U105" i="59" s="1"/>
  <c r="J72" i="57"/>
  <c r="AF72" i="57" s="1" a="1"/>
  <c r="AF72" i="57" s="1"/>
  <c r="J57" i="59"/>
  <c r="U57" i="59" s="1"/>
  <c r="J99" i="59"/>
  <c r="J122" i="57"/>
  <c r="J107" i="59"/>
  <c r="U107" i="59" s="1"/>
  <c r="J82" i="57"/>
  <c r="J67" i="59"/>
  <c r="AE84" i="57" a="1"/>
  <c r="AE84" i="57" s="1"/>
  <c r="AE32" i="57" a="1"/>
  <c r="AE32" i="57" s="1"/>
  <c r="I127" i="57"/>
  <c r="I137" i="57"/>
  <c r="L126" i="46"/>
  <c r="K127" i="46"/>
  <c r="I107" i="45"/>
  <c r="H108" i="45"/>
  <c r="K119" i="43"/>
  <c r="J120" i="43"/>
  <c r="L127" i="48"/>
  <c r="J107" i="44"/>
  <c r="K106" i="44"/>
  <c r="L102" i="45"/>
  <c r="K103" i="45"/>
  <c r="J114" i="42"/>
  <c r="I115" i="42"/>
  <c r="J117" i="40"/>
  <c r="J32" i="57"/>
  <c r="J112" i="40"/>
  <c r="E118" i="40"/>
  <c r="D119" i="40"/>
  <c r="J116" i="47"/>
  <c r="K115" i="47"/>
  <c r="L122" i="46"/>
  <c r="J102" i="44"/>
  <c r="K101" i="44"/>
  <c r="I115" i="43"/>
  <c r="J114" i="43"/>
  <c r="K110" i="42"/>
  <c r="L109" i="42"/>
  <c r="C111" i="59"/>
  <c r="D114" i="40"/>
  <c r="E113" i="40"/>
  <c r="W59" i="40" a="1"/>
  <c r="W59" i="40" s="1"/>
  <c r="V83" i="40" a="1"/>
  <c r="V83" i="40" s="1"/>
  <c r="V76" i="40" a="1"/>
  <c r="V76" i="40" s="1"/>
  <c r="V77" i="40" a="1"/>
  <c r="V77" i="40" s="1"/>
  <c r="V69" i="40" a="1"/>
  <c r="V69" i="40" s="1"/>
  <c r="V55" i="40" a="1"/>
  <c r="V55" i="40" s="1"/>
  <c r="V52" i="40" a="1"/>
  <c r="V52" i="40" s="1"/>
  <c r="V74" i="40" a="1"/>
  <c r="V74" i="40" s="1"/>
  <c r="V73" i="40" a="1"/>
  <c r="V73" i="40" s="1"/>
  <c r="V51" i="40" a="1"/>
  <c r="V51" i="40" s="1"/>
  <c r="V64" i="40" a="1"/>
  <c r="V64" i="40" s="1"/>
  <c r="V80" i="40" a="1"/>
  <c r="V80" i="40" s="1"/>
  <c r="W49" i="40" a="1"/>
  <c r="W49" i="40" s="1"/>
  <c r="V60" i="40" a="1"/>
  <c r="V60" i="40" s="1"/>
  <c r="V71" i="40" a="1"/>
  <c r="V71" i="40" s="1"/>
  <c r="W58" i="40" a="1"/>
  <c r="W58" i="40" s="1"/>
  <c r="V48" i="40" a="1"/>
  <c r="V48" i="40" s="1"/>
  <c r="V63" i="40" a="1"/>
  <c r="V63" i="40" s="1"/>
  <c r="V50" i="40" a="1"/>
  <c r="V50" i="40" s="1"/>
  <c r="V61" i="40" a="1"/>
  <c r="V61" i="40" s="1"/>
  <c r="V81" i="40" a="1"/>
  <c r="V81" i="40" s="1"/>
  <c r="V54" i="40" a="1"/>
  <c r="V54" i="40" s="1"/>
  <c r="V78" i="40" a="1"/>
  <c r="V78" i="40" s="1"/>
  <c r="V56" i="40" a="1"/>
  <c r="V56" i="40" s="1"/>
  <c r="W46" i="40" a="1"/>
  <c r="W46" i="40" s="1"/>
  <c r="V68" i="40" a="1"/>
  <c r="V68" i="40" s="1"/>
  <c r="V70" i="40" a="1"/>
  <c r="V70" i="40" s="1"/>
  <c r="W45" i="40" a="1"/>
  <c r="W45" i="40" s="1"/>
  <c r="V66" i="40" a="1"/>
  <c r="V66" i="40" s="1"/>
  <c r="F141" i="59" l="1"/>
  <c r="E142" i="59"/>
  <c r="M220" i="28" s="1"/>
  <c r="J140" i="59"/>
  <c r="J135" i="59"/>
  <c r="M190" i="28"/>
  <c r="G136" i="59"/>
  <c r="F137" i="59"/>
  <c r="M179" i="28" s="1"/>
  <c r="AF119" i="57" a="1"/>
  <c r="AF119" i="57" s="1"/>
  <c r="V251" i="28"/>
  <c r="AF118" i="57" a="1"/>
  <c r="AF118" i="57" s="1"/>
  <c r="V249" i="28"/>
  <c r="M273" i="28"/>
  <c r="J273" i="28"/>
  <c r="N273" i="28"/>
  <c r="K273" i="28"/>
  <c r="O270" i="28"/>
  <c r="L273" i="28"/>
  <c r="S196" i="57"/>
  <c r="O408" i="28"/>
  <c r="N422" i="28"/>
  <c r="O420" i="28"/>
  <c r="O424" i="28"/>
  <c r="P342" i="28"/>
  <c r="S127" i="53"/>
  <c r="U104" i="59"/>
  <c r="R304" i="28"/>
  <c r="U103" i="59"/>
  <c r="R303" i="28"/>
  <c r="U108" i="59"/>
  <c r="R305" i="28"/>
  <c r="Q319" i="28"/>
  <c r="Q324" i="28" s="1"/>
  <c r="T129" i="59"/>
  <c r="Q340" i="28" s="1"/>
  <c r="T128" i="59"/>
  <c r="Q339" i="28" s="1"/>
  <c r="S131" i="53"/>
  <c r="P286" i="28" s="1"/>
  <c r="P287" i="28" s="1"/>
  <c r="I126" i="53"/>
  <c r="P405" i="28"/>
  <c r="I131" i="53"/>
  <c r="S126" i="53"/>
  <c r="I127" i="53"/>
  <c r="P406" i="28"/>
  <c r="P403" i="28"/>
  <c r="P407" i="28"/>
  <c r="T111" i="59"/>
  <c r="T129" i="57"/>
  <c r="T106" i="40"/>
  <c r="P417" i="28"/>
  <c r="U106" i="59"/>
  <c r="J129" i="59"/>
  <c r="R322" i="28" s="1"/>
  <c r="J131" i="59"/>
  <c r="U45" i="59"/>
  <c r="U118" i="59" s="1"/>
  <c r="J118" i="59"/>
  <c r="U80" i="59"/>
  <c r="U122" i="59" s="1"/>
  <c r="J122" i="59"/>
  <c r="U109" i="59"/>
  <c r="U130" i="59" s="1"/>
  <c r="R341" i="28" s="1"/>
  <c r="J130" i="59"/>
  <c r="R323" i="28" s="1"/>
  <c r="U29" i="59"/>
  <c r="U117" i="59" s="1"/>
  <c r="J117" i="59"/>
  <c r="J123" i="59"/>
  <c r="Q374" i="28" s="1"/>
  <c r="Q377" i="28" s="1"/>
  <c r="T113" i="59"/>
  <c r="T131" i="59"/>
  <c r="Q284" i="28" s="1"/>
  <c r="T112" i="59"/>
  <c r="T123" i="59"/>
  <c r="U67" i="59"/>
  <c r="U120" i="59" s="1"/>
  <c r="J120" i="59"/>
  <c r="U99" i="59"/>
  <c r="U127" i="59" s="1"/>
  <c r="R338" i="28" s="1"/>
  <c r="J127" i="59"/>
  <c r="R320" i="28" s="1"/>
  <c r="U94" i="59"/>
  <c r="U126" i="59" s="1"/>
  <c r="R337" i="28" s="1"/>
  <c r="J126" i="59"/>
  <c r="V75" i="59"/>
  <c r="P267" i="28"/>
  <c r="J121" i="59"/>
  <c r="U102" i="59"/>
  <c r="J128" i="59"/>
  <c r="R321" i="28" s="1"/>
  <c r="U121" i="59"/>
  <c r="K120" i="28"/>
  <c r="AB148" i="57"/>
  <c r="R142" i="57"/>
  <c r="U17" i="59"/>
  <c r="J112" i="59"/>
  <c r="K121" i="28"/>
  <c r="S113" i="53"/>
  <c r="I113" i="53"/>
  <c r="U92" i="59"/>
  <c r="J113" i="59"/>
  <c r="R140" i="57"/>
  <c r="K119" i="28"/>
  <c r="S133" i="57"/>
  <c r="S134" i="57"/>
  <c r="T108" i="40"/>
  <c r="R141" i="57"/>
  <c r="R143" i="57"/>
  <c r="T99" i="53" a="1"/>
  <c r="T99" i="53" s="1"/>
  <c r="I114" i="57"/>
  <c r="AD121" i="57" a="1"/>
  <c r="AD121" i="57" s="1"/>
  <c r="AD143" i="57" s="1"/>
  <c r="H143" i="57"/>
  <c r="T100" i="53" a="1"/>
  <c r="T100" i="53" s="1"/>
  <c r="I115" i="57"/>
  <c r="AE115" i="57" s="1" a="1"/>
  <c r="AE115" i="57" s="1"/>
  <c r="T95" i="53" a="1"/>
  <c r="T95" i="53" s="1"/>
  <c r="I110" i="57"/>
  <c r="AE110" i="57" s="1" a="1"/>
  <c r="AE110" i="57" s="1"/>
  <c r="S111" i="53"/>
  <c r="AC139" i="57"/>
  <c r="R139" i="57" s="1"/>
  <c r="AC147" i="57"/>
  <c r="T106" i="53" a="1"/>
  <c r="T106" i="53" s="1"/>
  <c r="T129" i="53" s="1"/>
  <c r="J129" i="53"/>
  <c r="I121" i="57"/>
  <c r="O197" i="57"/>
  <c r="O147" i="57"/>
  <c r="Z148" i="57"/>
  <c r="T101" i="53" a="1"/>
  <c r="T101" i="53" s="1"/>
  <c r="I116" i="57"/>
  <c r="AE116" i="57" s="1" a="1"/>
  <c r="AE116" i="57" s="1"/>
  <c r="AD109" i="57" a="1"/>
  <c r="AD109" i="57" s="1"/>
  <c r="AD140" i="57" s="1"/>
  <c r="H140" i="57"/>
  <c r="T97" i="53" a="1"/>
  <c r="T97" i="53" s="1"/>
  <c r="I112" i="57"/>
  <c r="AE112" i="57" s="1" a="1"/>
  <c r="AE112" i="57" s="1"/>
  <c r="P197" i="57"/>
  <c r="P147" i="57"/>
  <c r="AA148" i="57"/>
  <c r="T94" i="53" a="1"/>
  <c r="T94" i="53" s="1"/>
  <c r="I109" i="57"/>
  <c r="T93" i="53" a="1"/>
  <c r="T93" i="53" s="1"/>
  <c r="I108" i="57"/>
  <c r="AE108" i="57" s="1" a="1"/>
  <c r="AE108" i="57" s="1"/>
  <c r="T96" i="53" a="1"/>
  <c r="T96" i="53" s="1"/>
  <c r="I111" i="57"/>
  <c r="AE111" i="57" s="1" a="1"/>
  <c r="AE111" i="57" s="1"/>
  <c r="H164" i="57"/>
  <c r="AD107" i="57" a="1"/>
  <c r="AD107" i="57" s="1"/>
  <c r="H147" i="57"/>
  <c r="H139" i="57"/>
  <c r="AD120" i="57" a="1"/>
  <c r="AD120" i="57" s="1"/>
  <c r="AD142" i="57" s="1"/>
  <c r="H142" i="57"/>
  <c r="Q147" i="57"/>
  <c r="Q197" i="57"/>
  <c r="Q198" i="57" s="1"/>
  <c r="AD114" i="57" a="1"/>
  <c r="AD114" i="57" s="1"/>
  <c r="AD141" i="57" s="1"/>
  <c r="H141" i="57"/>
  <c r="T105" i="53" a="1"/>
  <c r="T105" i="53" s="1"/>
  <c r="T128" i="53" s="1"/>
  <c r="J128" i="53"/>
  <c r="I120" i="57"/>
  <c r="T92" i="53" a="1"/>
  <c r="T92" i="53" s="1"/>
  <c r="I111" i="53"/>
  <c r="I141" i="53"/>
  <c r="I107" i="57"/>
  <c r="T98" i="53" a="1"/>
  <c r="T98" i="53" s="1"/>
  <c r="I113" i="57"/>
  <c r="AE113" i="57" s="1" a="1"/>
  <c r="AE113" i="57" s="1"/>
  <c r="N147" i="57"/>
  <c r="AE131" i="57"/>
  <c r="S31" i="75" s="1"/>
  <c r="AE135" i="57"/>
  <c r="S35" i="75" s="1"/>
  <c r="S131" i="57"/>
  <c r="S135" i="57"/>
  <c r="S29" i="75"/>
  <c r="AF60" i="57" a="1"/>
  <c r="AF60" i="57" s="1"/>
  <c r="AF71" i="57" a="1"/>
  <c r="AF71" i="57" s="1"/>
  <c r="S137" i="57"/>
  <c r="R37" i="75"/>
  <c r="AE133" i="57"/>
  <c r="S33" i="75" s="1"/>
  <c r="AE134" i="57"/>
  <c r="S34" i="75" s="1"/>
  <c r="H197" i="57"/>
  <c r="AF85" i="57" a="1"/>
  <c r="AF85" i="57" s="1"/>
  <c r="U175" i="57"/>
  <c r="AG91" i="57" a="1"/>
  <c r="AG91" i="57" s="1"/>
  <c r="V181" i="57"/>
  <c r="AF87" i="57" a="1"/>
  <c r="AF87" i="57" s="1"/>
  <c r="U177" i="57"/>
  <c r="AF91" i="57" a="1"/>
  <c r="AF91" i="57" s="1"/>
  <c r="U181" i="57"/>
  <c r="I195" i="57"/>
  <c r="I196" i="57" s="1"/>
  <c r="T172" i="57"/>
  <c r="T195" i="57" s="1"/>
  <c r="AF93" i="57" a="1"/>
  <c r="AF93" i="57" s="1"/>
  <c r="U183" i="57"/>
  <c r="AG92" i="57" a="1"/>
  <c r="AG92" i="57" s="1"/>
  <c r="V182" i="57"/>
  <c r="AF96" i="57" a="1"/>
  <c r="AF96" i="57" s="1"/>
  <c r="U186" i="57"/>
  <c r="AF95" i="57" a="1"/>
  <c r="AF95" i="57" s="1"/>
  <c r="U185" i="57"/>
  <c r="AG90" i="57" a="1"/>
  <c r="AG90" i="57" s="1"/>
  <c r="V180" i="57"/>
  <c r="AF84" i="57" a="1"/>
  <c r="AF84" i="57" s="1"/>
  <c r="U174" i="57"/>
  <c r="AF97" i="57" a="1"/>
  <c r="AF97" i="57" s="1"/>
  <c r="U187" i="57"/>
  <c r="AF94" i="57" a="1"/>
  <c r="AF94" i="57" s="1"/>
  <c r="U184" i="57"/>
  <c r="AF82" i="57" a="1"/>
  <c r="AF82" i="57" s="1"/>
  <c r="T102" i="40"/>
  <c r="K93" i="40"/>
  <c r="W57" i="40" a="1"/>
  <c r="W57" i="40" s="1"/>
  <c r="V65" i="40" a="1"/>
  <c r="V65" i="40" s="1"/>
  <c r="K101" i="40"/>
  <c r="K91" i="40"/>
  <c r="V79" i="40" a="1"/>
  <c r="V79" i="40" s="1"/>
  <c r="V99" i="40" s="1"/>
  <c r="K99" i="40"/>
  <c r="V62" i="40" a="1"/>
  <c r="V62" i="40" s="1"/>
  <c r="V92" i="40" s="1"/>
  <c r="K92" i="40"/>
  <c r="V47" i="40" a="1"/>
  <c r="V47" i="40" s="1"/>
  <c r="V88" i="40" s="1"/>
  <c r="K88" i="40"/>
  <c r="V67" i="40" a="1"/>
  <c r="V67" i="40" s="1"/>
  <c r="V96" i="40" s="1"/>
  <c r="K96" i="40"/>
  <c r="V82" i="40" a="1"/>
  <c r="V82" i="40" s="1"/>
  <c r="V100" i="40" s="1"/>
  <c r="K100" i="40"/>
  <c r="V44" i="40" a="1"/>
  <c r="V44" i="40" s="1"/>
  <c r="V87" i="40" s="1"/>
  <c r="K87" i="40"/>
  <c r="U84" i="40"/>
  <c r="U93" i="40"/>
  <c r="V91" i="40"/>
  <c r="J102" i="40"/>
  <c r="V53" i="40" a="1"/>
  <c r="V53" i="40" s="1"/>
  <c r="V90" i="40" s="1"/>
  <c r="K90" i="40"/>
  <c r="V72" i="40" a="1"/>
  <c r="V72" i="40" s="1"/>
  <c r="V97" i="40" s="1"/>
  <c r="K97" i="40"/>
  <c r="V75" i="40" a="1"/>
  <c r="V75" i="40" s="1"/>
  <c r="V98" i="40" s="1"/>
  <c r="K98" i="40"/>
  <c r="U101" i="40"/>
  <c r="U107" i="40" s="1"/>
  <c r="J159" i="57"/>
  <c r="F161" i="57"/>
  <c r="Y167" i="28" s="1"/>
  <c r="G160" i="57"/>
  <c r="V41" i="40" a="1"/>
  <c r="V41" i="40" s="1"/>
  <c r="S127" i="57"/>
  <c r="AF44" i="57" a="1"/>
  <c r="AF44" i="57" s="1"/>
  <c r="AF129" i="57" s="1"/>
  <c r="U129" i="57" s="1"/>
  <c r="AF125" i="57" a="1"/>
  <c r="AF125" i="57" s="1"/>
  <c r="AF146" i="57" s="1"/>
  <c r="U146" i="57" s="1"/>
  <c r="T145" i="57"/>
  <c r="J134" i="57"/>
  <c r="J135" i="57"/>
  <c r="T144" i="57"/>
  <c r="AF124" i="57" a="1"/>
  <c r="AF124" i="57" s="1"/>
  <c r="AF145" i="57" s="1"/>
  <c r="U145" i="57" s="1"/>
  <c r="AF122" i="57" a="1"/>
  <c r="AF122" i="57" s="1"/>
  <c r="AF144" i="57" s="1"/>
  <c r="J144" i="57"/>
  <c r="AF117" i="57" a="1"/>
  <c r="AF117" i="57" s="1"/>
  <c r="J133" i="57"/>
  <c r="AE127" i="57"/>
  <c r="S27" i="75" s="1"/>
  <c r="AE137" i="57"/>
  <c r="R44" i="28" s="1"/>
  <c r="J131" i="57"/>
  <c r="K95" i="59"/>
  <c r="V95" i="59" s="1"/>
  <c r="K96" i="57"/>
  <c r="K81" i="59"/>
  <c r="V81" i="59" s="1"/>
  <c r="K60" i="57"/>
  <c r="K45" i="59"/>
  <c r="K93" i="59"/>
  <c r="V93" i="59" s="1"/>
  <c r="K98" i="59"/>
  <c r="V98" i="59" s="1"/>
  <c r="K122" i="57"/>
  <c r="K107" i="59"/>
  <c r="V107" i="59" s="1"/>
  <c r="K72" i="57"/>
  <c r="AG72" i="57" s="1" a="1"/>
  <c r="AG72" i="57" s="1"/>
  <c r="K57" i="59"/>
  <c r="V57" i="59" s="1"/>
  <c r="K44" i="57"/>
  <c r="K129" i="57" s="1"/>
  <c r="K29" i="59"/>
  <c r="K87" i="57"/>
  <c r="AG87" i="57" s="1" a="1"/>
  <c r="AG87" i="57" s="1"/>
  <c r="K72" i="59"/>
  <c r="V72" i="59" s="1"/>
  <c r="K93" i="57"/>
  <c r="K78" i="59"/>
  <c r="V78" i="59" s="1"/>
  <c r="K97" i="57"/>
  <c r="K82" i="59"/>
  <c r="V82" i="59" s="1"/>
  <c r="K100" i="59"/>
  <c r="V100" i="59" s="1"/>
  <c r="K92" i="59"/>
  <c r="L46" i="57"/>
  <c r="AH46" i="57" s="1" a="1"/>
  <c r="AH46" i="57" s="1"/>
  <c r="L31" i="59"/>
  <c r="W31" i="59" s="1"/>
  <c r="K94" i="57"/>
  <c r="K79" i="59"/>
  <c r="V79" i="59" s="1"/>
  <c r="K17" i="59"/>
  <c r="L90" i="57"/>
  <c r="T360" i="28" s="1"/>
  <c r="L75" i="59"/>
  <c r="K125" i="57"/>
  <c r="K146" i="57" s="1"/>
  <c r="K110" i="59"/>
  <c r="V110" i="59" s="1"/>
  <c r="K123" i="57"/>
  <c r="AG123" i="57" s="1" a="1"/>
  <c r="AG123" i="57" s="1"/>
  <c r="K108" i="59"/>
  <c r="L49" i="57"/>
  <c r="AH49" i="57" s="1" a="1"/>
  <c r="AH49" i="57" s="1"/>
  <c r="L34" i="59"/>
  <c r="W34" i="59" s="1"/>
  <c r="K124" i="57"/>
  <c r="K109" i="59"/>
  <c r="K63" i="57"/>
  <c r="AG63" i="57" s="1" a="1"/>
  <c r="AG63" i="57" s="1"/>
  <c r="K48" i="59"/>
  <c r="V48" i="59" s="1"/>
  <c r="K106" i="59"/>
  <c r="K85" i="57"/>
  <c r="K70" i="59"/>
  <c r="V70" i="59" s="1"/>
  <c r="L91" i="57"/>
  <c r="T361" i="28" s="1"/>
  <c r="L76" i="59"/>
  <c r="W76" i="59" s="1"/>
  <c r="K94" i="59"/>
  <c r="K118" i="57"/>
  <c r="K103" i="59"/>
  <c r="K82" i="57"/>
  <c r="K67" i="59"/>
  <c r="K97" i="59"/>
  <c r="V97" i="59" s="1"/>
  <c r="K105" i="59"/>
  <c r="V105" i="59" s="1"/>
  <c r="K71" i="57"/>
  <c r="K56" i="59"/>
  <c r="V56" i="59" s="1"/>
  <c r="L67" i="57"/>
  <c r="AH67" i="57" s="1" a="1"/>
  <c r="AH67" i="57" s="1"/>
  <c r="L52" i="59"/>
  <c r="W52" i="59" s="1"/>
  <c r="K99" i="59"/>
  <c r="K101" i="59"/>
  <c r="V101" i="59" s="1"/>
  <c r="K84" i="57"/>
  <c r="K69" i="59"/>
  <c r="V69" i="59" s="1"/>
  <c r="K117" i="57"/>
  <c r="K102" i="59"/>
  <c r="L92" i="57"/>
  <c r="L77" i="59"/>
  <c r="W77" i="59" s="1"/>
  <c r="K73" i="57"/>
  <c r="AG73" i="57" s="1" a="1"/>
  <c r="AG73" i="57" s="1"/>
  <c r="K58" i="59"/>
  <c r="V58" i="59" s="1"/>
  <c r="K96" i="59"/>
  <c r="V96" i="59" s="1"/>
  <c r="K119" i="57"/>
  <c r="K104" i="59"/>
  <c r="K95" i="57"/>
  <c r="K80" i="59"/>
  <c r="AF32" i="57" a="1"/>
  <c r="AF32" i="57" s="1"/>
  <c r="J127" i="57"/>
  <c r="J137" i="57"/>
  <c r="I108" i="45"/>
  <c r="J107" i="45"/>
  <c r="L119" i="43"/>
  <c r="K120" i="43"/>
  <c r="L127" i="46"/>
  <c r="L106" i="44"/>
  <c r="K107" i="44"/>
  <c r="K191" i="28"/>
  <c r="L103" i="45"/>
  <c r="J115" i="42"/>
  <c r="K114" i="42"/>
  <c r="K32" i="57"/>
  <c r="K112" i="40"/>
  <c r="K117" i="40"/>
  <c r="F118" i="40"/>
  <c r="E119" i="40"/>
  <c r="D111" i="59"/>
  <c r="L115" i="47"/>
  <c r="K116" i="47"/>
  <c r="L101" i="44"/>
  <c r="K102" i="44"/>
  <c r="K114" i="43"/>
  <c r="J115" i="43"/>
  <c r="L110" i="42"/>
  <c r="E114" i="40"/>
  <c r="F113" i="40"/>
  <c r="W56" i="40" a="1"/>
  <c r="W56" i="40" s="1"/>
  <c r="W73" i="40" a="1"/>
  <c r="W73" i="40" s="1"/>
  <c r="W52" i="40" a="1"/>
  <c r="W52" i="40" s="1"/>
  <c r="W69" i="40" a="1"/>
  <c r="W69" i="40" s="1"/>
  <c r="W77" i="40" a="1"/>
  <c r="W77" i="40" s="1"/>
  <c r="W68" i="40" a="1"/>
  <c r="W68" i="40" s="1"/>
  <c r="W54" i="40" a="1"/>
  <c r="W54" i="40" s="1"/>
  <c r="W61" i="40" a="1"/>
  <c r="W61" i="40" s="1"/>
  <c r="W63" i="40" a="1"/>
  <c r="W63" i="40" s="1"/>
  <c r="W80" i="40" a="1"/>
  <c r="W80" i="40" s="1"/>
  <c r="W51" i="40" a="1"/>
  <c r="W51" i="40" s="1"/>
  <c r="W83" i="40" a="1"/>
  <c r="W83" i="40" s="1"/>
  <c r="W81" i="40" a="1"/>
  <c r="W81" i="40" s="1"/>
  <c r="W48" i="40" a="1"/>
  <c r="W48" i="40" s="1"/>
  <c r="W60" i="40" a="1"/>
  <c r="W60" i="40" s="1"/>
  <c r="W64" i="40" a="1"/>
  <c r="W64" i="40" s="1"/>
  <c r="W66" i="40" a="1"/>
  <c r="W66" i="40" s="1"/>
  <c r="W70" i="40" a="1"/>
  <c r="W70" i="40" s="1"/>
  <c r="W78" i="40" a="1"/>
  <c r="W78" i="40" s="1"/>
  <c r="W50" i="40" a="1"/>
  <c r="W50" i="40" s="1"/>
  <c r="W71" i="40" a="1"/>
  <c r="W71" i="40" s="1"/>
  <c r="W74" i="40" a="1"/>
  <c r="W74" i="40" s="1"/>
  <c r="W55" i="40" a="1"/>
  <c r="W55" i="40" s="1"/>
  <c r="W76" i="40" a="1"/>
  <c r="W76" i="40" s="1"/>
  <c r="K135" i="59" l="1"/>
  <c r="K140" i="59"/>
  <c r="N190" i="28"/>
  <c r="H136" i="59"/>
  <c r="G137" i="59"/>
  <c r="N179" i="28" s="1"/>
  <c r="F142" i="59"/>
  <c r="N220" i="28" s="1"/>
  <c r="G141" i="59"/>
  <c r="AG118" i="57" a="1"/>
  <c r="AG118" i="57" s="1"/>
  <c r="W249" i="28"/>
  <c r="AG119" i="57" a="1"/>
  <c r="AG119" i="57" s="1"/>
  <c r="W251" i="28"/>
  <c r="O273" i="28"/>
  <c r="P270" i="28"/>
  <c r="T196" i="57"/>
  <c r="P408" i="28"/>
  <c r="O423" i="28"/>
  <c r="O422" i="28"/>
  <c r="P420" i="28"/>
  <c r="P422" i="28" s="1"/>
  <c r="P424" i="28"/>
  <c r="U128" i="59"/>
  <c r="R339" i="28" s="1"/>
  <c r="U129" i="59"/>
  <c r="R340" i="28" s="1"/>
  <c r="V104" i="59"/>
  <c r="S304" i="28"/>
  <c r="Q342" i="28"/>
  <c r="V103" i="59"/>
  <c r="S303" i="28"/>
  <c r="V108" i="59"/>
  <c r="S305" i="28"/>
  <c r="R319" i="28"/>
  <c r="R324" i="28" s="1"/>
  <c r="T131" i="53"/>
  <c r="Q286" i="28" s="1"/>
  <c r="Q287" i="28" s="1"/>
  <c r="J126" i="53"/>
  <c r="Q406" i="28"/>
  <c r="Q405" i="28"/>
  <c r="T126" i="53"/>
  <c r="Q407" i="28"/>
  <c r="J131" i="53"/>
  <c r="J127" i="53"/>
  <c r="T127" i="53"/>
  <c r="Q403" i="28"/>
  <c r="U106" i="40"/>
  <c r="Q417" i="28"/>
  <c r="U111" i="59"/>
  <c r="V99" i="59"/>
  <c r="V127" i="59" s="1"/>
  <c r="S338" i="28" s="1"/>
  <c r="K127" i="59"/>
  <c r="S320" i="28" s="1"/>
  <c r="V106" i="59"/>
  <c r="K129" i="59"/>
  <c r="S322" i="28" s="1"/>
  <c r="W75" i="59"/>
  <c r="K121" i="59"/>
  <c r="Q267" i="28"/>
  <c r="U112" i="59"/>
  <c r="U123" i="59"/>
  <c r="V121" i="59"/>
  <c r="V80" i="59"/>
  <c r="V122" i="59" s="1"/>
  <c r="K122" i="59"/>
  <c r="K123" i="59"/>
  <c r="R374" i="28" s="1"/>
  <c r="R377" i="28" s="1"/>
  <c r="V102" i="59"/>
  <c r="K128" i="59"/>
  <c r="S321" i="28" s="1"/>
  <c r="V67" i="59"/>
  <c r="V120" i="59" s="1"/>
  <c r="K120" i="59"/>
  <c r="V94" i="59"/>
  <c r="V126" i="59" s="1"/>
  <c r="S337" i="28" s="1"/>
  <c r="K126" i="59"/>
  <c r="V109" i="59"/>
  <c r="V130" i="59" s="1"/>
  <c r="S341" i="28" s="1"/>
  <c r="K130" i="59"/>
  <c r="S323" i="28" s="1"/>
  <c r="K131" i="59"/>
  <c r="V29" i="59"/>
  <c r="V117" i="59" s="1"/>
  <c r="K117" i="59"/>
  <c r="V45" i="59"/>
  <c r="V118" i="59" s="1"/>
  <c r="K118" i="59"/>
  <c r="U113" i="59"/>
  <c r="U131" i="59"/>
  <c r="R284" i="28" s="1"/>
  <c r="J113" i="53"/>
  <c r="T113" i="53"/>
  <c r="V17" i="59"/>
  <c r="K112" i="59"/>
  <c r="V92" i="59"/>
  <c r="K113" i="59"/>
  <c r="S142" i="57"/>
  <c r="S141" i="57"/>
  <c r="U98" i="53" a="1"/>
  <c r="U98" i="53" s="1"/>
  <c r="J113" i="57"/>
  <c r="AF113" i="57" s="1" a="1"/>
  <c r="AF113" i="57" s="1"/>
  <c r="AC148" i="57"/>
  <c r="R197" i="57"/>
  <c r="R198" i="57" s="1"/>
  <c r="R147" i="57"/>
  <c r="AE109" i="57" a="1"/>
  <c r="AE109" i="57" s="1"/>
  <c r="AE140" i="57" s="1"/>
  <c r="I140" i="57"/>
  <c r="S143" i="57"/>
  <c r="U94" i="53" a="1"/>
  <c r="U94" i="53" s="1"/>
  <c r="J109" i="57"/>
  <c r="U97" i="53" a="1"/>
  <c r="U97" i="53" s="1"/>
  <c r="J112" i="57"/>
  <c r="AF112" i="57" s="1" a="1"/>
  <c r="AF112" i="57" s="1"/>
  <c r="AE107" i="57" a="1"/>
  <c r="AE107" i="57" s="1"/>
  <c r="I147" i="57"/>
  <c r="I139" i="57"/>
  <c r="I164" i="57"/>
  <c r="AD139" i="57"/>
  <c r="S139" i="57" s="1"/>
  <c r="AD147" i="57"/>
  <c r="S140" i="57"/>
  <c r="U92" i="53" a="1"/>
  <c r="U92" i="53" s="1"/>
  <c r="J141" i="53"/>
  <c r="J111" i="53"/>
  <c r="J107" i="57"/>
  <c r="I141" i="57"/>
  <c r="AE114" i="57" a="1"/>
  <c r="AE114" i="57" s="1"/>
  <c r="AE141" i="57" s="1"/>
  <c r="U108" i="40"/>
  <c r="U96" i="53" a="1"/>
  <c r="U96" i="53" s="1"/>
  <c r="J111" i="57"/>
  <c r="AF111" i="57" s="1" a="1"/>
  <c r="AF111" i="57" s="1"/>
  <c r="U95" i="53" a="1"/>
  <c r="U95" i="53" s="1"/>
  <c r="J110" i="57"/>
  <c r="AF110" i="57" s="1" a="1"/>
  <c r="AF110" i="57" s="1"/>
  <c r="U99" i="53" a="1"/>
  <c r="U99" i="53" s="1"/>
  <c r="J114" i="57"/>
  <c r="T111" i="53"/>
  <c r="AE121" i="57" a="1"/>
  <c r="AE121" i="57" s="1"/>
  <c r="AE143" i="57" s="1"/>
  <c r="I143" i="57"/>
  <c r="AE120" i="57" a="1"/>
  <c r="AE120" i="57" s="1"/>
  <c r="AE142" i="57" s="1"/>
  <c r="I142" i="57"/>
  <c r="U101" i="53" a="1"/>
  <c r="U101" i="53" s="1"/>
  <c r="J116" i="57"/>
  <c r="AF116" i="57" s="1" a="1"/>
  <c r="AF116" i="57" s="1"/>
  <c r="U106" i="53" a="1"/>
  <c r="U106" i="53" s="1"/>
  <c r="U129" i="53" s="1"/>
  <c r="K129" i="53"/>
  <c r="J121" i="57"/>
  <c r="T131" i="57"/>
  <c r="U105" i="53" a="1"/>
  <c r="U105" i="53" s="1"/>
  <c r="U128" i="53" s="1"/>
  <c r="K128" i="53"/>
  <c r="J120" i="57"/>
  <c r="U93" i="53" a="1"/>
  <c r="U93" i="53" s="1"/>
  <c r="J108" i="57"/>
  <c r="AF108" i="57" s="1" a="1"/>
  <c r="AF108" i="57" s="1"/>
  <c r="U100" i="53" a="1"/>
  <c r="U100" i="53" s="1"/>
  <c r="J115" i="57"/>
  <c r="AF115" i="57" s="1" a="1"/>
  <c r="AF115" i="57" s="1"/>
  <c r="T135" i="57"/>
  <c r="AF131" i="57"/>
  <c r="U131" i="57" s="1"/>
  <c r="T133" i="57"/>
  <c r="T134" i="57"/>
  <c r="AG60" i="57" a="1"/>
  <c r="AG60" i="57" s="1"/>
  <c r="V172" i="57"/>
  <c r="T137" i="57"/>
  <c r="S37" i="75"/>
  <c r="T29" i="75"/>
  <c r="V177" i="57"/>
  <c r="I197" i="57"/>
  <c r="AF135" i="57"/>
  <c r="U135" i="57" s="1"/>
  <c r="AF134" i="57"/>
  <c r="U134" i="57" s="1"/>
  <c r="AF133" i="57"/>
  <c r="U133" i="57" s="1"/>
  <c r="AG97" i="57" a="1"/>
  <c r="AG97" i="57" s="1"/>
  <c r="V187" i="57"/>
  <c r="AG95" i="57" a="1"/>
  <c r="AG95" i="57" s="1"/>
  <c r="V185" i="57"/>
  <c r="AH92" i="57" a="1"/>
  <c r="AH92" i="57" s="1"/>
  <c r="W182" i="57"/>
  <c r="AG84" i="57" a="1"/>
  <c r="AG84" i="57" s="1"/>
  <c r="V174" i="57"/>
  <c r="AH91" i="57" a="1"/>
  <c r="AH91" i="57" s="1"/>
  <c r="W181" i="57"/>
  <c r="AG94" i="57" a="1"/>
  <c r="AG94" i="57" s="1"/>
  <c r="V184" i="57"/>
  <c r="AH90" i="57" a="1"/>
  <c r="AH90" i="57" s="1"/>
  <c r="W180" i="57"/>
  <c r="AG93" i="57" a="1"/>
  <c r="AG93" i="57" s="1"/>
  <c r="V183" i="57"/>
  <c r="AG96" i="57" a="1"/>
  <c r="AG96" i="57" s="1"/>
  <c r="V186" i="57"/>
  <c r="J195" i="57"/>
  <c r="J196" i="57" s="1"/>
  <c r="U172" i="57"/>
  <c r="U195" i="57" s="1"/>
  <c r="AG85" i="57" a="1"/>
  <c r="AG85" i="57" s="1"/>
  <c r="V175" i="57"/>
  <c r="U102" i="40"/>
  <c r="W75" i="40" a="1"/>
  <c r="W75" i="40" s="1"/>
  <c r="W98" i="40" s="1"/>
  <c r="L98" i="40"/>
  <c r="W67" i="40" a="1"/>
  <c r="W67" i="40" s="1"/>
  <c r="W96" i="40" s="1"/>
  <c r="L96" i="40"/>
  <c r="W53" i="40" a="1"/>
  <c r="W53" i="40" s="1"/>
  <c r="W90" i="40" s="1"/>
  <c r="L90" i="40"/>
  <c r="V101" i="40"/>
  <c r="V107" i="40" s="1"/>
  <c r="L91" i="40"/>
  <c r="W44" i="40" a="1"/>
  <c r="W44" i="40" s="1"/>
  <c r="W87" i="40" s="1"/>
  <c r="L87" i="40"/>
  <c r="W47" i="40" a="1"/>
  <c r="W47" i="40" s="1"/>
  <c r="W88" i="40" s="1"/>
  <c r="L88" i="40"/>
  <c r="W79" i="40" a="1"/>
  <c r="W79" i="40" s="1"/>
  <c r="W99" i="40" s="1"/>
  <c r="L99" i="40"/>
  <c r="W65" i="40" a="1"/>
  <c r="W65" i="40" s="1"/>
  <c r="L101" i="40"/>
  <c r="W91" i="40"/>
  <c r="W62" i="40" a="1"/>
  <c r="W62" i="40" s="1"/>
  <c r="W92" i="40" s="1"/>
  <c r="L92" i="40"/>
  <c r="W72" i="40" a="1"/>
  <c r="W72" i="40" s="1"/>
  <c r="W97" i="40" s="1"/>
  <c r="L97" i="40"/>
  <c r="L93" i="40"/>
  <c r="W82" i="40" a="1"/>
  <c r="W82" i="40" s="1"/>
  <c r="W100" i="40" s="1"/>
  <c r="L100" i="40"/>
  <c r="V93" i="40"/>
  <c r="V84" i="40"/>
  <c r="K102" i="40"/>
  <c r="K159" i="57"/>
  <c r="H160" i="57"/>
  <c r="G161" i="57"/>
  <c r="Z167" i="28" s="1"/>
  <c r="W41" i="40" a="1"/>
  <c r="W41" i="40" s="1"/>
  <c r="T127" i="57"/>
  <c r="AG44" i="57" a="1"/>
  <c r="AG44" i="57" s="1"/>
  <c r="AG129" i="57" s="1"/>
  <c r="V129" i="57" s="1"/>
  <c r="AG125" i="57" a="1"/>
  <c r="AG125" i="57" s="1"/>
  <c r="AG146" i="57" s="1"/>
  <c r="V146" i="57" s="1"/>
  <c r="K133" i="57"/>
  <c r="AG122" i="57" a="1"/>
  <c r="AG122" i="57" s="1"/>
  <c r="AG144" i="57" s="1"/>
  <c r="K144" i="57"/>
  <c r="AG117" i="57" a="1"/>
  <c r="AG117" i="57" s="1"/>
  <c r="AG124" i="57" a="1"/>
  <c r="AG124" i="57" s="1"/>
  <c r="AG145" i="57" s="1"/>
  <c r="K145" i="57"/>
  <c r="U144" i="57"/>
  <c r="AF127" i="57"/>
  <c r="T27" i="75" s="1"/>
  <c r="AF137" i="57"/>
  <c r="S44" i="28" s="1"/>
  <c r="K131" i="57"/>
  <c r="L84" i="57"/>
  <c r="L69" i="59"/>
  <c r="W69" i="59" s="1"/>
  <c r="L105" i="59"/>
  <c r="W105" i="59" s="1"/>
  <c r="L106" i="59"/>
  <c r="L123" i="57"/>
  <c r="AH123" i="57" s="1" a="1"/>
  <c r="AH123" i="57" s="1"/>
  <c r="L108" i="59"/>
  <c r="L99" i="59"/>
  <c r="L17" i="59"/>
  <c r="L95" i="59"/>
  <c r="W95" i="59" s="1"/>
  <c r="L87" i="57"/>
  <c r="L72" i="59"/>
  <c r="W72" i="59" s="1"/>
  <c r="K135" i="57"/>
  <c r="L124" i="57"/>
  <c r="L145" i="57" s="1"/>
  <c r="L109" i="59"/>
  <c r="L97" i="57"/>
  <c r="L82" i="59"/>
  <c r="W82" i="59" s="1"/>
  <c r="L118" i="57"/>
  <c r="L103" i="59"/>
  <c r="L98" i="59"/>
  <c r="W98" i="59" s="1"/>
  <c r="L125" i="57"/>
  <c r="L146" i="57" s="1"/>
  <c r="L110" i="59"/>
  <c r="W110" i="59" s="1"/>
  <c r="L122" i="57"/>
  <c r="AH122" i="57" s="1" a="1"/>
  <c r="AH122" i="57" s="1"/>
  <c r="L107" i="59"/>
  <c r="W107" i="59" s="1"/>
  <c r="L96" i="57"/>
  <c r="L81" i="59"/>
  <c r="W81" i="59" s="1"/>
  <c r="L96" i="59"/>
  <c r="W96" i="59" s="1"/>
  <c r="L95" i="57"/>
  <c r="L80" i="59"/>
  <c r="L92" i="59"/>
  <c r="L117" i="57"/>
  <c r="AH117" i="57" s="1" a="1"/>
  <c r="AH117" i="57" s="1"/>
  <c r="L102" i="59"/>
  <c r="L101" i="59"/>
  <c r="W101" i="59" s="1"/>
  <c r="L94" i="59"/>
  <c r="L97" i="59"/>
  <c r="W97" i="59" s="1"/>
  <c r="L93" i="57"/>
  <c r="W183" i="57" s="1"/>
  <c r="L78" i="59"/>
  <c r="W78" i="59" s="1"/>
  <c r="L94" i="57"/>
  <c r="L79" i="59"/>
  <c r="W79" i="59" s="1"/>
  <c r="L82" i="57"/>
  <c r="L67" i="59"/>
  <c r="L73" i="57"/>
  <c r="AH73" i="57" s="1" a="1"/>
  <c r="AH73" i="57" s="1"/>
  <c r="L58" i="59"/>
  <c r="W58" i="59" s="1"/>
  <c r="AG82" i="57" a="1"/>
  <c r="AG82" i="57" s="1"/>
  <c r="L44" i="57"/>
  <c r="L129" i="57" s="1"/>
  <c r="L29" i="59"/>
  <c r="L60" i="57"/>
  <c r="L45" i="59"/>
  <c r="L71" i="57"/>
  <c r="L56" i="59"/>
  <c r="W56" i="59" s="1"/>
  <c r="L93" i="59"/>
  <c r="W93" i="59" s="1"/>
  <c r="L63" i="57"/>
  <c r="AH63" i="57" s="1" a="1"/>
  <c r="AH63" i="57" s="1"/>
  <c r="L48" i="59"/>
  <c r="W48" i="59" s="1"/>
  <c r="L72" i="57"/>
  <c r="AH72" i="57" s="1" a="1"/>
  <c r="AH72" i="57" s="1"/>
  <c r="L57" i="59"/>
  <c r="W57" i="59" s="1"/>
  <c r="L85" i="57"/>
  <c r="L70" i="59"/>
  <c r="W70" i="59" s="1"/>
  <c r="L119" i="57"/>
  <c r="L104" i="59"/>
  <c r="L100" i="59"/>
  <c r="W100" i="59" s="1"/>
  <c r="AG71" i="57" a="1"/>
  <c r="AG71" i="57" s="1"/>
  <c r="K134" i="57"/>
  <c r="AG32" i="57" a="1"/>
  <c r="AG32" i="57" s="1"/>
  <c r="K127" i="57"/>
  <c r="K137" i="57"/>
  <c r="K107" i="45"/>
  <c r="J108" i="45"/>
  <c r="L107" i="44"/>
  <c r="L191" i="28"/>
  <c r="L120" i="43"/>
  <c r="L114" i="42"/>
  <c r="K115" i="42"/>
  <c r="L32" i="57"/>
  <c r="L112" i="40"/>
  <c r="L117" i="40"/>
  <c r="F119" i="40"/>
  <c r="G118" i="40"/>
  <c r="E111" i="59"/>
  <c r="L116" i="47"/>
  <c r="L102" i="44"/>
  <c r="K115" i="43"/>
  <c r="L114" i="43"/>
  <c r="F114" i="40"/>
  <c r="G113" i="40"/>
  <c r="L135" i="59" l="1"/>
  <c r="O190" i="28"/>
  <c r="H137" i="59"/>
  <c r="O179" i="28" s="1"/>
  <c r="I136" i="59"/>
  <c r="G142" i="59"/>
  <c r="O220" i="28" s="1"/>
  <c r="H141" i="59"/>
  <c r="L140" i="59"/>
  <c r="AH119" i="57" a="1"/>
  <c r="AH119" i="57" s="1"/>
  <c r="X251" i="28"/>
  <c r="AH118" i="57" a="1"/>
  <c r="AH118" i="57" s="1"/>
  <c r="X249" i="28"/>
  <c r="P273" i="28"/>
  <c r="Q270" i="28"/>
  <c r="P423" i="28"/>
  <c r="U196" i="57"/>
  <c r="R342" i="28"/>
  <c r="Q408" i="28"/>
  <c r="Q420" i="28"/>
  <c r="Q423" i="28" s="1"/>
  <c r="Q424" i="28"/>
  <c r="V129" i="59"/>
  <c r="S340" i="28" s="1"/>
  <c r="V128" i="59"/>
  <c r="S339" i="28" s="1"/>
  <c r="W104" i="59"/>
  <c r="T304" i="28"/>
  <c r="W108" i="59"/>
  <c r="T305" i="28"/>
  <c r="S319" i="28"/>
  <c r="S324" i="28" s="1"/>
  <c r="W103" i="59"/>
  <c r="T303" i="28"/>
  <c r="K131" i="53"/>
  <c r="U126" i="53"/>
  <c r="R407" i="28"/>
  <c r="K127" i="53"/>
  <c r="U131" i="53"/>
  <c r="R286" i="28" s="1"/>
  <c r="R287" i="28" s="1"/>
  <c r="R406" i="28"/>
  <c r="U127" i="53"/>
  <c r="R403" i="28"/>
  <c r="K126" i="53"/>
  <c r="R405" i="28"/>
  <c r="V106" i="40"/>
  <c r="R417" i="28"/>
  <c r="W102" i="59"/>
  <c r="L128" i="59"/>
  <c r="T321" i="28" s="1"/>
  <c r="W99" i="59"/>
  <c r="W127" i="59" s="1"/>
  <c r="T338" i="28" s="1"/>
  <c r="L127" i="59"/>
  <c r="T320" i="28" s="1"/>
  <c r="R267" i="28"/>
  <c r="W45" i="59"/>
  <c r="W118" i="59" s="1"/>
  <c r="L118" i="59"/>
  <c r="W109" i="59"/>
  <c r="W130" i="59" s="1"/>
  <c r="T341" i="28" s="1"/>
  <c r="L130" i="59"/>
  <c r="T323" i="28" s="1"/>
  <c r="W29" i="59"/>
  <c r="W117" i="59" s="1"/>
  <c r="L117" i="59"/>
  <c r="W94" i="59"/>
  <c r="W126" i="59" s="1"/>
  <c r="T337" i="28" s="1"/>
  <c r="L126" i="59"/>
  <c r="L131" i="59"/>
  <c r="L121" i="59"/>
  <c r="W67" i="59"/>
  <c r="W120" i="59" s="1"/>
  <c r="L120" i="59"/>
  <c r="W80" i="59"/>
  <c r="W122" i="59" s="1"/>
  <c r="L122" i="59"/>
  <c r="L123" i="59"/>
  <c r="S374" i="28" s="1"/>
  <c r="S377" i="28" s="1"/>
  <c r="W106" i="59"/>
  <c r="L129" i="59"/>
  <c r="T322" i="28" s="1"/>
  <c r="V113" i="59"/>
  <c r="V131" i="59"/>
  <c r="S284" i="28" s="1"/>
  <c r="V112" i="59"/>
  <c r="V123" i="59"/>
  <c r="W121" i="59"/>
  <c r="V111" i="59"/>
  <c r="W92" i="59"/>
  <c r="L113" i="59"/>
  <c r="U113" i="53"/>
  <c r="W17" i="59"/>
  <c r="L112" i="59"/>
  <c r="K113" i="53"/>
  <c r="AG131" i="57"/>
  <c r="U31" i="75" s="1"/>
  <c r="T143" i="57"/>
  <c r="T140" i="57"/>
  <c r="V100" i="53" a="1"/>
  <c r="V100" i="53" s="1"/>
  <c r="K115" i="57"/>
  <c r="AG115" i="57" s="1" a="1"/>
  <c r="AG115" i="57" s="1"/>
  <c r="V106" i="53" a="1"/>
  <c r="V106" i="53" s="1"/>
  <c r="V129" i="53" s="1"/>
  <c r="L129" i="53"/>
  <c r="K121" i="57"/>
  <c r="V97" i="53" a="1"/>
  <c r="V97" i="53" s="1"/>
  <c r="K112" i="57"/>
  <c r="AG112" i="57" s="1" a="1"/>
  <c r="AG112" i="57" s="1"/>
  <c r="AF114" i="57" a="1"/>
  <c r="AF114" i="57" s="1"/>
  <c r="AF141" i="57" s="1"/>
  <c r="J141" i="57"/>
  <c r="V99" i="53" a="1"/>
  <c r="V99" i="53" s="1"/>
  <c r="K114" i="57"/>
  <c r="S197" i="57"/>
  <c r="S198" i="57" s="1"/>
  <c r="S147" i="57"/>
  <c r="AD148" i="57"/>
  <c r="AF109" i="57" a="1"/>
  <c r="AF109" i="57" s="1"/>
  <c r="AF140" i="57" s="1"/>
  <c r="J140" i="57"/>
  <c r="V93" i="53" a="1"/>
  <c r="V93" i="53" s="1"/>
  <c r="K108" i="57"/>
  <c r="AG108" i="57" s="1" a="1"/>
  <c r="AG108" i="57" s="1"/>
  <c r="V101" i="53" a="1"/>
  <c r="V101" i="53" s="1"/>
  <c r="K116" i="57"/>
  <c r="AG116" i="57" s="1" a="1"/>
  <c r="AG116" i="57" s="1"/>
  <c r="T141" i="57"/>
  <c r="V94" i="53" a="1"/>
  <c r="V94" i="53" s="1"/>
  <c r="K109" i="57"/>
  <c r="J164" i="57"/>
  <c r="AF107" i="57" a="1"/>
  <c r="AF107" i="57" s="1"/>
  <c r="J147" i="57"/>
  <c r="J139" i="57"/>
  <c r="AF120" i="57" a="1"/>
  <c r="AF120" i="57" s="1"/>
  <c r="AF142" i="57" s="1"/>
  <c r="J142" i="57"/>
  <c r="T142" i="57"/>
  <c r="V95" i="53" a="1"/>
  <c r="V95" i="53" s="1"/>
  <c r="K110" i="57"/>
  <c r="AG110" i="57" s="1" a="1"/>
  <c r="AG110" i="57" s="1"/>
  <c r="V105" i="53" a="1"/>
  <c r="V105" i="53" s="1"/>
  <c r="V128" i="53" s="1"/>
  <c r="L128" i="53"/>
  <c r="K120" i="57"/>
  <c r="V98" i="53" a="1"/>
  <c r="V98" i="53" s="1"/>
  <c r="K113" i="57"/>
  <c r="AG113" i="57" s="1" a="1"/>
  <c r="AG113" i="57" s="1"/>
  <c r="V108" i="40"/>
  <c r="V96" i="53" a="1"/>
  <c r="V96" i="53" s="1"/>
  <c r="K111" i="57"/>
  <c r="AG111" i="57" s="1" a="1"/>
  <c r="AG111" i="57" s="1"/>
  <c r="V92" i="53" a="1"/>
  <c r="V92" i="53" s="1"/>
  <c r="K141" i="53"/>
  <c r="K111" i="53"/>
  <c r="K107" i="57"/>
  <c r="AE139" i="57"/>
  <c r="T139" i="57" s="1"/>
  <c r="AE147" i="57"/>
  <c r="AF121" i="57" a="1"/>
  <c r="AF121" i="57" s="1"/>
  <c r="AF143" i="57" s="1"/>
  <c r="J143" i="57"/>
  <c r="U111" i="53"/>
  <c r="AG133" i="57"/>
  <c r="U33" i="75" s="1"/>
  <c r="T31" i="75"/>
  <c r="T35" i="75"/>
  <c r="U137" i="57"/>
  <c r="T37" i="75"/>
  <c r="T34" i="75"/>
  <c r="T33" i="75"/>
  <c r="U29" i="75"/>
  <c r="AH60" i="57" a="1"/>
  <c r="AH60" i="57" s="1"/>
  <c r="AH71" i="57" a="1"/>
  <c r="AH71" i="57" s="1"/>
  <c r="W174" i="57"/>
  <c r="J197" i="57"/>
  <c r="AG134" i="57"/>
  <c r="V134" i="57" s="1"/>
  <c r="AG135" i="57"/>
  <c r="V135" i="57" s="1"/>
  <c r="AH82" i="57" a="1"/>
  <c r="AH82" i="57" s="1"/>
  <c r="AH97" i="57" a="1"/>
  <c r="AH97" i="57" s="1"/>
  <c r="W187" i="57"/>
  <c r="AH85" i="57" a="1"/>
  <c r="AH85" i="57" s="1"/>
  <c r="W175" i="57"/>
  <c r="AH94" i="57" a="1"/>
  <c r="AH94" i="57" s="1"/>
  <c r="W184" i="57"/>
  <c r="AH87" i="57" a="1"/>
  <c r="AH87" i="57" s="1"/>
  <c r="W177" i="57"/>
  <c r="V195" i="57"/>
  <c r="AH95" i="57" a="1"/>
  <c r="AH95" i="57" s="1"/>
  <c r="W185" i="57"/>
  <c r="AH96" i="57" a="1"/>
  <c r="AH96" i="57" s="1"/>
  <c r="W186" i="57"/>
  <c r="K195" i="57"/>
  <c r="K196" i="57" s="1"/>
  <c r="L102" i="40"/>
  <c r="W93" i="40"/>
  <c r="W84" i="40"/>
  <c r="W101" i="40"/>
  <c r="W107" i="40" s="1"/>
  <c r="V102" i="40"/>
  <c r="L159" i="57"/>
  <c r="H161" i="57"/>
  <c r="AA167" i="28" s="1"/>
  <c r="I160" i="57"/>
  <c r="AH124" i="57" a="1"/>
  <c r="AH124" i="57" s="1"/>
  <c r="AH145" i="57" s="1"/>
  <c r="W145" i="57" s="1"/>
  <c r="U127" i="57"/>
  <c r="V145" i="57"/>
  <c r="V144" i="57"/>
  <c r="L134" i="57"/>
  <c r="L135" i="57"/>
  <c r="L144" i="57"/>
  <c r="AH125" i="57" a="1"/>
  <c r="AH125" i="57" s="1"/>
  <c r="AH146" i="57" s="1"/>
  <c r="W146" i="57" s="1"/>
  <c r="AH144" i="57"/>
  <c r="V131" i="57"/>
  <c r="AG127" i="57"/>
  <c r="U27" i="75" s="1"/>
  <c r="AG137" i="57"/>
  <c r="T44" i="28" s="1"/>
  <c r="AH44" i="57" a="1"/>
  <c r="AH44" i="57" s="1"/>
  <c r="AH129" i="57" s="1"/>
  <c r="W129" i="57" s="1"/>
  <c r="L133" i="57"/>
  <c r="AH84" i="57" a="1"/>
  <c r="AH84" i="57" s="1"/>
  <c r="AH93" i="57" a="1"/>
  <c r="AH93" i="57" s="1"/>
  <c r="L131" i="57"/>
  <c r="AH32" i="57" a="1"/>
  <c r="AH32" i="57" s="1"/>
  <c r="L127" i="57"/>
  <c r="L137" i="57"/>
  <c r="K108" i="45"/>
  <c r="L107" i="45"/>
  <c r="M191" i="28"/>
  <c r="L115" i="42"/>
  <c r="G119" i="40"/>
  <c r="H118" i="40"/>
  <c r="L115" i="43"/>
  <c r="F111" i="59"/>
  <c r="G114" i="40"/>
  <c r="H113" i="40"/>
  <c r="P190" i="28" l="1"/>
  <c r="I137" i="59"/>
  <c r="P179" i="28" s="1"/>
  <c r="J136" i="59"/>
  <c r="I141" i="59"/>
  <c r="H142" i="59"/>
  <c r="P220" i="28" s="1"/>
  <c r="Q273" i="28"/>
  <c r="R270" i="28"/>
  <c r="V196" i="57"/>
  <c r="R408" i="28"/>
  <c r="Q422" i="28"/>
  <c r="R420" i="28"/>
  <c r="R423" i="28" s="1"/>
  <c r="R424" i="28"/>
  <c r="W129" i="59"/>
  <c r="T340" i="28" s="1"/>
  <c r="S342" i="28"/>
  <c r="W128" i="59"/>
  <c r="T339" i="28" s="1"/>
  <c r="T319" i="28"/>
  <c r="T324" i="28" s="1"/>
  <c r="L131" i="53"/>
  <c r="V131" i="53"/>
  <c r="S286" i="28" s="1"/>
  <c r="S287" i="28" s="1"/>
  <c r="V127" i="53"/>
  <c r="S403" i="28"/>
  <c r="S406" i="28"/>
  <c r="S405" i="28"/>
  <c r="L126" i="53"/>
  <c r="V126" i="53"/>
  <c r="L127" i="53"/>
  <c r="S407" i="28"/>
  <c r="W106" i="40"/>
  <c r="W108" i="40" s="1"/>
  <c r="S417" i="28"/>
  <c r="W111" i="59"/>
  <c r="W113" i="59"/>
  <c r="W131" i="59"/>
  <c r="T284" i="28" s="1"/>
  <c r="S267" i="28"/>
  <c r="W112" i="59"/>
  <c r="W123" i="59"/>
  <c r="V113" i="53"/>
  <c r="L113" i="53"/>
  <c r="V133" i="57"/>
  <c r="U140" i="57"/>
  <c r="U141" i="57"/>
  <c r="U142" i="57"/>
  <c r="W97" i="53" a="1"/>
  <c r="W97" i="53" s="1"/>
  <c r="L112" i="57"/>
  <c r="AH112" i="57" s="1" a="1"/>
  <c r="AH112" i="57" s="1"/>
  <c r="U143" i="57"/>
  <c r="V111" i="53"/>
  <c r="AG120" i="57" a="1"/>
  <c r="AG120" i="57" s="1"/>
  <c r="AG142" i="57" s="1"/>
  <c r="K142" i="57"/>
  <c r="W101" i="53" a="1"/>
  <c r="W101" i="53" s="1"/>
  <c r="L116" i="57"/>
  <c r="AH116" i="57" s="1" a="1"/>
  <c r="AH116" i="57" s="1"/>
  <c r="AG121" i="57" a="1"/>
  <c r="AG121" i="57" s="1"/>
  <c r="AG143" i="57" s="1"/>
  <c r="K143" i="57"/>
  <c r="T197" i="57"/>
  <c r="T198" i="57" s="1"/>
  <c r="T147" i="57"/>
  <c r="AE148" i="57"/>
  <c r="W96" i="53" a="1"/>
  <c r="W96" i="53" s="1"/>
  <c r="L111" i="57"/>
  <c r="AH111" i="57" s="1" a="1"/>
  <c r="AH111" i="57" s="1"/>
  <c r="W105" i="53" a="1"/>
  <c r="W105" i="53" s="1"/>
  <c r="W128" i="53" s="1"/>
  <c r="L120" i="57"/>
  <c r="W106" i="53" a="1"/>
  <c r="W106" i="53" s="1"/>
  <c r="W129" i="53" s="1"/>
  <c r="L121" i="57"/>
  <c r="AF139" i="57"/>
  <c r="U139" i="57" s="1"/>
  <c r="AF147" i="57"/>
  <c r="AG114" i="57" a="1"/>
  <c r="AG114" i="57" s="1"/>
  <c r="AG141" i="57" s="1"/>
  <c r="K141" i="57"/>
  <c r="W93" i="53" a="1"/>
  <c r="W93" i="53" s="1"/>
  <c r="L108" i="57"/>
  <c r="AH108" i="57" s="1" a="1"/>
  <c r="AH108" i="57" s="1"/>
  <c r="W99" i="53" a="1"/>
  <c r="W99" i="53" s="1"/>
  <c r="L114" i="57"/>
  <c r="W100" i="53" a="1"/>
  <c r="W100" i="53" s="1"/>
  <c r="L115" i="57"/>
  <c r="AH115" i="57" s="1" a="1"/>
  <c r="AH115" i="57" s="1"/>
  <c r="K164" i="57"/>
  <c r="AG107" i="57" a="1"/>
  <c r="AG107" i="57" s="1"/>
  <c r="K147" i="57"/>
  <c r="K139" i="57"/>
  <c r="W95" i="53" a="1"/>
  <c r="W95" i="53" s="1"/>
  <c r="L110" i="57"/>
  <c r="AH110" i="57" s="1" a="1"/>
  <c r="AH110" i="57" s="1"/>
  <c r="AG109" i="57" a="1"/>
  <c r="AG109" i="57" s="1"/>
  <c r="AG140" i="57" s="1"/>
  <c r="K140" i="57"/>
  <c r="W92" i="53" a="1"/>
  <c r="W92" i="53" s="1"/>
  <c r="L141" i="53"/>
  <c r="L111" i="53"/>
  <c r="L107" i="57"/>
  <c r="W98" i="53" a="1"/>
  <c r="W98" i="53" s="1"/>
  <c r="L113" i="57"/>
  <c r="AH113" i="57" s="1" a="1"/>
  <c r="AH113" i="57" s="1"/>
  <c r="W94" i="53" a="1"/>
  <c r="W94" i="53" s="1"/>
  <c r="L109" i="57"/>
  <c r="AH131" i="57"/>
  <c r="V31" i="75" s="1"/>
  <c r="AH134" i="57"/>
  <c r="V34" i="75" s="1"/>
  <c r="U34" i="75"/>
  <c r="V137" i="57"/>
  <c r="U37" i="75"/>
  <c r="U35" i="75"/>
  <c r="V29" i="75"/>
  <c r="AH133" i="57"/>
  <c r="V33" i="75" s="1"/>
  <c r="K197" i="57"/>
  <c r="AH135" i="57"/>
  <c r="V35" i="75" s="1"/>
  <c r="W172" i="57"/>
  <c r="W195" i="57" s="1"/>
  <c r="L195" i="57"/>
  <c r="L196" i="57" s="1"/>
  <c r="W102" i="40"/>
  <c r="J160" i="57"/>
  <c r="I161" i="57"/>
  <c r="AB167" i="28" s="1"/>
  <c r="V127" i="57"/>
  <c r="W144" i="57"/>
  <c r="AH127" i="57"/>
  <c r="V27" i="75" s="1"/>
  <c r="AH137" i="57"/>
  <c r="U44" i="28" s="1"/>
  <c r="L108" i="45"/>
  <c r="N191" i="28"/>
  <c r="I118" i="40"/>
  <c r="H119" i="40"/>
  <c r="G111" i="59"/>
  <c r="I113" i="40"/>
  <c r="H114" i="40"/>
  <c r="J141" i="59" l="1"/>
  <c r="I142" i="59"/>
  <c r="Q220" i="28" s="1"/>
  <c r="Q190" i="28"/>
  <c r="K136" i="59"/>
  <c r="J137" i="59"/>
  <c r="Q179" i="28" s="1"/>
  <c r="R273" i="28"/>
  <c r="S270" i="28"/>
  <c r="W196" i="57"/>
  <c r="R422" i="28"/>
  <c r="S408" i="28"/>
  <c r="T342" i="28"/>
  <c r="S420" i="28"/>
  <c r="S424" i="28"/>
  <c r="W126" i="53"/>
  <c r="W131" i="53"/>
  <c r="T286" i="28" s="1"/>
  <c r="T287" i="28" s="1"/>
  <c r="W127" i="53"/>
  <c r="T267" i="28"/>
  <c r="W113" i="53"/>
  <c r="V141" i="57"/>
  <c r="V140" i="57"/>
  <c r="AG147" i="57"/>
  <c r="AG139" i="57"/>
  <c r="V139" i="57" s="1"/>
  <c r="V142" i="57"/>
  <c r="AH109" i="57" a="1"/>
  <c r="AH109" i="57" s="1"/>
  <c r="AH140" i="57" s="1"/>
  <c r="L140" i="57"/>
  <c r="W111" i="53"/>
  <c r="AH120" i="57" a="1"/>
  <c r="AH120" i="57" s="1"/>
  <c r="AH142" i="57" s="1"/>
  <c r="L142" i="57"/>
  <c r="AF148" i="57"/>
  <c r="U197" i="57"/>
  <c r="U198" i="57" s="1"/>
  <c r="U147" i="57"/>
  <c r="V143" i="57"/>
  <c r="AH114" i="57" a="1"/>
  <c r="AH114" i="57" s="1"/>
  <c r="AH141" i="57" s="1"/>
  <c r="L141" i="57"/>
  <c r="L143" i="57"/>
  <c r="AH121" i="57" a="1"/>
  <c r="AH121" i="57" s="1"/>
  <c r="AH143" i="57" s="1"/>
  <c r="L164" i="57"/>
  <c r="AH107" i="57" a="1"/>
  <c r="AH107" i="57" s="1"/>
  <c r="L147" i="57"/>
  <c r="L139" i="57"/>
  <c r="W131" i="57"/>
  <c r="W133" i="57"/>
  <c r="W134" i="57"/>
  <c r="W135" i="57"/>
  <c r="W137" i="57"/>
  <c r="V37" i="75"/>
  <c r="L197" i="57"/>
  <c r="K160" i="57"/>
  <c r="J161" i="57"/>
  <c r="AC167" i="28" s="1"/>
  <c r="W127" i="57"/>
  <c r="O191" i="28"/>
  <c r="J118" i="40"/>
  <c r="I119" i="40"/>
  <c r="H111" i="59"/>
  <c r="J113" i="40"/>
  <c r="I114" i="40"/>
  <c r="R190" i="28" l="1"/>
  <c r="L136" i="59"/>
  <c r="K137" i="59"/>
  <c r="R179" i="28" s="1"/>
  <c r="K141" i="59"/>
  <c r="J142" i="59"/>
  <c r="R220" i="28" s="1"/>
  <c r="S273" i="28"/>
  <c r="T270" i="28"/>
  <c r="S423" i="28"/>
  <c r="S422" i="28"/>
  <c r="W142" i="57"/>
  <c r="AG148" i="57"/>
  <c r="V197" i="57"/>
  <c r="V198" i="57" s="1"/>
  <c r="V147" i="57"/>
  <c r="W143" i="57"/>
  <c r="W140" i="57"/>
  <c r="W141" i="57"/>
  <c r="AH139" i="57"/>
  <c r="W139" i="57" s="1"/>
  <c r="AH147" i="57"/>
  <c r="W147" i="57" s="1"/>
  <c r="L160" i="57"/>
  <c r="K161" i="57"/>
  <c r="AD167" i="28" s="1"/>
  <c r="P191" i="28"/>
  <c r="J119" i="40"/>
  <c r="K118" i="40"/>
  <c r="I111" i="59"/>
  <c r="K113" i="40"/>
  <c r="J114" i="40"/>
  <c r="L141" i="59" l="1"/>
  <c r="K142" i="59"/>
  <c r="S220" i="28" s="1"/>
  <c r="S190" i="28"/>
  <c r="L137" i="59"/>
  <c r="S179" i="28" s="1"/>
  <c r="M136" i="59"/>
  <c r="T273" i="28"/>
  <c r="W197" i="57"/>
  <c r="W198" i="57" s="1"/>
  <c r="AH148" i="57"/>
  <c r="L161" i="57"/>
  <c r="AE167" i="28" s="1"/>
  <c r="Q191" i="28"/>
  <c r="L118" i="40"/>
  <c r="K119" i="40"/>
  <c r="J111" i="59"/>
  <c r="L113" i="40"/>
  <c r="K114" i="40"/>
  <c r="M137" i="59" l="1"/>
  <c r="N136" i="59"/>
  <c r="N137" i="59" s="1"/>
  <c r="L142" i="59"/>
  <c r="T220" i="28" s="1"/>
  <c r="M141" i="59"/>
  <c r="R191" i="28"/>
  <c r="L119" i="40"/>
  <c r="K111" i="59"/>
  <c r="L114" i="40"/>
  <c r="N141" i="59" l="1"/>
  <c r="N142" i="59" s="1"/>
  <c r="M142" i="59"/>
  <c r="L111" i="59"/>
  <c r="S191" i="28"/>
  <c r="B124" i="57" l="1"/>
  <c r="B145" i="57" s="1"/>
  <c r="M108" i="53" a="1"/>
  <c r="M108" i="53" s="1"/>
  <c r="M110" i="53" a="1"/>
  <c r="M110" i="53" s="1"/>
  <c r="B125" i="57"/>
  <c r="B146" i="57" s="1"/>
  <c r="B122" i="57"/>
  <c r="M109" i="53" l="1" a="1"/>
  <c r="M109" i="53" s="1"/>
  <c r="M130" i="53" s="1"/>
  <c r="B130" i="53"/>
  <c r="B113" i="53"/>
  <c r="B129" i="53"/>
  <c r="B131" i="53"/>
  <c r="B111" i="53"/>
  <c r="M107" i="53" a="1"/>
  <c r="M107" i="53" s="1"/>
  <c r="B141" i="53"/>
  <c r="B142" i="53" s="1"/>
  <c r="C142" i="53" s="1"/>
  <c r="C143" i="53" s="1"/>
  <c r="K219" i="28" s="1"/>
  <c r="X124" i="57" a="1"/>
  <c r="X124" i="57" s="1"/>
  <c r="X145" i="57" s="1"/>
  <c r="M145" i="57" s="1"/>
  <c r="X125" i="57" a="1"/>
  <c r="X125" i="57" s="1"/>
  <c r="X146" i="57" s="1"/>
  <c r="M146" i="57" s="1"/>
  <c r="X122" i="57" a="1"/>
  <c r="X122" i="57" s="1"/>
  <c r="B123" i="57"/>
  <c r="X123" i="57" s="1" a="1"/>
  <c r="X123" i="57" s="1"/>
  <c r="M129" i="53" l="1"/>
  <c r="M131" i="53"/>
  <c r="J286" i="28" s="1"/>
  <c r="J287" i="28" s="1"/>
  <c r="M111" i="53"/>
  <c r="M113" i="53"/>
  <c r="D142" i="53"/>
  <c r="E142" i="53" s="1"/>
  <c r="B144" i="57"/>
  <c r="B164" i="57"/>
  <c r="B165" i="57" s="1"/>
  <c r="C165" i="57" s="1"/>
  <c r="X144" i="57"/>
  <c r="X147" i="57"/>
  <c r="B147" i="57"/>
  <c r="D143" i="53" l="1"/>
  <c r="L219" i="28" s="1"/>
  <c r="Y148" i="57"/>
  <c r="C166" i="57"/>
  <c r="V168" i="28" s="1"/>
  <c r="D165" i="57"/>
  <c r="M147" i="57"/>
  <c r="M144" i="57"/>
  <c r="F142" i="53"/>
  <c r="E143" i="53"/>
  <c r="M219" i="28" s="1"/>
  <c r="E165" i="57" l="1"/>
  <c r="D166" i="57"/>
  <c r="W168" i="28" s="1"/>
  <c r="F143" i="53"/>
  <c r="N219" i="28" s="1"/>
  <c r="G142" i="53"/>
  <c r="G143" i="53" l="1"/>
  <c r="O219" i="28" s="1"/>
  <c r="H142" i="53"/>
  <c r="E166" i="57"/>
  <c r="X168" i="28" s="1"/>
  <c r="F165" i="57"/>
  <c r="I142" i="53" l="1"/>
  <c r="H143" i="53"/>
  <c r="P219" i="28" s="1"/>
  <c r="G165" i="57"/>
  <c r="F166" i="57"/>
  <c r="Y168" i="28" s="1"/>
  <c r="I143" i="53" l="1"/>
  <c r="Q219" i="28" s="1"/>
  <c r="J142" i="53"/>
  <c r="H165" i="57"/>
  <c r="G166" i="57"/>
  <c r="Z168" i="28" s="1"/>
  <c r="I165" i="57" l="1"/>
  <c r="H166" i="57"/>
  <c r="AA168" i="28" s="1"/>
  <c r="J143" i="53"/>
  <c r="R219" i="28" s="1"/>
  <c r="K142" i="53"/>
  <c r="L142" i="53" l="1"/>
  <c r="K143" i="53"/>
  <c r="S219" i="28" s="1"/>
  <c r="I166" i="57"/>
  <c r="AB168" i="28" s="1"/>
  <c r="J165" i="57"/>
  <c r="J166" i="57" l="1"/>
  <c r="AC168" i="28" s="1"/>
  <c r="K165" i="57"/>
  <c r="L143" i="53"/>
  <c r="T219" i="28" s="1"/>
  <c r="L165" i="57" l="1"/>
  <c r="K166" i="57"/>
  <c r="AD168" i="28" s="1"/>
  <c r="L166" i="57" l="1"/>
  <c r="AE168"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13" authorId="0" shapeId="0" xr:uid="{00000000-0006-0000-04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 ref="B118" authorId="0" shapeId="0" xr:uid="{00000000-0006-0000-0400-000002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tc={ABF43071-B49D-435D-84A6-F98F0EAD92F2}</author>
    <author>John Lively</author>
  </authors>
  <commentList>
    <comment ref="A126" authorId="0" shapeId="0" xr:uid="{00000000-0006-0000-1300-000001000000}">
      <text>
        <t>[Threaded comment]
Your version of Excel allows you to read this threaded comment; however, any edits to it will get removed if the file is opened in a newer version of Excel. Learn more: https://go.microsoft.com/fwlink/?linkid=870924
Comment:
    These are summary lines, LookupCodes are not in the product list, formulas are different.</t>
      </text>
    </comment>
    <comment ref="B160" authorId="1" shapeId="0" xr:uid="{00000000-0006-0000-1300-000002000000}">
      <text>
        <r>
          <rPr>
            <b/>
            <sz val="9"/>
            <color indexed="81"/>
            <rFont val="Tahoma"/>
            <family val="2"/>
          </rPr>
          <t>Hardcoded number is for years before 2018, taken from the April 2023 model.</t>
        </r>
        <r>
          <rPr>
            <sz val="9"/>
            <color indexed="81"/>
            <rFont val="Tahoma"/>
            <family val="2"/>
          </rPr>
          <t xml:space="preserve">
</t>
        </r>
      </text>
    </comment>
    <comment ref="B165" authorId="1" shapeId="0" xr:uid="{00000000-0006-0000-1300-000003000000}">
      <text>
        <r>
          <rPr>
            <b/>
            <sz val="9"/>
            <color indexed="81"/>
            <rFont val="Tahoma"/>
            <family val="2"/>
          </rPr>
          <t>Hardcoded number is for years before 2018, taken from the April 2023 model.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09" authorId="0" shapeId="0" xr:uid="{00000000-0006-0000-05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 ref="B114" authorId="0" shapeId="0" xr:uid="{00000000-0006-0000-0500-000002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14" authorId="0" shapeId="0" xr:uid="{00000000-0006-0000-06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 ref="B119" authorId="0" shapeId="0" xr:uid="{00000000-0006-0000-0600-000002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John Lively</author>
  </authors>
  <commentList>
    <comment ref="G62" authorId="0" shapeId="0" xr:uid="{00000000-0006-0000-0700-000001000000}">
      <text>
        <r>
          <rPr>
            <b/>
            <sz val="10"/>
            <color rgb="FF000000"/>
            <rFont val="Tahoma"/>
            <family val="2"/>
          </rPr>
          <t>Microsoft Office User:</t>
        </r>
        <r>
          <rPr>
            <sz val="10"/>
            <color rgb="FF000000"/>
            <rFont val="Tahoma"/>
            <family val="2"/>
          </rPr>
          <t xml:space="preserve">
</t>
        </r>
        <r>
          <rPr>
            <sz val="10"/>
            <color rgb="FF000000"/>
            <rFont val="Tahoma"/>
            <family val="2"/>
          </rPr>
          <t>70K</t>
        </r>
      </text>
    </comment>
    <comment ref="H62" authorId="0" shapeId="0" xr:uid="{00000000-0006-0000-0700-000002000000}">
      <text>
        <r>
          <rPr>
            <b/>
            <sz val="10"/>
            <color rgb="FF000000"/>
            <rFont val="Tahoma"/>
            <family val="2"/>
          </rPr>
          <t>Microsoft Office User:</t>
        </r>
        <r>
          <rPr>
            <sz val="10"/>
            <color rgb="FF000000"/>
            <rFont val="Tahoma"/>
            <family val="2"/>
          </rPr>
          <t xml:space="preserve">
</t>
        </r>
        <r>
          <rPr>
            <sz val="10"/>
            <color rgb="FF000000"/>
            <rFont val="Tahoma"/>
            <family val="2"/>
          </rPr>
          <t>160K</t>
        </r>
      </text>
    </comment>
    <comment ref="B101" authorId="1" shapeId="0" xr:uid="{00000000-0006-0000-0700-000003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 ref="B106" authorId="1" shapeId="0" xr:uid="{00000000-0006-0000-0700-000004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02" authorId="0" shapeId="0" xr:uid="{00000000-0006-0000-0800-000001000000}">
      <text>
        <r>
          <rPr>
            <b/>
            <sz val="9"/>
            <color rgb="FF000000"/>
            <rFont val="Tahoma"/>
            <family val="2"/>
          </rPr>
          <t>John Lively:</t>
        </r>
        <r>
          <rPr>
            <sz val="9"/>
            <color rgb="FF000000"/>
            <rFont val="Tahoma"/>
            <family val="2"/>
          </rPr>
          <t xml:space="preserve">
</t>
        </r>
        <r>
          <rPr>
            <sz val="9"/>
            <color rgb="FF000000"/>
            <rFont val="Tahoma"/>
            <family val="2"/>
          </rPr>
          <t xml:space="preserve">Hardcoded numbers are the starting values used in the previous model to represent the years prior to 2018. </t>
        </r>
      </text>
    </comment>
    <comment ref="B107" authorId="0" shapeId="0" xr:uid="{00000000-0006-0000-0800-000002000000}">
      <text>
        <r>
          <rPr>
            <b/>
            <sz val="9"/>
            <color rgb="FF000000"/>
            <rFont val="Tahoma"/>
            <family val="2"/>
          </rPr>
          <t>John Lively:</t>
        </r>
        <r>
          <rPr>
            <sz val="9"/>
            <color rgb="FF000000"/>
            <rFont val="Tahoma"/>
            <family val="2"/>
          </rPr>
          <t xml:space="preserve">
</t>
        </r>
        <r>
          <rPr>
            <sz val="9"/>
            <color rgb="FF000000"/>
            <rFont val="Tahoma"/>
            <family val="2"/>
          </rPr>
          <t xml:space="preserve">Hardcoded numbers are the starting values used in the previous model to represent the years prior to 2018.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21" authorId="0" shapeId="0" xr:uid="{00000000-0006-0000-0900-000001000000}">
      <text>
        <r>
          <rPr>
            <b/>
            <sz val="9"/>
            <color rgb="FF000000"/>
            <rFont val="Tahoma"/>
            <family val="2"/>
          </rPr>
          <t>John Lively:</t>
        </r>
        <r>
          <rPr>
            <sz val="9"/>
            <color rgb="FF000000"/>
            <rFont val="Tahoma"/>
            <family val="2"/>
          </rPr>
          <t xml:space="preserve">
</t>
        </r>
        <r>
          <rPr>
            <sz val="9"/>
            <color rgb="FF000000"/>
            <rFont val="Tahoma"/>
            <family val="2"/>
          </rPr>
          <t xml:space="preserve">Hardcoded numbers are the starting values used in the previous model to represent the years prior to 2018. </t>
        </r>
      </text>
    </comment>
    <comment ref="B126" authorId="0" shapeId="0" xr:uid="{00000000-0006-0000-0900-000002000000}">
      <text>
        <r>
          <rPr>
            <b/>
            <sz val="9"/>
            <color rgb="FF000000"/>
            <rFont val="Tahoma"/>
            <family val="2"/>
          </rPr>
          <t>John Lively:</t>
        </r>
        <r>
          <rPr>
            <sz val="9"/>
            <color rgb="FF000000"/>
            <rFont val="Tahoma"/>
            <family val="2"/>
          </rPr>
          <t xml:space="preserve">
</t>
        </r>
        <r>
          <rPr>
            <sz val="9"/>
            <color rgb="FF000000"/>
            <rFont val="Tahoma"/>
            <family val="2"/>
          </rPr>
          <t xml:space="preserve">Hardcoded numbers are the starting values used in the previous model to represent the years prior to 2018.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36" authorId="0" shapeId="0" xr:uid="{00000000-0006-0000-0F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37" authorId="0" shapeId="0" xr:uid="{00000000-0006-0000-10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John Lively</author>
  </authors>
  <commentList>
    <comment ref="B137" authorId="0" shapeId="0" xr:uid="{00000000-0006-0000-1100-000001000000}">
      <text>
        <r>
          <rPr>
            <b/>
            <sz val="9"/>
            <color indexed="81"/>
            <rFont val="Tahoma"/>
            <family val="2"/>
          </rPr>
          <t>John Lively:</t>
        </r>
        <r>
          <rPr>
            <sz val="9"/>
            <color indexed="81"/>
            <rFont val="Tahoma"/>
            <family val="2"/>
          </rPr>
          <t xml:space="preserve">
Hardcoded numbers are the starting values used in the previous model to represent the years prior to 2018.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<sst xmlns="http://schemas.openxmlformats.org/spreadsheetml/2006/main" count="2501" uniqueCount="483">
  <si>
    <t>40G SR4_100 m_QSFP+</t>
  </si>
  <si>
    <t>40G eSR4_300 m_QSFP+</t>
  </si>
  <si>
    <t>40G (LR4 subspec)_2 km_QSFP+</t>
  </si>
  <si>
    <t>100G SR4_100 m_QSFP28</t>
  </si>
  <si>
    <t>100G eSR4_300 m_QSFP28</t>
  </si>
  <si>
    <t>100G CWDM4_2 km_QSFP28</t>
  </si>
  <si>
    <t>100G LR4 and LR1_10 km_QSFP28</t>
  </si>
  <si>
    <t>100G 4WDM10_10 km_QSFP28</t>
  </si>
  <si>
    <t>100G 4WDM20_20 km_QSFP28</t>
  </si>
  <si>
    <t>2x200 (400G-SR8)_100 m_OSFP, QSFP-DD</t>
  </si>
  <si>
    <t>2x(200G FR4)_2 km_OSFP</t>
  </si>
  <si>
    <t>400G DR4_500 m_OSFP, QSFP-DD, QSFP112</t>
  </si>
  <si>
    <t>400G LR8, LR4_10 km_OSFP, QSFP-DD, QSFP112</t>
  </si>
  <si>
    <t>800G DR8, DR4_500 m_OSFP, QSFP-DD800</t>
  </si>
  <si>
    <t>2x(400G FR4), 800G FR4_2 km_OSFP, QSFP-DD800</t>
  </si>
  <si>
    <t>800G LR8, LR4_6, 10 km_TBD</t>
  </si>
  <si>
    <t>800G LR (ZRlite)_10 km, 20 km_TBD</t>
  </si>
  <si>
    <t>800G ER4_40 km_TBD</t>
  </si>
  <si>
    <t>1.6T SR16_100 m_OSFP-XD and TBD</t>
  </si>
  <si>
    <t>1.6T DR8_500 m_OSFP-XD and TBD</t>
  </si>
  <si>
    <t>1.6T FR8_2 km_OSFP-XD and TBD</t>
  </si>
  <si>
    <t>DWDM:  DWDM:  OC-192 (10G)</t>
  </si>
  <si>
    <t>DWDM:  DWDM:  OC-768 (40G)</t>
  </si>
  <si>
    <t>DWDM:  100G On-board</t>
  </si>
  <si>
    <t>DWDM:  100G Direct detect</t>
  </si>
  <si>
    <t>DWDM:  100G CFP-DCO</t>
  </si>
  <si>
    <t>DWDM:  100G QSFP28</t>
  </si>
  <si>
    <t>DWDM:  100G CFP2-ACO</t>
  </si>
  <si>
    <t>DWDM:  200G On-board</t>
  </si>
  <si>
    <t>DWDM:  200G CFP2-DCO</t>
  </si>
  <si>
    <t>DWDM:  200G CFP2-ACO</t>
  </si>
  <si>
    <t>DWDM:  400G On-board</t>
  </si>
  <si>
    <t>DWDM:  400G ZR</t>
  </si>
  <si>
    <t>DWDM:  400G ZR+</t>
  </si>
  <si>
    <t>DWDM:  400G Open ROADM</t>
  </si>
  <si>
    <t>DWDM:  600G On-board</t>
  </si>
  <si>
    <t>DWDM: 800G On-board</t>
  </si>
  <si>
    <t>DWDM:  800ZR/ZR+</t>
  </si>
  <si>
    <t>DWDM: 1.2T On-board</t>
  </si>
  <si>
    <t>DWDM: 1.6T On-board</t>
  </si>
  <si>
    <t>100G CWDM4-subspec_500 m_QSFP28</t>
  </si>
  <si>
    <t>200G FR4_3 km_QSFP56</t>
  </si>
  <si>
    <t>400G FR4_2 km_OSFP, QSFP-DD, QSFP112</t>
  </si>
  <si>
    <t>100G PSM4_500 m_QSFP28</t>
  </si>
  <si>
    <t>100G DR_500m_QSFP28</t>
  </si>
  <si>
    <t>100G FR, DR+_2 km_QSFP28</t>
  </si>
  <si>
    <t>Total units consumed</t>
  </si>
  <si>
    <t>200G SR4_100 m_QSFP56</t>
  </si>
  <si>
    <t>800G SR8_50 m_OSFP, QSFP-DD800</t>
  </si>
  <si>
    <t>1.6T LR8_10 km_OSFP-XD and TBD</t>
  </si>
  <si>
    <t>Reach</t>
  </si>
  <si>
    <t>500 m</t>
  </si>
  <si>
    <t>QSFP+</t>
  </si>
  <si>
    <t>1G</t>
  </si>
  <si>
    <t>SFP</t>
  </si>
  <si>
    <t>10 km</t>
  </si>
  <si>
    <t>40 km</t>
  </si>
  <si>
    <t>80 km</t>
  </si>
  <si>
    <t>1G &amp; Fast Ethernet</t>
  </si>
  <si>
    <t>Various</t>
  </si>
  <si>
    <t>Legacy/discontinued</t>
  </si>
  <si>
    <t>10G</t>
  </si>
  <si>
    <t>300 m</t>
  </si>
  <si>
    <t>XFP</t>
  </si>
  <si>
    <t>SFP+</t>
  </si>
  <si>
    <t>10G LRM</t>
  </si>
  <si>
    <t>220 m</t>
  </si>
  <si>
    <t>25G SR, eSR</t>
  </si>
  <si>
    <t>100 - 300 m</t>
  </si>
  <si>
    <t>SFP28</t>
  </si>
  <si>
    <t>25G LR</t>
  </si>
  <si>
    <t>25G ER</t>
  </si>
  <si>
    <t>40G SR4</t>
  </si>
  <si>
    <t>100 m</t>
  </si>
  <si>
    <t>40G MM duplex</t>
  </si>
  <si>
    <t>40G eSR4</t>
  </si>
  <si>
    <t>40G (FR)</t>
  </si>
  <si>
    <t>2 km</t>
  </si>
  <si>
    <t>CFP</t>
  </si>
  <si>
    <t>40G (LR4 subspec)</t>
  </si>
  <si>
    <t>40G</t>
  </si>
  <si>
    <t xml:space="preserve">50G </t>
  </si>
  <si>
    <t>all</t>
  </si>
  <si>
    <t>100G SR4</t>
  </si>
  <si>
    <t>CFP2/4</t>
  </si>
  <si>
    <t>QSFP28</t>
  </si>
  <si>
    <t>100G SR2</t>
  </si>
  <si>
    <t>All</t>
  </si>
  <si>
    <t>100G MM Duplex</t>
  </si>
  <si>
    <t>100G eSR4</t>
  </si>
  <si>
    <t>100G PSM4</t>
  </si>
  <si>
    <t>100G DR</t>
  </si>
  <si>
    <t>500m</t>
  </si>
  <si>
    <t>100G CWDM4-subspec</t>
  </si>
  <si>
    <t>100G CWDM4</t>
  </si>
  <si>
    <t>100G FR, DR+</t>
  </si>
  <si>
    <t>100G LR4</t>
  </si>
  <si>
    <t>100G LR4 and LR1</t>
  </si>
  <si>
    <t>100G 4WDM10</t>
  </si>
  <si>
    <t>100G 4WDM20</t>
  </si>
  <si>
    <t>20 km</t>
  </si>
  <si>
    <t>100G ER4-Lite</t>
  </si>
  <si>
    <t>30 km</t>
  </si>
  <si>
    <t>100G ER4</t>
  </si>
  <si>
    <t>100G ZR4</t>
  </si>
  <si>
    <t>200G SR4</t>
  </si>
  <si>
    <t>QSFP56</t>
  </si>
  <si>
    <t>200G DR</t>
  </si>
  <si>
    <t>TBD</t>
  </si>
  <si>
    <t>200G FR4</t>
  </si>
  <si>
    <t>3 km</t>
  </si>
  <si>
    <t>200G LR</t>
  </si>
  <si>
    <t>200G ER4</t>
  </si>
  <si>
    <t>2x200 (400G-SR8)</t>
  </si>
  <si>
    <t>OSFP, QSFP-DD</t>
  </si>
  <si>
    <t>400G SR4.2</t>
  </si>
  <si>
    <t>400G DR4</t>
  </si>
  <si>
    <t>OSFP, QSFP-DD, QSFP112</t>
  </si>
  <si>
    <t>2x(200G FR4)</t>
  </si>
  <si>
    <t>OSFP</t>
  </si>
  <si>
    <t>400G FR4</t>
  </si>
  <si>
    <t>400G LR8, LR4</t>
  </si>
  <si>
    <t>400G ER4</t>
  </si>
  <si>
    <t>800G SR8</t>
  </si>
  <si>
    <t>50 m</t>
  </si>
  <si>
    <t>OSFP, QSFP-DD800</t>
  </si>
  <si>
    <t>800G DR8, DR4</t>
  </si>
  <si>
    <t>2x(400G FR4), 800G FR4</t>
  </si>
  <si>
    <t>800G LR8, LR4</t>
  </si>
  <si>
    <t>6, 10 km</t>
  </si>
  <si>
    <t>800G LR (ZRlite)</t>
  </si>
  <si>
    <t>10 km, 20 km</t>
  </si>
  <si>
    <t>800G ER4</t>
  </si>
  <si>
    <t>1.6T SR16</t>
  </si>
  <si>
    <t>OSFP-XD and TBD</t>
  </si>
  <si>
    <t>1.6T DR8</t>
  </si>
  <si>
    <t>1.6T FR8</t>
  </si>
  <si>
    <t>1.6T LR8</t>
  </si>
  <si>
    <t>1.6T ER8</t>
  </si>
  <si>
    <t>3.2T SR</t>
  </si>
  <si>
    <t>3.2T DR</t>
  </si>
  <si>
    <t>3.2T FR</t>
  </si>
  <si>
    <t>3.2T LR</t>
  </si>
  <si>
    <t>3.2T ER</t>
  </si>
  <si>
    <t>Google</t>
  </si>
  <si>
    <t>Meta</t>
  </si>
  <si>
    <t>Amazon</t>
  </si>
  <si>
    <t>Microsoft</t>
  </si>
  <si>
    <t>Apple</t>
  </si>
  <si>
    <t>1G_500 m_SFP</t>
  </si>
  <si>
    <t>1G_10 km_SFP</t>
  </si>
  <si>
    <t>1G_40 km_SFP</t>
  </si>
  <si>
    <t>1G_80 km_SFP</t>
  </si>
  <si>
    <t>1G &amp; Fast Ethernet_Various_Legacy/discontinued</t>
  </si>
  <si>
    <t>10G_300 m_XFP</t>
  </si>
  <si>
    <t>10G_300 m_SFP+</t>
  </si>
  <si>
    <t>10G LRM_220 m_SFP+</t>
  </si>
  <si>
    <t>10G_10 km_XFP</t>
  </si>
  <si>
    <t>10G_10 km_SFP+</t>
  </si>
  <si>
    <t>10G_40 km_XFP</t>
  </si>
  <si>
    <t>10G_40 km_SFP+</t>
  </si>
  <si>
    <t>10G_80 km_XFP</t>
  </si>
  <si>
    <t>10G_80 km_SFP+</t>
  </si>
  <si>
    <t>10G_Various_Legacy/discontinued</t>
  </si>
  <si>
    <t>25G SR, eSR_100 - 300 m_SFP28</t>
  </si>
  <si>
    <t>25G LR_10 km_SFP28</t>
  </si>
  <si>
    <t>25G ER_40 km_SFP28</t>
  </si>
  <si>
    <t>40G MM duplex_100 m_QSFP+</t>
  </si>
  <si>
    <t>40G PSM4 _500 m_QSFP+</t>
  </si>
  <si>
    <t>40G (FR)_2 km_CFP</t>
  </si>
  <si>
    <t>40G_10 km_CFP</t>
  </si>
  <si>
    <t>40G_10 km_QSFP+</t>
  </si>
  <si>
    <t>40G_40 km_QSFP+</t>
  </si>
  <si>
    <t>50G _100 m_all</t>
  </si>
  <si>
    <t>50G _2 km_all</t>
  </si>
  <si>
    <t>50G _10 km_all</t>
  </si>
  <si>
    <t>50G _40 km_all</t>
  </si>
  <si>
    <t>50G _80 km_all</t>
  </si>
  <si>
    <t>100G SR4_100 m_CFP</t>
  </si>
  <si>
    <t>100G SR4_100 m_CFP2/4</t>
  </si>
  <si>
    <t>100G SR2_100 m_All</t>
  </si>
  <si>
    <t>100G MM Duplex_100 - 300 m_QSFP28</t>
  </si>
  <si>
    <t>100G LR4_10 km_CFP</t>
  </si>
  <si>
    <t>100G LR4_10 km_CFP2/4</t>
  </si>
  <si>
    <t>100G ER4-Lite_30 km_QSFP28</t>
  </si>
  <si>
    <t>100G ER4_40 km_QSFP28</t>
  </si>
  <si>
    <t>100G ZR4_80 km_QSFP28</t>
  </si>
  <si>
    <t>200G DR_500 m_TBD</t>
  </si>
  <si>
    <t>200G LR_10 km_TBD</t>
  </si>
  <si>
    <t>200G ER4_40 km_TBD</t>
  </si>
  <si>
    <t>400G ER4_40 km_TBD</t>
  </si>
  <si>
    <t>1.6T ER8_&gt;10 km_OSFP-XD and TBD</t>
  </si>
  <si>
    <t>3.2T SR_100 m_OSFP-XD and TBD</t>
  </si>
  <si>
    <t>3.2T DR_500 m_OSFP-XD and TBD</t>
  </si>
  <si>
    <t>3.2T FR_2 km_OSFP-XD and TBD</t>
  </si>
  <si>
    <t>3.2T LR_10 km_OSFP-XD and TBD</t>
  </si>
  <si>
    <t>3.2T ER_&gt;10 km_OSFP-XD and TBD</t>
  </si>
  <si>
    <t xml:space="preserve">CWDM:  up to 10 Gbps </t>
  </si>
  <si>
    <t>DWDM:  DWDM:  OC-48 (2.5 G)</t>
  </si>
  <si>
    <t>LookupCodes</t>
  </si>
  <si>
    <t xml:space="preserve">40G PSM4 </t>
  </si>
  <si>
    <r>
      <rPr>
        <b/>
        <sz val="12"/>
        <color theme="1"/>
        <rFont val="Calibri"/>
        <family val="2"/>
      </rPr>
      <t>&gt;</t>
    </r>
    <r>
      <rPr>
        <b/>
        <sz val="12"/>
        <color theme="1"/>
        <rFont val="Arial"/>
        <family val="2"/>
      </rPr>
      <t>10 km</t>
    </r>
  </si>
  <si>
    <t>DataRate</t>
  </si>
  <si>
    <t>FormFactor</t>
  </si>
  <si>
    <t>2.5G</t>
  </si>
  <si>
    <t>100G</t>
  </si>
  <si>
    <t>200G</t>
  </si>
  <si>
    <t>400G</t>
  </si>
  <si>
    <t>600G</t>
  </si>
  <si>
    <t>800G</t>
  </si>
  <si>
    <t>1.2T</t>
  </si>
  <si>
    <t>1.6T</t>
  </si>
  <si>
    <t>Type</t>
  </si>
  <si>
    <t>Ethernet</t>
  </si>
  <si>
    <t>DWDM</t>
  </si>
  <si>
    <t>Alibaba</t>
  </si>
  <si>
    <t>Huawei</t>
  </si>
  <si>
    <t>Tencent</t>
  </si>
  <si>
    <t>Baidu</t>
  </si>
  <si>
    <t>ByteDance</t>
  </si>
  <si>
    <t>Telecom</t>
  </si>
  <si>
    <t>Enterprise</t>
  </si>
  <si>
    <t>ch_2018</t>
  </si>
  <si>
    <t>ch_2019</t>
  </si>
  <si>
    <t>ch_2020</t>
  </si>
  <si>
    <t>ch_2021</t>
  </si>
  <si>
    <t>ch_2022</t>
  </si>
  <si>
    <t>ch_2023</t>
  </si>
  <si>
    <t>ch_2024</t>
  </si>
  <si>
    <t>ch_2025</t>
  </si>
  <si>
    <t>ch_2026</t>
  </si>
  <si>
    <t>ch_2027</t>
  </si>
  <si>
    <t>ch_2028</t>
  </si>
  <si>
    <t>cv_2018</t>
  </si>
  <si>
    <t>cv_2019</t>
  </si>
  <si>
    <t>cv_2020</t>
  </si>
  <si>
    <t>cv_2021</t>
  </si>
  <si>
    <t>cv_2022</t>
  </si>
  <si>
    <t>cv_2023</t>
  </si>
  <si>
    <t>cv_2024</t>
  </si>
  <si>
    <t>cv_2025</t>
  </si>
  <si>
    <t>cv_2026</t>
  </si>
  <si>
    <t>cv_2027</t>
  </si>
  <si>
    <t>cv_2028</t>
  </si>
  <si>
    <t>Cloud total</t>
  </si>
  <si>
    <t>Figures used in the report</t>
  </si>
  <si>
    <t>LightCounting Mega Datacenter Report Database</t>
  </si>
  <si>
    <t>Global Market</t>
  </si>
  <si>
    <t>List of products included in the forecast</t>
  </si>
  <si>
    <t>Current forecast (units)</t>
  </si>
  <si>
    <t>Annual bandwidth addition</t>
  </si>
  <si>
    <t>Cumulative bandwidth added</t>
  </si>
  <si>
    <t>Growth in cumulative</t>
  </si>
  <si>
    <t>Speed (Gbps)</t>
  </si>
  <si>
    <t>Bandwidth calculation</t>
  </si>
  <si>
    <t>Figure 1-1: Locations of new computing hubs and datacenters in China</t>
  </si>
  <si>
    <t>Figure 3-7: Data traffic inside Google Datacenters (2011-2021)</t>
  </si>
  <si>
    <t>Figure 3-8: Traffic growth rate in Amsterdam and Brazil Internet Exchanges</t>
  </si>
  <si>
    <t>Figure 3-9: Growth rate in bandwidth of shipments of Ethernet optical transceivers</t>
  </si>
  <si>
    <t>Figure 3-10: Growth rates in bandwidth of Ethernet connections by application</t>
  </si>
  <si>
    <t>Figure 3-12: Growth rate of the Internet traffic and DWDM network bandwidth</t>
  </si>
  <si>
    <t>Figure 3-13: Growth rates of DWDM network bandwidth by market segment</t>
  </si>
  <si>
    <t>Figure 3-14: Shipments and Sales of Ethernet optical transceivers: 2017 forecast and actual data</t>
  </si>
  <si>
    <t>Figure 3-16: Shipments and Sales of 400G optical transceivers: 2017 forecast and actual data</t>
  </si>
  <si>
    <t>Figure 3-17: Comparison between forecast for DWDM ports published in 2017 and the actual data collected from the market</t>
  </si>
  <si>
    <t xml:space="preserve">Figure 6-3: LightCounting forecast for Google’s consumption of Ethernet transceiver </t>
  </si>
  <si>
    <t>Figure 6-4: Sales of Ethernet and DWDM transceivers to Google</t>
  </si>
  <si>
    <t>Figure 6-5: LightCounting forecast for Amazon’s Ethernet transceiver consumption</t>
  </si>
  <si>
    <t>Figure 6-6: Sales of Ethernet and DWDM transceivers to Amazon</t>
  </si>
  <si>
    <t>Figure 6-10: Shipments of Ethernet transceivers to Meta (Facebook)</t>
  </si>
  <si>
    <t>Figure 6-11: Sales of Ethernet and DWDM transceivers to Meta (Facebook)</t>
  </si>
  <si>
    <t>Figure 6-12: LightCounting forecast for Microsoft’s transceiver purchases</t>
  </si>
  <si>
    <t>Figure 6-13: Sales of Ethernet and DWDM transceivers to Microsoft</t>
  </si>
  <si>
    <t>Chapter 2 - all figures are graphics, no data charts</t>
  </si>
  <si>
    <t>Cloud All Other</t>
  </si>
  <si>
    <t>Bandwidth calculations</t>
  </si>
  <si>
    <t>Ethernet subtotal</t>
  </si>
  <si>
    <t>DWDM subtotal</t>
  </si>
  <si>
    <t>ASP</t>
  </si>
  <si>
    <t>Current forecast</t>
  </si>
  <si>
    <t>Units</t>
  </si>
  <si>
    <t>un_2018</t>
  </si>
  <si>
    <t>un_2019</t>
  </si>
  <si>
    <t>un_2020</t>
  </si>
  <si>
    <t>un_2021</t>
  </si>
  <si>
    <t>un_2022</t>
  </si>
  <si>
    <t>un_2023</t>
  </si>
  <si>
    <t>un_2024</t>
  </si>
  <si>
    <t>un_2025</t>
  </si>
  <si>
    <t>un_2026</t>
  </si>
  <si>
    <t>un_2027</t>
  </si>
  <si>
    <t>un_2028</t>
  </si>
  <si>
    <t>pr_2018</t>
  </si>
  <si>
    <t>pr_2019</t>
  </si>
  <si>
    <t>pr_2020</t>
  </si>
  <si>
    <t>pr_2021</t>
  </si>
  <si>
    <t>pr_2022</t>
  </si>
  <si>
    <t>pr_2023</t>
  </si>
  <si>
    <t>pr_2024</t>
  </si>
  <si>
    <t>pr_2025</t>
  </si>
  <si>
    <t>pr_2026</t>
  </si>
  <si>
    <t>pr_2027</t>
  </si>
  <si>
    <t>pr_2028</t>
  </si>
  <si>
    <t>10G total_All_All</t>
  </si>
  <si>
    <t>25G total_All_All</t>
  </si>
  <si>
    <t>40G total_All_All</t>
  </si>
  <si>
    <t>50G total_All_All</t>
  </si>
  <si>
    <t>100G total_All_All</t>
  </si>
  <si>
    <t>200G total_All_All</t>
  </si>
  <si>
    <t>400G total_All_All</t>
  </si>
  <si>
    <t>800G total_All_All</t>
  </si>
  <si>
    <t>1.6T total_All_All</t>
  </si>
  <si>
    <t>3.2T total_All_All</t>
  </si>
  <si>
    <t>Ethernet total</t>
  </si>
  <si>
    <t>1G total_All_All</t>
  </si>
  <si>
    <t>400ZR</t>
  </si>
  <si>
    <t>ASP ($)</t>
  </si>
  <si>
    <t>Sales ($M)</t>
  </si>
  <si>
    <t>sl_2018</t>
  </si>
  <si>
    <t>sl_2019</t>
  </si>
  <si>
    <t>sl_2020</t>
  </si>
  <si>
    <t>sl_2021</t>
  </si>
  <si>
    <t>sl_2022</t>
  </si>
  <si>
    <t>sl_2023</t>
  </si>
  <si>
    <t>sl_2024</t>
  </si>
  <si>
    <t>sl_2025</t>
  </si>
  <si>
    <t>sl_2026</t>
  </si>
  <si>
    <t>sl_2027</t>
  </si>
  <si>
    <t>sl_2028</t>
  </si>
  <si>
    <t>DWDM: 100G All</t>
  </si>
  <si>
    <t>DWDM: 200G All</t>
  </si>
  <si>
    <t>DWDM: 400G All</t>
  </si>
  <si>
    <t>DWDM: 600G All</t>
  </si>
  <si>
    <t>DWDM: 800G All</t>
  </si>
  <si>
    <t>DWDM: 1.2T All</t>
  </si>
  <si>
    <t>DWDM: 1.6T All</t>
  </si>
  <si>
    <t>DWDM total</t>
  </si>
  <si>
    <t>C/DWDM: up to 40 G</t>
  </si>
  <si>
    <t>speed coef</t>
  </si>
  <si>
    <t>400G SR4_100 m_OSFP, QSFP-DD</t>
  </si>
  <si>
    <t>checksum total</t>
  </si>
  <si>
    <t>Capex ($ mn)</t>
  </si>
  <si>
    <t>Products</t>
  </si>
  <si>
    <t>AI Splits</t>
  </si>
  <si>
    <t>AI units (calculated)</t>
  </si>
  <si>
    <t>AI sales (calculated) - $ millions</t>
  </si>
  <si>
    <t>Growth rate y-o-y</t>
  </si>
  <si>
    <t>up to 40</t>
  </si>
  <si>
    <t>Ethernet non-AI</t>
  </si>
  <si>
    <t xml:space="preserve">Ethernet AI </t>
  </si>
  <si>
    <t>Capex growth (historical and assumed)</t>
  </si>
  <si>
    <t>Sales ($ millions)</t>
  </si>
  <si>
    <t>Abstract</t>
  </si>
  <si>
    <t>Analysis and assumptions: Vladimir Kozlov, John Lively</t>
  </si>
  <si>
    <t>Forecast Methodology</t>
  </si>
  <si>
    <t xml:space="preserve">The LightCounting optical interconnect forecast begins with historical shipment data derived from our proprietary vendor shipments database. </t>
  </si>
  <si>
    <t>The historical trends are extrapolated using the life-cycle model described below. The specific assumptions for each product</t>
  </si>
  <si>
    <t xml:space="preserve">are based on the results of interviews with leading vendors and other industry experts. Several 'sanity checks' are then performed to assess </t>
  </si>
  <si>
    <t>the results of the forecast, and feedback is provided from several industry participants. Final adjustments are made.</t>
  </si>
  <si>
    <t xml:space="preserve">LightCounting has no vested interest in the transceiver market and does not participate in any vendor specific projects and/or consultations. </t>
  </si>
  <si>
    <t>LightCounting forecasting involves combining forecasts from more than one source and uses various methods.</t>
  </si>
  <si>
    <t>Trend extrapolation</t>
  </si>
  <si>
    <t>Forecast methodology is based on extrapolation of historical transceiver sales using product life-cycle model (S-curve methodology) for individual products. Information on historical sales of transceivers is obtained by means of LightCounting market surveys conducted on a semi-annual basis.</t>
  </si>
  <si>
    <t>Expert Opinions</t>
  </si>
  <si>
    <t>LightCounting forecasting highly involves industry expert opinions as well as discussions with transceiver vendors, their suppliers and customers. It is through the synthesis of these opinions that a final forecast is obtained.</t>
  </si>
  <si>
    <t>Cross-impact Analysis</t>
  </si>
  <si>
    <t>Relationships often exist between legacy and new products that may not be revealed by any forecasting techniques. LightCounting forecasting recognizes that the occurrence of an event can, in turn, affect the likelihoods of other events such as the impact of 40-Gbps sales on 10-Gbps sales, and expects similar penetration rates for new product introductions.</t>
  </si>
  <si>
    <t>Scenario Analysis</t>
  </si>
  <si>
    <t xml:space="preserve">Scenarios consider developments such as new data rates, form factors or possible growth rates. Expert opinions are often used to evaluate and compare different scenarios and pick the most possible one.  </t>
  </si>
  <si>
    <t>Financial Analysis</t>
  </si>
  <si>
    <t xml:space="preserve">LightCounting makes global economic and financial analysis of specific companies, use publicly available information such as SEC filings, company presentations or other market researches as input to its forecasting. </t>
  </si>
  <si>
    <r>
      <t xml:space="preserve">Companion Report: </t>
    </r>
    <r>
      <rPr>
        <b/>
        <sz val="12"/>
        <rFont val="Arial"/>
        <family val="2"/>
      </rPr>
      <t>Mega Datacenter Optics</t>
    </r>
    <r>
      <rPr>
        <sz val="12"/>
        <rFont val="Arial"/>
        <family val="2"/>
      </rPr>
      <t>, July 2023 by Vladimir Kozlov</t>
    </r>
  </si>
  <si>
    <t>Model developed by: Vladimir Kozlov, Igor Lomtev, John Lively</t>
  </si>
  <si>
    <t xml:space="preserve">Starting in July 2023, the forecast approach for Ethernet and DWDM products has been changed from a top-down to a bottom-up approach. </t>
  </si>
  <si>
    <t xml:space="preserve">The total market is comprised of the sum of the various Top 10 and segments. </t>
  </si>
  <si>
    <t xml:space="preserve">Sanity checks using the vendor survey data, bandwidth growth rates, and industry interviews are used to test and adjust the results. </t>
  </si>
  <si>
    <t xml:space="preserve">As before, feedback from industry participants is taken before publication of the forecast. </t>
  </si>
  <si>
    <t>Total</t>
  </si>
  <si>
    <t>March 2023 forecast</t>
  </si>
  <si>
    <t>1.6 T</t>
  </si>
  <si>
    <t>Cost per gigabit per second</t>
  </si>
  <si>
    <t>Cost per Gbps</t>
  </si>
  <si>
    <t>1 G</t>
  </si>
  <si>
    <t>10 G</t>
  </si>
  <si>
    <t>25 G</t>
  </si>
  <si>
    <t>40 G</t>
  </si>
  <si>
    <t>50 G</t>
  </si>
  <si>
    <t>100 G</t>
  </si>
  <si>
    <t>200 G</t>
  </si>
  <si>
    <t>400 G</t>
  </si>
  <si>
    <t>800 G</t>
  </si>
  <si>
    <t>Grand average</t>
  </si>
  <si>
    <t>3.2 T</t>
  </si>
  <si>
    <t>Notes</t>
  </si>
  <si>
    <t>In 2023, majority of the optics that Baidu deployed still 100G, such as SR4/C4 and total around 400,000 units. 25G and 10G just small quantity inventory for the replacement of the deployed 25G/10G O&amp;M purpose.</t>
  </si>
  <si>
    <t>For the coherent optics that deployed in DCI connection, Baidu barely deploy the traditional on-board optics since 2021, mostly 400G CFP2 DCO and around 900 units of it will be deployed in 2023.</t>
  </si>
  <si>
    <r>
      <t>Baidu will skip 200G, and starting from Q1 2024 they will deploy 400G optics in volume, QSFP112, include SR4(100m), DR4</t>
    </r>
    <r>
      <rPr>
        <sz val="11"/>
        <color rgb="FF000000"/>
        <rFont val="DengXian"/>
        <family val="4"/>
        <charset val="134"/>
      </rPr>
      <t>（</t>
    </r>
    <r>
      <rPr>
        <sz val="11"/>
        <color rgb="FF000000"/>
        <rFont val="Calibri"/>
        <family val="2"/>
        <scheme val="minor"/>
      </rPr>
      <t>500m</t>
    </r>
    <r>
      <rPr>
        <sz val="11"/>
        <color rgb="FF000000"/>
        <rFont val="DengXian"/>
        <family val="4"/>
        <charset val="134"/>
      </rPr>
      <t>）</t>
    </r>
    <r>
      <rPr>
        <sz val="11"/>
        <color rgb="FF000000"/>
        <rFont val="Calibri"/>
        <family val="2"/>
        <scheme val="minor"/>
      </rPr>
      <t> and FR4(2KM), majority will be SR4 which around 40,000 units in 2024.</t>
    </r>
  </si>
  <si>
    <t>No clear schedule for 800G yet, however, since Baidu formed a new optics team under Dr. Zhu, he did mention that Baidu will stay a short deployment cycle with 400G and will deploy 800G depend on the application, not like 100G generation stay with it for a long term.</t>
  </si>
  <si>
    <t xml:space="preserve">Notes </t>
  </si>
  <si>
    <t>For datacenter that located in China, ByteDance deployment plan of optics in 2023/2024,</t>
  </si>
  <si>
    <t>400G SR8 for China Datacenter total around 350,000 units(2023)</t>
  </si>
  <si>
    <t>400G DR4, 15,000 units(2023)</t>
  </si>
  <si>
    <t>400G FR4, 40,000 units(2023)</t>
  </si>
  <si>
    <t>100G SR/C4, in total less than 25,000 units(2023)</t>
  </si>
  <si>
    <t>For longer reach they stay with either on-board optics which included into the OTN equipment( no disaggregate issue) and Huawei is one of the top vendor for it, also some 400G CFP2 DCO but small quantity, in this year just few hundreds units(less than 700). </t>
  </si>
  <si>
    <t>ByteDance will deploy 800G starting from Q1 2024, mostly 800G SR8, estimated number of it around 30,000 units in the whole year of 2024, DR4 will deployed depend on the application which may in 2025 or afterward.</t>
  </si>
  <si>
    <t>For datacenter that located out of China, ByteDance deployment plan of optics in 2023/2024,</t>
  </si>
  <si>
    <t>Mostly still stay with 100G in 2023 and not upgrade to 400G yet and no clear schedule for it</t>
  </si>
  <si>
    <t>400G ZR around 1000 units in 2023</t>
  </si>
  <si>
    <t>800G Single mode, mostly 2XFR4 and some FR4, plans to deploy it from H2 2024, its bit of hard to tell the quantity for now even the rough number</t>
  </si>
  <si>
    <t xml:space="preserve">Figure 3-1: Market Breakdown used in this Report </t>
  </si>
  <si>
    <t xml:space="preserve">Figure 3-2: Market Segment Definitions </t>
  </si>
  <si>
    <t>Capex data for ByteDance is not available</t>
  </si>
  <si>
    <t>Capex for Cloud All Other is not available</t>
  </si>
  <si>
    <t>Figure 3-3: Infrastructure spending by market segment</t>
  </si>
  <si>
    <t>Figure 3-4: Projected growth of infrastructure spending by segment</t>
  </si>
  <si>
    <t xml:space="preserve">Figure 3-5: Cloud Segment Dominates Ethernet Market in 2022 </t>
  </si>
  <si>
    <t>Cloud</t>
  </si>
  <si>
    <t>Figure 3-11: Growth rate in bandwidth of Ethernet connections deployed by Top 10 and All other Cloud companies</t>
  </si>
  <si>
    <t>All Other Cloud</t>
  </si>
  <si>
    <t>Top 10 Cloud</t>
  </si>
  <si>
    <t>Top 10 Cumulative b.w.</t>
  </si>
  <si>
    <t>Figure 3-15: Shipments and Sales of 100G optical transceivers: 2017 forecast and actual data</t>
  </si>
  <si>
    <t>Ethernet &amp; DWDM total</t>
  </si>
  <si>
    <t>Growth of aggregated capacity of optical transceivers</t>
  </si>
  <si>
    <t>Market Segment</t>
  </si>
  <si>
    <t>Internet Traffic</t>
  </si>
  <si>
    <t>Figure 3-6: Cloud accounted for 37% of DWDM transceiver market in 2022</t>
  </si>
  <si>
    <t>DWDM by data rate</t>
  </si>
  <si>
    <t>600/800G</t>
  </si>
  <si>
    <t>1.2/1.6T</t>
  </si>
  <si>
    <t>Ethernet by data rate</t>
  </si>
  <si>
    <t>Figure 6-1: Sales of Ethernet Transceivers to the Top 10 Cloud Companies</t>
  </si>
  <si>
    <t>Sales to Top 10 Cloud companies combined, Ethernet</t>
  </si>
  <si>
    <t>Source: this spreadsheet</t>
  </si>
  <si>
    <t>Top 5 US</t>
  </si>
  <si>
    <t>Top 5 China</t>
  </si>
  <si>
    <t>All Other</t>
  </si>
  <si>
    <t>Fig. X.X - Cloud Ethernet transceiver sales split by Top 5 US, Top 5 Chinese, All Other Cloud</t>
  </si>
  <si>
    <t>Fig. X.X - Ethernet transceiver sales split by Cloud, Telecom, Enterprise segments</t>
  </si>
  <si>
    <t>Figure 6-X: Shipments of Ethernet Transceivers to the Top 5 Chinese Cloud Companies</t>
  </si>
  <si>
    <t>Sum of above</t>
  </si>
  <si>
    <t>Figure 6-X: Sales of Ethernet Transceivers to the Top 5 Chinese Cloud Companies</t>
  </si>
  <si>
    <t>Figure 6-X: Sales of Ethernet Transceivers to the Top 5 Cloud Companies</t>
  </si>
  <si>
    <t>Figure 6-X: Shipments of Ethernet Transceivers to the Top 5 Cloud Companies</t>
  </si>
  <si>
    <t>400 ZR</t>
  </si>
  <si>
    <t>400 ZR+</t>
  </si>
  <si>
    <t>800 ZR/ZR+</t>
  </si>
  <si>
    <t>see Google tab</t>
  </si>
  <si>
    <t>see Amazon tab</t>
  </si>
  <si>
    <t>see Meta tab</t>
  </si>
  <si>
    <t>see Microsoft tab</t>
  </si>
  <si>
    <t>% of China</t>
  </si>
  <si>
    <t>% of all Other</t>
  </si>
  <si>
    <t>US/China</t>
  </si>
  <si>
    <t>400G SR4</t>
  </si>
  <si>
    <t>800G DR8</t>
  </si>
  <si>
    <t>800G 2xFR4/FR8</t>
  </si>
  <si>
    <t>Figures 5-1 through 5-4 are graphics, not data plots</t>
  </si>
  <si>
    <t>Figure 5-5: Shipments of selected categories of Ethernet transceivers .</t>
  </si>
  <si>
    <t>Figure 5-6: Shipments of Ethernet transceivers by application.</t>
  </si>
  <si>
    <t>Figure 5-7: Sales of Ethernet transceivers by applications</t>
  </si>
  <si>
    <t>Share of Cloud</t>
  </si>
  <si>
    <t>Figure 4-3</t>
  </si>
  <si>
    <t xml:space="preserve">All other </t>
  </si>
  <si>
    <t>Sales of 400ZR/ZR+ QSFP-DD by end user</t>
  </si>
  <si>
    <t>400ZR+</t>
  </si>
  <si>
    <t xml:space="preserve">Amazon </t>
  </si>
  <si>
    <t>Figures 4-1, 4-2 and 4-4 are graphics, not data plots</t>
  </si>
  <si>
    <t>Figure 4-5: Sales of DWDM transceivers by market segments</t>
  </si>
  <si>
    <t>Figure 4-6: Shipments of 400G and 800Z pluggable DWDM modules to Cloud Companies</t>
  </si>
  <si>
    <t xml:space="preserve">Figure 4-7: Shipments of high speed (100G and above) DWDM modules to Cloud customers </t>
  </si>
  <si>
    <t>Figure 4-8: Sales of high speed (100G and above) DWDM modules to Cloud customers</t>
  </si>
  <si>
    <t>Capex data for Huawei is not available</t>
  </si>
  <si>
    <t>LightCounting Ethernet and DWDM Transceivers Forecast</t>
  </si>
  <si>
    <t xml:space="preserve">This forecast presents historical sales from 2016 to 2022 and a forecast through 2028 for Ethernet transceivers.  The historical data accounts for more than 30 optical component and module vendors, including 25 that shared confidential data with LightCounting. The market forecast is based on a combination of historical trend extrapolation, expert opinion (based on numerous in-depth interviews with leading vendors), and life-cycle models based on past experience in this segment. </t>
  </si>
  <si>
    <t>Figure E-1: Sales of Ethernet transceivers by application</t>
  </si>
  <si>
    <t>Figure E-2: Sales of 400G SR4, 800G SR8 and 2xFR4/FR8 transceivers</t>
  </si>
  <si>
    <t>July 2023 forecast</t>
  </si>
  <si>
    <t>September 2022 forecast</t>
  </si>
  <si>
    <t>The latest forecast for Ethernet transceivers compared to the March 2023 and September 2022 forecasts</t>
  </si>
  <si>
    <t xml:space="preserve"> Mega Datacenter Report - July 2023  sample template</t>
  </si>
  <si>
    <t xml:space="preserve">Each of the Top 10 cloud companies' transceiver consumption is forecast first, then All Other Cloud, Telecom, and Enterprise.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</si>
</sst>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00_-;\-* #,##0.00_-;_-* &quot;-&quot;??_-;_-@_-"/>
    <numFmt numFmtId="165" formatCode="_(* #,##0_);_(* \(#,##0\);_(* &quot;-&quot;??_);_(@_)"/>
    <numFmt numFmtId="166" formatCode="_(&quot;$&quot;* #,##0_);_(&quot;$&quot;* \(#,##0\);_(&quot;$&quot;* &quot;-&quot;??_);_(@_)"/>
    <numFmt numFmtId="167" formatCode="_-* #,##0_-;\-* #,##0_-;_-* &quot;-&quot;??_-;_-@_-"/>
    <numFmt numFmtId="168" formatCode="_-* #,##0.0_-;\-* #,##0.0_-;_-* &quot;-&quot;??_-;_-@_-"/>
    <numFmt numFmtId="169" formatCode="0.0%"/>
    <numFmt numFmtId="170" formatCode="_(&quot;$&quot;* #,##0.0_);_(&quot;$&quot;* \(#,##0.0\);_(&quot;$&quot;* &quot;-&quot;??_);_(@_)"/>
    <numFmt numFmtId="171" formatCode="General_)"/>
    <numFmt numFmtId="172" formatCode="0.00_)"/>
    <numFmt numFmtId="173" formatCode="[&gt;9.9]0;[&gt;0]0.0;\-;"/>
    <numFmt numFmtId="174" formatCode="_(* #,##0.0_);_(* \(#,##0.0\);_(* &quot;-&quot;??_);_(@_)"/>
  </numFmts>
  <fonts count="55">
    <font>
      <sz val="12"/>
      <color theme="1"/>
      <name val="Calibri"/>
      <family val="2"/>
      <scheme val="minor"/>
    </font>
    <font>
      <sz val="10"/>
      <color theme="1"/>
      <name val="Calibri"/>
      <family val="2"/>
    </font>
    <font>
      <sz val="10"/>
      <color theme="1"/>
      <name val="Calibri"/>
      <family val="2"/>
      <scheme val="minor"/>
    </font>
    <font>
      <sz val="12"/>
      <color theme="1"/>
      <name val="Calibri"/>
      <family val="2"/>
      <scheme val="minor"/>
    </font>
    <font>
      <b/>
      <sz val="10"/>
      <name val="Calibri"/>
      <family val="2"/>
      <scheme val="minor"/>
    </font>
    <font>
      <sz val="10"/>
      <name val="Calibri"/>
      <family val="2"/>
      <scheme val="minor"/>
    </font>
    <font>
      <sz val="10"/>
      <color theme="1"/>
      <name val="Arial"/>
      <family val="2"/>
    </font>
    <font>
      <b/>
      <sz val="12"/>
      <color theme="1"/>
      <name val="Arial"/>
      <family val="2"/>
    </font>
    <font>
      <b/>
      <sz val="12"/>
      <color theme="1"/>
      <name val="Calibri"/>
      <family val="2"/>
    </font>
    <font>
      <sz val="9"/>
      <color indexed="81"/>
      <name val="Tahoma"/>
      <family val="2"/>
    </font>
    <font>
      <b/>
      <sz val="9"/>
      <color indexed="81"/>
      <name val="Tahoma"/>
      <family val="2"/>
    </font>
    <font>
      <b/>
      <sz val="11"/>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sz val="9"/>
      <color theme="1"/>
      <name val="Calibri"/>
      <family val="2"/>
      <scheme val="minor"/>
    </font>
    <font>
      <sz val="10"/>
      <color rgb="FFFF0000"/>
      <name val="Calibri"/>
      <family val="2"/>
      <scheme val="minor"/>
    </font>
    <font>
      <sz val="12"/>
      <color rgb="FFFF0000"/>
      <name val="Calibri"/>
      <family val="2"/>
      <scheme val="minor"/>
    </font>
    <font>
      <b/>
      <sz val="12"/>
      <color theme="1"/>
      <name val="Calibri"/>
      <family val="2"/>
      <scheme val="minor"/>
    </font>
    <font>
      <sz val="10"/>
      <color theme="1"/>
      <name val="Calibri"/>
      <family val="2"/>
      <scheme val="minor"/>
    </font>
    <font>
      <sz val="9"/>
      <color rgb="FFFF0000"/>
      <name val="Calibri"/>
      <family val="2"/>
      <scheme val="minor"/>
    </font>
    <font>
      <b/>
      <sz val="9"/>
      <color rgb="FF000000"/>
      <name val="Tahoma"/>
      <family val="2"/>
    </font>
    <font>
      <sz val="9"/>
      <color rgb="FF000000"/>
      <name val="Tahoma"/>
      <family val="2"/>
    </font>
    <font>
      <b/>
      <sz val="14"/>
      <color theme="1"/>
      <name val="Arial"/>
      <family val="2"/>
    </font>
    <font>
      <sz val="8"/>
      <name val="Calibri"/>
      <family val="2"/>
      <scheme val="minor"/>
    </font>
    <font>
      <sz val="10"/>
      <color theme="1"/>
      <name val="Calibri"/>
      <family val="2"/>
      <scheme val="minor"/>
    </font>
    <font>
      <sz val="10"/>
      <name val="Arial"/>
      <family val="2"/>
    </font>
    <font>
      <sz val="10"/>
      <color rgb="FFFF0000"/>
      <name val="Arial"/>
      <family val="2"/>
    </font>
    <font>
      <sz val="12"/>
      <name val="Calibri"/>
      <family val="2"/>
      <scheme val="minor"/>
    </font>
    <font>
      <sz val="10"/>
      <color theme="1"/>
      <name val="Calibri"/>
      <family val="2"/>
      <scheme val="minor"/>
    </font>
    <font>
      <sz val="10"/>
      <color rgb="FF000000"/>
      <name val="Tahoma"/>
      <family val="2"/>
    </font>
    <font>
      <b/>
      <sz val="10"/>
      <color rgb="FF000000"/>
      <name val="Tahoma"/>
      <family val="2"/>
    </font>
    <font>
      <sz val="11"/>
      <color theme="1"/>
      <name val="Calibri"/>
      <family val="2"/>
      <scheme val="minor"/>
    </font>
    <font>
      <b/>
      <sz val="10"/>
      <color theme="1"/>
      <name val="Calibri"/>
      <family val="2"/>
      <scheme val="minor"/>
    </font>
    <font>
      <sz val="10"/>
      <color rgb="FF0070C0"/>
      <name val="Calibri"/>
      <family val="2"/>
      <scheme val="minor"/>
    </font>
    <font>
      <b/>
      <sz val="14"/>
      <color theme="3"/>
      <name val="Arial"/>
      <family val="2"/>
    </font>
    <font>
      <sz val="12"/>
      <color theme="1"/>
      <name val="Arial"/>
      <family val="2"/>
    </font>
    <font>
      <sz val="12"/>
      <name val="Arial"/>
      <family val="2"/>
    </font>
    <font>
      <b/>
      <sz val="12"/>
      <name val="Arial"/>
      <family val="2"/>
    </font>
    <font>
      <sz val="12"/>
      <color rgb="FFFF0000"/>
      <name val="Arial"/>
      <family val="2"/>
    </font>
    <font>
      <b/>
      <sz val="10"/>
      <name val="Arial"/>
      <family val="2"/>
    </font>
    <font>
      <sz val="10"/>
      <name val="Helvetica"/>
      <family val="2"/>
    </font>
    <font>
      <sz val="10"/>
      <color indexed="8"/>
      <name val="Arial"/>
      <family val="2"/>
    </font>
    <font>
      <sz val="10"/>
      <color indexed="8"/>
      <name val="Helvetica"/>
      <family val="2"/>
    </font>
    <font>
      <b/>
      <sz val="12"/>
      <color indexed="8"/>
      <name val="Helvetica"/>
      <family val="2"/>
    </font>
    <font>
      <b/>
      <sz val="10"/>
      <color indexed="8"/>
      <name val="Helvetica"/>
      <family val="2"/>
    </font>
    <font>
      <u/>
      <sz val="10"/>
      <color theme="10"/>
      <name val="Arial"/>
      <family val="2"/>
    </font>
    <font>
      <b/>
      <i/>
      <sz val="16"/>
      <name val="Helv"/>
    </font>
    <font>
      <sz val="10"/>
      <name val="Geneva"/>
      <family val="2"/>
    </font>
    <font>
      <sz val="11"/>
      <color rgb="FF000000"/>
      <name val="Calibri"/>
      <family val="2"/>
      <scheme val="minor"/>
    </font>
    <font>
      <sz val="11"/>
      <color rgb="FF000000"/>
      <name val="DengXian"/>
      <family val="4"/>
      <charset val="134"/>
    </font>
    <font>
      <b/>
      <sz val="11"/>
      <color rgb="FF000000"/>
      <name val="Calibri"/>
      <family val="2"/>
      <scheme val="minor"/>
    </font>
    <font>
      <b/>
      <sz val="12"/>
      <color indexed="8"/>
      <name val="Calibri"/>
      <family val="2"/>
      <scheme val="minor"/>
    </font>
    <font>
      <sz val="11"/>
      <name val="Calibri"/>
      <family val="2"/>
      <scheme val="minor"/>
    </font>
    <font>
      <sz val="10"/>
      <color theme="1"/>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theme="4" tint="0.79998168889431442"/>
      </patternFill>
    </fill>
    <fill>
      <patternFill patternType="solid">
        <fgColor theme="5"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theme="4" tint="0.79998168889431442"/>
      </patternFill>
    </fill>
    <fill>
      <patternFill patternType="solid">
        <fgColor theme="8" tint="0.59999389629810485"/>
        <bgColor indexed="64"/>
      </patternFill>
    </fill>
    <fill>
      <patternFill patternType="solid">
        <fgColor theme="9" tint="0.59999389629810485"/>
        <bgColor theme="4" tint="0.79998168889431442"/>
      </patternFill>
    </fill>
    <fill>
      <patternFill patternType="solid">
        <fgColor rgb="FFFFFFCC"/>
        <bgColor indexed="64"/>
      </patternFill>
    </fill>
    <fill>
      <patternFill patternType="solid">
        <fgColor theme="6" tint="0.79998168889431442"/>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theme="4" tint="0.39997558519241921"/>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13">
    <xf numFmtId="0" fontId="0" fillId="0" borderId="0"/>
    <xf numFmtId="164"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0" fontId="2" fillId="0" borderId="0"/>
    <xf numFmtId="44" fontId="3"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2" fillId="0" borderId="0"/>
    <xf numFmtId="9" fontId="6" fillId="0" borderId="0" applyFont="0" applyFill="0" applyBorder="0" applyAlignment="0" applyProtection="0"/>
    <xf numFmtId="0" fontId="6" fillId="0" borderId="0"/>
    <xf numFmtId="43" fontId="3" fillId="0" borderId="0" applyFont="0" applyFill="0" applyBorder="0" applyAlignment="0" applyProtection="0"/>
    <xf numFmtId="0" fontId="41" fillId="0" borderId="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5" fontId="43" fillId="0" borderId="0" applyFont="0" applyFill="0" applyBorder="0" applyAlignment="0" applyProtection="0">
      <protection locked="0"/>
    </xf>
    <xf numFmtId="171" fontId="44" fillId="0" borderId="0" applyNumberFormat="0" applyFill="0" applyBorder="0" applyAlignment="0" applyProtection="0">
      <protection locked="0"/>
    </xf>
    <xf numFmtId="171" fontId="45" fillId="0" borderId="0" applyNumberFormat="0" applyFill="0" applyBorder="0" applyAlignment="0" applyProtection="0">
      <protection locked="0"/>
    </xf>
    <xf numFmtId="0" fontId="46" fillId="0" borderId="0" applyNumberFormat="0" applyFill="0" applyBorder="0" applyAlignment="0" applyProtection="0"/>
    <xf numFmtId="172" fontId="47" fillId="0" borderId="0"/>
    <xf numFmtId="0" fontId="2" fillId="0" borderId="0"/>
    <xf numFmtId="0" fontId="2" fillId="0" borderId="0"/>
    <xf numFmtId="0" fontId="2" fillId="0" borderId="0"/>
    <xf numFmtId="0" fontId="2" fillId="0" borderId="0"/>
    <xf numFmtId="0" fontId="2" fillId="0" borderId="0"/>
    <xf numFmtId="0" fontId="3" fillId="0" borderId="0"/>
    <xf numFmtId="0" fontId="32" fillId="0" borderId="0"/>
    <xf numFmtId="0" fontId="32" fillId="0" borderId="0"/>
    <xf numFmtId="0" fontId="32" fillId="0" borderId="0"/>
    <xf numFmtId="0" fontId="1" fillId="0" borderId="0"/>
    <xf numFmtId="0" fontId="1" fillId="0" borderId="0"/>
    <xf numFmtId="9" fontId="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6" fillId="0" borderId="0"/>
    <xf numFmtId="173" fontId="48" fillId="0" borderId="9" applyBorder="0" applyAlignment="0">
      <alignment horizontal="center"/>
    </xf>
  </cellStyleXfs>
  <cellXfs count="225">
    <xf numFmtId="0" fontId="0" fillId="0" borderId="0" xfId="0"/>
    <xf numFmtId="0" fontId="2" fillId="0" borderId="0" xfId="0" applyFont="1"/>
    <xf numFmtId="165" fontId="2" fillId="0" borderId="0" xfId="0" applyNumberFormat="1" applyFont="1"/>
    <xf numFmtId="0" fontId="2" fillId="0" borderId="0" xfId="0" applyFont="1" applyAlignment="1">
      <alignment horizontal="left" indent="1"/>
    </xf>
    <xf numFmtId="0" fontId="2" fillId="0" borderId="5" xfId="0" applyFont="1" applyBorder="1"/>
    <xf numFmtId="165" fontId="2" fillId="0" borderId="0" xfId="1" applyNumberFormat="1" applyFont="1" applyBorder="1"/>
    <xf numFmtId="10" fontId="2" fillId="0" borderId="0" xfId="2" applyNumberFormat="1" applyFont="1" applyBorder="1"/>
    <xf numFmtId="0" fontId="5" fillId="0" borderId="0" xfId="0" applyFont="1"/>
    <xf numFmtId="165" fontId="2" fillId="6" borderId="0" xfId="0" applyNumberFormat="1" applyFont="1" applyFill="1"/>
    <xf numFmtId="0" fontId="5" fillId="5" borderId="0" xfId="0" applyFont="1" applyFill="1"/>
    <xf numFmtId="0" fontId="5" fillId="3" borderId="0" xfId="0" applyFont="1" applyFill="1"/>
    <xf numFmtId="0" fontId="5" fillId="7" borderId="0" xfId="0" applyFont="1" applyFill="1"/>
    <xf numFmtId="0" fontId="0" fillId="5" borderId="0" xfId="0" applyFill="1"/>
    <xf numFmtId="0" fontId="4" fillId="5" borderId="0" xfId="0" applyFont="1" applyFill="1" applyAlignment="1">
      <alignment horizontal="left"/>
    </xf>
    <xf numFmtId="0" fontId="2" fillId="5" borderId="0" xfId="0" applyFont="1" applyFill="1"/>
    <xf numFmtId="0" fontId="0" fillId="5" borderId="0" xfId="0" applyFill="1" applyAlignment="1">
      <alignment horizontal="left"/>
    </xf>
    <xf numFmtId="0" fontId="2" fillId="5" borderId="0" xfId="0" applyFont="1" applyFill="1" applyAlignment="1">
      <alignment horizontal="left"/>
    </xf>
    <xf numFmtId="0" fontId="0" fillId="0" borderId="5" xfId="0" applyBorder="1"/>
    <xf numFmtId="0" fontId="0" fillId="0" borderId="0" xfId="0" applyAlignment="1">
      <alignment horizontal="center"/>
    </xf>
    <xf numFmtId="0" fontId="11" fillId="0" borderId="0" xfId="0" applyFont="1"/>
    <xf numFmtId="0" fontId="12" fillId="0" borderId="0" xfId="0" applyFont="1"/>
    <xf numFmtId="0" fontId="3" fillId="0" borderId="0" xfId="0" applyFont="1"/>
    <xf numFmtId="0" fontId="13" fillId="0" borderId="0" xfId="0" applyFont="1"/>
    <xf numFmtId="165" fontId="2" fillId="0" borderId="0" xfId="1" quotePrefix="1" applyNumberFormat="1" applyFont="1" applyAlignment="1">
      <alignment horizontal="right"/>
    </xf>
    <xf numFmtId="0" fontId="14" fillId="8" borderId="0" xfId="0" applyFont="1" applyFill="1"/>
    <xf numFmtId="0" fontId="0" fillId="0" borderId="0" xfId="0" applyAlignment="1">
      <alignment horizontal="right"/>
    </xf>
    <xf numFmtId="0" fontId="0" fillId="9" borderId="0" xfId="0" applyFill="1"/>
    <xf numFmtId="0" fontId="15" fillId="0" borderId="0" xfId="0" applyFont="1" applyAlignment="1">
      <alignment horizontal="center"/>
    </xf>
    <xf numFmtId="167" fontId="0" fillId="0" borderId="0" xfId="1" applyNumberFormat="1" applyFont="1"/>
    <xf numFmtId="167" fontId="0" fillId="0" borderId="0" xfId="0" applyNumberFormat="1"/>
    <xf numFmtId="167" fontId="0" fillId="7" borderId="0" xfId="0" applyNumberFormat="1" applyFill="1"/>
    <xf numFmtId="9" fontId="0" fillId="0" borderId="0" xfId="2" applyFont="1"/>
    <xf numFmtId="165" fontId="0" fillId="0" borderId="0" xfId="1" applyNumberFormat="1" applyFont="1"/>
    <xf numFmtId="167" fontId="16" fillId="0" borderId="0" xfId="1" applyNumberFormat="1" applyFont="1"/>
    <xf numFmtId="0" fontId="17" fillId="0" borderId="0" xfId="0" applyFont="1"/>
    <xf numFmtId="165" fontId="15" fillId="0" borderId="0" xfId="0" applyNumberFormat="1" applyFont="1"/>
    <xf numFmtId="165" fontId="19" fillId="6" borderId="0" xfId="0" applyNumberFormat="1" applyFont="1" applyFill="1"/>
    <xf numFmtId="3" fontId="15" fillId="0" borderId="0" xfId="1" applyNumberFormat="1" applyFont="1"/>
    <xf numFmtId="0" fontId="16" fillId="0" borderId="0" xfId="0" applyFont="1"/>
    <xf numFmtId="43" fontId="0" fillId="0" borderId="0" xfId="1" applyNumberFormat="1" applyFont="1"/>
    <xf numFmtId="0" fontId="18" fillId="0" borderId="0" xfId="0" applyFont="1" applyAlignment="1">
      <alignment horizontal="right"/>
    </xf>
    <xf numFmtId="165" fontId="0" fillId="0" borderId="0" xfId="0" applyNumberFormat="1"/>
    <xf numFmtId="0" fontId="2" fillId="2" borderId="0" xfId="0" applyFont="1" applyFill="1"/>
    <xf numFmtId="166" fontId="2" fillId="3" borderId="0" xfId="6" applyNumberFormat="1" applyFont="1" applyFill="1" applyBorder="1"/>
    <xf numFmtId="165" fontId="2" fillId="12" borderId="0" xfId="0" applyNumberFormat="1" applyFont="1" applyFill="1"/>
    <xf numFmtId="165" fontId="25" fillId="13" borderId="0" xfId="0" applyNumberFormat="1" applyFont="1" applyFill="1"/>
    <xf numFmtId="0" fontId="0" fillId="8" borderId="0" xfId="0" applyFill="1"/>
    <xf numFmtId="0" fontId="4" fillId="3" borderId="14" xfId="0" applyFont="1" applyFill="1" applyBorder="1"/>
    <xf numFmtId="0" fontId="17" fillId="0" borderId="0" xfId="0" applyFont="1" applyAlignment="1">
      <alignment horizontal="right"/>
    </xf>
    <xf numFmtId="0" fontId="0" fillId="0" borderId="11" xfId="0" applyBorder="1"/>
    <xf numFmtId="0" fontId="2" fillId="0" borderId="2" xfId="0" applyFont="1" applyBorder="1"/>
    <xf numFmtId="0" fontId="28" fillId="5" borderId="0" xfId="0" applyFont="1" applyFill="1"/>
    <xf numFmtId="0" fontId="5" fillId="5" borderId="0" xfId="0" applyFont="1" applyFill="1" applyAlignment="1">
      <alignment horizontal="left"/>
    </xf>
    <xf numFmtId="165" fontId="29" fillId="6" borderId="0" xfId="0" applyNumberFormat="1" applyFont="1" applyFill="1"/>
    <xf numFmtId="167" fontId="0" fillId="3" borderId="0" xfId="0" applyNumberFormat="1" applyFill="1"/>
    <xf numFmtId="168" fontId="0" fillId="3" borderId="0" xfId="0" applyNumberFormat="1" applyFill="1"/>
    <xf numFmtId="165" fontId="2" fillId="4" borderId="0" xfId="0" applyNumberFormat="1" applyFont="1" applyFill="1"/>
    <xf numFmtId="165" fontId="2" fillId="3" borderId="0" xfId="0" applyNumberFormat="1" applyFont="1" applyFill="1"/>
    <xf numFmtId="9" fontId="2" fillId="3" borderId="0" xfId="2" applyFont="1" applyFill="1"/>
    <xf numFmtId="165" fontId="17" fillId="0" borderId="0" xfId="0" applyNumberFormat="1" applyFont="1"/>
    <xf numFmtId="0" fontId="2" fillId="0" borderId="0" xfId="0" applyFont="1" applyAlignment="1">
      <alignment horizontal="center"/>
    </xf>
    <xf numFmtId="165" fontId="32" fillId="0" borderId="0" xfId="0" applyNumberFormat="1" applyFont="1"/>
    <xf numFmtId="166" fontId="2" fillId="7" borderId="0" xfId="6" applyNumberFormat="1" applyFont="1" applyFill="1"/>
    <xf numFmtId="166" fontId="2" fillId="0" borderId="0" xfId="6" applyNumberFormat="1" applyFont="1"/>
    <xf numFmtId="166" fontId="32" fillId="0" borderId="0" xfId="6" applyNumberFormat="1" applyFont="1"/>
    <xf numFmtId="165" fontId="2" fillId="0" borderId="0" xfId="0" applyNumberFormat="1" applyFont="1" applyAlignment="1">
      <alignment horizontal="right"/>
    </xf>
    <xf numFmtId="165" fontId="32" fillId="0" borderId="0" xfId="0" applyNumberFormat="1" applyFont="1" applyAlignment="1">
      <alignment horizontal="right"/>
    </xf>
    <xf numFmtId="165" fontId="16" fillId="0" borderId="0" xfId="0" applyNumberFormat="1" applyFont="1" applyAlignment="1">
      <alignment horizontal="right"/>
    </xf>
    <xf numFmtId="0" fontId="2" fillId="0" borderId="11" xfId="0" applyFont="1" applyBorder="1"/>
    <xf numFmtId="166" fontId="2" fillId="0" borderId="8" xfId="6" applyNumberFormat="1" applyFont="1" applyBorder="1"/>
    <xf numFmtId="0" fontId="16" fillId="0" borderId="0" xfId="0" applyFont="1" applyAlignment="1">
      <alignment horizontal="left"/>
    </xf>
    <xf numFmtId="166" fontId="2" fillId="0" borderId="6" xfId="6" applyNumberFormat="1" applyFont="1" applyBorder="1"/>
    <xf numFmtId="0" fontId="5" fillId="5" borderId="5" xfId="0" applyFont="1" applyFill="1" applyBorder="1"/>
    <xf numFmtId="165" fontId="2" fillId="6" borderId="5" xfId="0" applyNumberFormat="1" applyFont="1" applyFill="1" applyBorder="1"/>
    <xf numFmtId="166" fontId="2" fillId="0" borderId="7" xfId="6" applyNumberFormat="1" applyFont="1" applyBorder="1"/>
    <xf numFmtId="166" fontId="2" fillId="0" borderId="0" xfId="6" applyNumberFormat="1" applyFont="1" applyBorder="1"/>
    <xf numFmtId="166" fontId="2" fillId="0" borderId="0" xfId="6" applyNumberFormat="1" applyFont="1" applyFill="1"/>
    <xf numFmtId="166" fontId="2" fillId="0" borderId="6" xfId="6" applyNumberFormat="1" applyFont="1" applyFill="1" applyBorder="1"/>
    <xf numFmtId="166" fontId="2" fillId="0" borderId="7" xfId="6" applyNumberFormat="1" applyFont="1" applyFill="1" applyBorder="1"/>
    <xf numFmtId="166" fontId="2" fillId="0" borderId="8" xfId="6" applyNumberFormat="1" applyFont="1" applyFill="1" applyBorder="1"/>
    <xf numFmtId="166" fontId="2" fillId="0" borderId="0" xfId="6" applyNumberFormat="1" applyFont="1" applyFill="1" applyBorder="1"/>
    <xf numFmtId="0" fontId="12" fillId="5" borderId="0" xfId="0" applyFont="1" applyFill="1" applyAlignment="1">
      <alignment wrapText="1"/>
    </xf>
    <xf numFmtId="0" fontId="0" fillId="5" borderId="5" xfId="0" applyFill="1" applyBorder="1"/>
    <xf numFmtId="0" fontId="0" fillId="0" borderId="2" xfId="0" applyBorder="1"/>
    <xf numFmtId="0" fontId="18" fillId="0" borderId="0" xfId="0" applyFont="1" applyAlignment="1">
      <alignment horizontal="center"/>
    </xf>
    <xf numFmtId="0" fontId="0" fillId="0" borderId="4" xfId="0" applyBorder="1"/>
    <xf numFmtId="9" fontId="0" fillId="0" borderId="5" xfId="2" applyFon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4" xfId="0" applyNumberFormat="1" applyBorder="1"/>
    <xf numFmtId="165" fontId="0" fillId="0" borderId="5" xfId="0" applyNumberFormat="1" applyBorder="1"/>
    <xf numFmtId="166" fontId="0" fillId="0" borderId="0" xfId="6" applyNumberFormat="1" applyFont="1"/>
    <xf numFmtId="166" fontId="0" fillId="0" borderId="6" xfId="6" applyNumberFormat="1" applyFont="1" applyBorder="1"/>
    <xf numFmtId="166" fontId="0" fillId="0" borderId="7" xfId="6" applyNumberFormat="1" applyFont="1" applyBorder="1"/>
    <xf numFmtId="166" fontId="0" fillId="0" borderId="8" xfId="6" applyNumberFormat="1" applyFont="1" applyBorder="1"/>
    <xf numFmtId="166" fontId="0" fillId="0" borderId="0" xfId="6" applyNumberFormat="1" applyFont="1" applyBorder="1"/>
    <xf numFmtId="166" fontId="0" fillId="0" borderId="4" xfId="6" applyNumberFormat="1" applyFont="1" applyBorder="1"/>
    <xf numFmtId="166" fontId="0" fillId="0" borderId="5" xfId="6" applyNumberFormat="1" applyFont="1" applyBorder="1"/>
    <xf numFmtId="165" fontId="33" fillId="0" borderId="6" xfId="0" applyNumberFormat="1" applyFont="1" applyBorder="1"/>
    <xf numFmtId="165" fontId="33" fillId="0" borderId="7" xfId="0" applyNumberFormat="1" applyFont="1" applyBorder="1"/>
    <xf numFmtId="166" fontId="33" fillId="0" borderId="6" xfId="6" applyNumberFormat="1" applyFont="1" applyBorder="1"/>
    <xf numFmtId="166" fontId="33" fillId="0" borderId="7" xfId="6" applyNumberFormat="1" applyFont="1" applyBorder="1"/>
    <xf numFmtId="0" fontId="18" fillId="0" borderId="13" xfId="0" applyFont="1" applyBorder="1"/>
    <xf numFmtId="0" fontId="0" fillId="0" borderId="12" xfId="0" applyBorder="1"/>
    <xf numFmtId="166" fontId="2" fillId="12" borderId="0" xfId="6" applyNumberFormat="1" applyFont="1" applyFill="1"/>
    <xf numFmtId="166" fontId="2" fillId="3" borderId="0" xfId="6" applyNumberFormat="1" applyFont="1" applyFill="1"/>
    <xf numFmtId="166" fontId="2" fillId="12" borderId="5" xfId="6" applyNumberFormat="1" applyFont="1" applyFill="1" applyBorder="1"/>
    <xf numFmtId="166" fontId="2" fillId="3" borderId="5" xfId="6" applyNumberFormat="1" applyFont="1" applyFill="1" applyBorder="1"/>
    <xf numFmtId="166" fontId="2" fillId="14" borderId="0" xfId="6" applyNumberFormat="1" applyFont="1" applyFill="1"/>
    <xf numFmtId="166" fontId="25" fillId="13" borderId="0" xfId="6" applyNumberFormat="1" applyFont="1" applyFill="1"/>
    <xf numFmtId="169" fontId="2" fillId="0" borderId="0" xfId="2" applyNumberFormat="1" applyFont="1"/>
    <xf numFmtId="0" fontId="2" fillId="0" borderId="2" xfId="0" applyFont="1" applyBorder="1" applyAlignment="1">
      <alignment horizontal="right"/>
    </xf>
    <xf numFmtId="0" fontId="0" fillId="5" borderId="5" xfId="0" applyFill="1" applyBorder="1" applyAlignment="1">
      <alignment horizontal="left"/>
    </xf>
    <xf numFmtId="0" fontId="2" fillId="5" borderId="5" xfId="0" applyFont="1" applyFill="1" applyBorder="1" applyAlignment="1">
      <alignment horizontal="left"/>
    </xf>
    <xf numFmtId="166" fontId="2" fillId="7" borderId="5" xfId="6" applyNumberFormat="1" applyFont="1" applyFill="1" applyBorder="1"/>
    <xf numFmtId="0" fontId="18" fillId="0" borderId="1" xfId="0" applyFont="1" applyBorder="1"/>
    <xf numFmtId="165" fontId="0" fillId="0" borderId="2" xfId="0" applyNumberFormat="1" applyBorder="1"/>
    <xf numFmtId="166" fontId="0" fillId="0" borderId="2" xfId="0" applyNumberFormat="1" applyBorder="1"/>
    <xf numFmtId="2" fontId="2" fillId="0" borderId="0" xfId="0" applyNumberFormat="1" applyFont="1"/>
    <xf numFmtId="0" fontId="34" fillId="15" borderId="1" xfId="0" applyFont="1" applyFill="1" applyBorder="1"/>
    <xf numFmtId="49" fontId="20" fillId="0" borderId="0" xfId="0" quotePrefix="1" applyNumberFormat="1" applyFont="1"/>
    <xf numFmtId="166" fontId="2" fillId="7" borderId="0" xfId="6" applyNumberFormat="1" applyFont="1" applyFill="1" applyBorder="1"/>
    <xf numFmtId="166" fontId="15" fillId="0" borderId="0" xfId="6" applyNumberFormat="1" applyFont="1"/>
    <xf numFmtId="0" fontId="6" fillId="11" borderId="0" xfId="7" applyFill="1"/>
    <xf numFmtId="0" fontId="6" fillId="0" borderId="0" xfId="7"/>
    <xf numFmtId="0" fontId="23" fillId="11" borderId="0" xfId="7" applyFont="1" applyFill="1"/>
    <xf numFmtId="17" fontId="35" fillId="11" borderId="0" xfId="7" quotePrefix="1" applyNumberFormat="1" applyFont="1" applyFill="1" applyAlignment="1">
      <alignment horizontal="left"/>
    </xf>
    <xf numFmtId="0" fontId="36" fillId="0" borderId="0" xfId="7" applyFont="1"/>
    <xf numFmtId="0" fontId="36" fillId="11" borderId="0" xfId="7" applyFont="1" applyFill="1"/>
    <xf numFmtId="0" fontId="27" fillId="11" borderId="0" xfId="7" applyFont="1" applyFill="1"/>
    <xf numFmtId="0" fontId="27" fillId="0" borderId="0" xfId="7" applyFont="1"/>
    <xf numFmtId="0" fontId="37" fillId="11" borderId="0" xfId="7" applyFont="1" applyFill="1"/>
    <xf numFmtId="0" fontId="39" fillId="11" borderId="0" xfId="7" applyFont="1" applyFill="1"/>
    <xf numFmtId="0" fontId="6" fillId="11" borderId="0" xfId="7" applyFill="1" applyProtection="1">
      <protection locked="0"/>
    </xf>
    <xf numFmtId="0" fontId="3" fillId="0" borderId="0" xfId="3" applyFont="1"/>
    <xf numFmtId="0" fontId="26" fillId="11" borderId="0" xfId="7" applyFont="1" applyFill="1" applyProtection="1">
      <protection locked="0"/>
    </xf>
    <xf numFmtId="0" fontId="27" fillId="11" borderId="0" xfId="7" applyFont="1" applyFill="1" applyProtection="1">
      <protection locked="0"/>
    </xf>
    <xf numFmtId="0" fontId="27" fillId="11" borderId="0" xfId="7" applyFont="1" applyFill="1" applyAlignment="1" applyProtection="1">
      <alignment wrapText="1"/>
      <protection locked="0"/>
    </xf>
    <xf numFmtId="0" fontId="6" fillId="0" borderId="0" xfId="7" applyAlignment="1">
      <alignment horizontal="right"/>
    </xf>
    <xf numFmtId="9" fontId="6" fillId="0" borderId="0" xfId="7" applyNumberFormat="1"/>
    <xf numFmtId="9" fontId="0" fillId="0" borderId="0" xfId="11" applyFont="1" applyBorder="1"/>
    <xf numFmtId="9" fontId="27" fillId="0" borderId="0" xfId="11" applyFont="1" applyBorder="1"/>
    <xf numFmtId="0" fontId="40" fillId="11" borderId="0" xfId="7" applyFont="1" applyFill="1" applyProtection="1">
      <protection locked="0"/>
    </xf>
    <xf numFmtId="166" fontId="19" fillId="7" borderId="0" xfId="6" applyNumberFormat="1" applyFont="1" applyFill="1"/>
    <xf numFmtId="166" fontId="5" fillId="10" borderId="0" xfId="9" applyNumberFormat="1" applyFont="1" applyFill="1" applyBorder="1"/>
    <xf numFmtId="170" fontId="5" fillId="0" borderId="0" xfId="9" applyNumberFormat="1" applyFont="1" applyFill="1" applyBorder="1"/>
    <xf numFmtId="0" fontId="2" fillId="0" borderId="12" xfId="0" applyFont="1" applyBorder="1" applyAlignment="1">
      <alignment horizontal="right"/>
    </xf>
    <xf numFmtId="166" fontId="2" fillId="10" borderId="11" xfId="9" applyNumberFormat="1" applyFont="1" applyFill="1" applyBorder="1"/>
    <xf numFmtId="170" fontId="2" fillId="10" borderId="2" xfId="9" applyNumberFormat="1" applyFont="1" applyFill="1" applyBorder="1"/>
    <xf numFmtId="170" fontId="2" fillId="0" borderId="2" xfId="9" applyNumberFormat="1" applyFont="1" applyBorder="1"/>
    <xf numFmtId="0" fontId="18" fillId="0" borderId="10" xfId="0" applyFont="1" applyBorder="1" applyAlignment="1">
      <alignment horizontal="right"/>
    </xf>
    <xf numFmtId="0" fontId="2" fillId="0" borderId="13" xfId="0" applyFont="1" applyBorder="1" applyAlignment="1">
      <alignment horizontal="center"/>
    </xf>
    <xf numFmtId="0" fontId="5" fillId="0" borderId="3" xfId="0" applyFont="1" applyBorder="1" applyAlignment="1">
      <alignment horizontal="center"/>
    </xf>
    <xf numFmtId="0" fontId="2" fillId="0" borderId="3" xfId="0" applyFont="1" applyBorder="1" applyAlignment="1">
      <alignment horizontal="center"/>
    </xf>
    <xf numFmtId="0" fontId="2" fillId="0" borderId="12" xfId="0" applyFont="1" applyBorder="1" applyAlignment="1">
      <alignment horizontal="center"/>
    </xf>
    <xf numFmtId="17" fontId="3" fillId="0" borderId="0" xfId="0" applyNumberFormat="1" applyFont="1"/>
    <xf numFmtId="0" fontId="49" fillId="0" borderId="0" xfId="0" applyFont="1"/>
    <xf numFmtId="17" fontId="0" fillId="0" borderId="0" xfId="0" applyNumberFormat="1"/>
    <xf numFmtId="0" fontId="18" fillId="0" borderId="0" xfId="0" applyFont="1" applyAlignment="1">
      <alignment horizontal="left"/>
    </xf>
    <xf numFmtId="0" fontId="51" fillId="0" borderId="0" xfId="0" applyFont="1"/>
    <xf numFmtId="0" fontId="33" fillId="0" borderId="0" xfId="0" applyFont="1"/>
    <xf numFmtId="0" fontId="18" fillId="0" borderId="0" xfId="0" applyFont="1"/>
    <xf numFmtId="0" fontId="52" fillId="0" borderId="0" xfId="0" applyFont="1"/>
    <xf numFmtId="174" fontId="17" fillId="0" borderId="0" xfId="0" applyNumberFormat="1" applyFont="1"/>
    <xf numFmtId="0" fontId="3" fillId="0" borderId="5" xfId="1" applyNumberFormat="1" applyFont="1" applyBorder="1"/>
    <xf numFmtId="9" fontId="2" fillId="0" borderId="0" xfId="2" applyFont="1" applyBorder="1"/>
    <xf numFmtId="9" fontId="2" fillId="16" borderId="0" xfId="2" applyFont="1" applyFill="1" applyBorder="1"/>
    <xf numFmtId="0" fontId="2" fillId="0" borderId="0" xfId="0" applyFont="1" applyAlignment="1">
      <alignment horizontal="right"/>
    </xf>
    <xf numFmtId="167" fontId="2" fillId="0" borderId="0" xfId="1" applyNumberFormat="1" applyFont="1"/>
    <xf numFmtId="165" fontId="2" fillId="0" borderId="0" xfId="1" applyNumberFormat="1" applyFont="1" applyBorder="1" applyAlignment="1">
      <alignment horizontal="right"/>
    </xf>
    <xf numFmtId="9" fontId="17" fillId="0" borderId="0" xfId="2" applyFont="1" applyBorder="1"/>
    <xf numFmtId="10" fontId="17" fillId="0" borderId="0" xfId="2" applyNumberFormat="1" applyFont="1" applyBorder="1"/>
    <xf numFmtId="0" fontId="0" fillId="11" borderId="0" xfId="0" applyFill="1" applyProtection="1">
      <protection locked="0"/>
    </xf>
    <xf numFmtId="9" fontId="2" fillId="0" borderId="0" xfId="2" applyFont="1" applyFill="1" applyBorder="1"/>
    <xf numFmtId="0" fontId="33" fillId="0" borderId="0" xfId="0" applyFont="1" applyAlignment="1">
      <alignment horizontal="right"/>
    </xf>
    <xf numFmtId="165" fontId="33" fillId="0" borderId="0" xfId="0" applyNumberFormat="1" applyFont="1" applyAlignment="1">
      <alignment horizontal="right"/>
    </xf>
    <xf numFmtId="167" fontId="32" fillId="0" borderId="0" xfId="1" applyNumberFormat="1" applyFont="1"/>
    <xf numFmtId="167" fontId="3" fillId="0" borderId="0" xfId="1" applyNumberFormat="1" applyFont="1"/>
    <xf numFmtId="166" fontId="3" fillId="0" borderId="0" xfId="6" applyNumberFormat="1" applyFont="1"/>
    <xf numFmtId="44" fontId="17" fillId="0" borderId="0" xfId="0" applyNumberFormat="1" applyFont="1" applyAlignment="1">
      <alignment horizontal="right"/>
    </xf>
    <xf numFmtId="166" fontId="0" fillId="0" borderId="0" xfId="0" applyNumberFormat="1"/>
    <xf numFmtId="0" fontId="53" fillId="0" borderId="1" xfId="0" applyFont="1" applyBorder="1"/>
    <xf numFmtId="0" fontId="53" fillId="0" borderId="1" xfId="0" applyFont="1" applyBorder="1" applyAlignment="1">
      <alignment horizontal="center"/>
    </xf>
    <xf numFmtId="0" fontId="32" fillId="0" borderId="1" xfId="11" applyNumberFormat="1" applyFont="1" applyFill="1" applyBorder="1" applyAlignment="1" applyProtection="1">
      <alignment horizontal="center" vertical="center"/>
      <protection locked="0"/>
    </xf>
    <xf numFmtId="0" fontId="53" fillId="0" borderId="1" xfId="11" applyNumberFormat="1" applyFont="1" applyFill="1" applyBorder="1" applyAlignment="1" applyProtection="1">
      <alignment horizontal="center" vertical="center" wrapText="1"/>
      <protection locked="0"/>
    </xf>
    <xf numFmtId="0" fontId="53" fillId="0" borderId="1" xfId="0" applyFont="1" applyBorder="1" applyAlignment="1">
      <alignment horizontal="right"/>
    </xf>
    <xf numFmtId="9" fontId="53" fillId="10" borderId="1" xfId="0" applyNumberFormat="1" applyFont="1" applyFill="1" applyBorder="1" applyAlignment="1">
      <alignment horizontal="center"/>
    </xf>
    <xf numFmtId="9" fontId="53" fillId="10" borderId="1" xfId="11" applyFont="1" applyFill="1" applyBorder="1" applyAlignment="1">
      <alignment horizontal="center"/>
    </xf>
    <xf numFmtId="9" fontId="32" fillId="0" borderId="0" xfId="2" applyFont="1" applyBorder="1"/>
    <xf numFmtId="0" fontId="32" fillId="0" borderId="5" xfId="1" applyNumberFormat="1" applyFont="1" applyBorder="1"/>
    <xf numFmtId="0" fontId="0" fillId="0" borderId="5" xfId="1" applyNumberFormat="1" applyFont="1" applyBorder="1"/>
    <xf numFmtId="10" fontId="0" fillId="0" borderId="0" xfId="2" applyNumberFormat="1" applyFont="1" applyBorder="1"/>
    <xf numFmtId="0" fontId="0" fillId="0" borderId="5" xfId="2" applyNumberFormat="1" applyFont="1" applyBorder="1"/>
    <xf numFmtId="9" fontId="0" fillId="0" borderId="0" xfId="2" applyFont="1" applyBorder="1"/>
    <xf numFmtId="0" fontId="33" fillId="11" borderId="0" xfId="0" applyFont="1" applyFill="1" applyProtection="1">
      <protection locked="0"/>
    </xf>
    <xf numFmtId="10" fontId="32" fillId="0" borderId="0" xfId="2" applyNumberFormat="1" applyFont="1" applyBorder="1" applyAlignment="1">
      <alignment horizontal="right"/>
    </xf>
    <xf numFmtId="10" fontId="2" fillId="0" borderId="0" xfId="2" applyNumberFormat="1" applyFont="1" applyBorder="1" applyAlignment="1">
      <alignment horizontal="right"/>
    </xf>
    <xf numFmtId="10" fontId="32" fillId="0" borderId="5" xfId="2" applyNumberFormat="1" applyFont="1" applyBorder="1"/>
    <xf numFmtId="10" fontId="2" fillId="0" borderId="5" xfId="2" applyNumberFormat="1" applyFont="1" applyBorder="1"/>
    <xf numFmtId="0" fontId="2" fillId="0" borderId="5" xfId="1" applyNumberFormat="1" applyFont="1" applyBorder="1"/>
    <xf numFmtId="167" fontId="17" fillId="0" borderId="0" xfId="1" applyNumberFormat="1" applyFont="1" applyAlignment="1">
      <alignment horizontal="right"/>
    </xf>
    <xf numFmtId="170" fontId="17" fillId="0" borderId="0" xfId="0" applyNumberFormat="1" applyFont="1" applyAlignment="1">
      <alignment horizontal="right"/>
    </xf>
    <xf numFmtId="170" fontId="2" fillId="7" borderId="0" xfId="6" applyNumberFormat="1" applyFont="1" applyFill="1"/>
    <xf numFmtId="174" fontId="0" fillId="0" borderId="0" xfId="1" applyNumberFormat="1" applyFont="1"/>
    <xf numFmtId="167" fontId="0" fillId="0" borderId="0" xfId="1" applyNumberFormat="1" applyFont="1" applyAlignment="1">
      <alignment horizontal="right"/>
    </xf>
    <xf numFmtId="0" fontId="0" fillId="0" borderId="0" xfId="1" applyNumberFormat="1" applyFont="1" applyBorder="1"/>
    <xf numFmtId="167" fontId="0" fillId="0" borderId="0" xfId="1" applyNumberFormat="1" applyFont="1" applyBorder="1"/>
    <xf numFmtId="0" fontId="36" fillId="2" borderId="16" xfId="7" applyFont="1" applyFill="1" applyBorder="1" applyProtection="1">
      <protection locked="0"/>
    </xf>
    <xf numFmtId="0" fontId="6" fillId="2" borderId="17" xfId="7" applyFill="1" applyBorder="1" applyProtection="1">
      <protection locked="0"/>
    </xf>
    <xf numFmtId="0" fontId="6" fillId="2" borderId="18" xfId="7" applyFill="1" applyBorder="1" applyProtection="1">
      <protection locked="0"/>
    </xf>
    <xf numFmtId="0" fontId="36" fillId="2" borderId="19" xfId="7" applyFont="1" applyFill="1" applyBorder="1" applyProtection="1">
      <protection locked="0"/>
    </xf>
    <xf numFmtId="0" fontId="6" fillId="2" borderId="0" xfId="7" applyFill="1" applyProtection="1">
      <protection locked="0"/>
    </xf>
    <xf numFmtId="0" fontId="6" fillId="2" borderId="20" xfId="7" applyFill="1" applyBorder="1" applyProtection="1">
      <protection locked="0"/>
    </xf>
    <xf numFmtId="0" fontId="36" fillId="2" borderId="21" xfId="7" applyFont="1" applyFill="1" applyBorder="1" applyProtection="1">
      <protection locked="0"/>
    </xf>
    <xf numFmtId="0" fontId="6" fillId="2" borderId="15" xfId="7" applyFill="1" applyBorder="1" applyProtection="1">
      <protection locked="0"/>
    </xf>
    <xf numFmtId="0" fontId="6" fillId="2" borderId="22" xfId="7" applyFill="1" applyBorder="1" applyProtection="1">
      <protection locked="0"/>
    </xf>
    <xf numFmtId="17" fontId="0" fillId="0" borderId="0" xfId="3" quotePrefix="1" applyNumberFormat="1" applyFont="1"/>
    <xf numFmtId="165" fontId="54" fillId="6" borderId="0" xfId="0" applyNumberFormat="1" applyFont="1" applyFill="1"/>
    <xf numFmtId="0" fontId="26" fillId="11" borderId="0" xfId="7" applyFont="1" applyFill="1" applyAlignment="1">
      <alignment horizontal="left" vertical="center" wrapText="1"/>
    </xf>
    <xf numFmtId="0" fontId="26" fillId="11" borderId="0" xfId="7" applyFont="1" applyFill="1" applyAlignment="1" applyProtection="1">
      <alignment wrapText="1"/>
      <protection locked="0"/>
    </xf>
    <xf numFmtId="0" fontId="0" fillId="3" borderId="0" xfId="0" applyFill="1" applyAlignment="1">
      <alignment horizontal="center"/>
    </xf>
    <xf numFmtId="0" fontId="0" fillId="7" borderId="0" xfId="0" applyFill="1" applyAlignment="1">
      <alignment horizontal="center"/>
    </xf>
    <xf numFmtId="0" fontId="12" fillId="3" borderId="0" xfId="0" applyFont="1" applyFill="1" applyAlignment="1">
      <alignment horizontal="center"/>
    </xf>
    <xf numFmtId="0" fontId="12" fillId="5" borderId="0" xfId="0" applyFont="1" applyFill="1" applyAlignment="1">
      <alignment horizontal="center"/>
    </xf>
  </cellXfs>
  <cellStyles count="313">
    <cellStyle name="%" xfId="14" xr:uid="{00000000-0005-0000-0000-000000000000}"/>
    <cellStyle name="Comma" xfId="1" builtinId="3"/>
    <cellStyle name="Comma 10" xfId="15" xr:uid="{00000000-0005-0000-0000-000002000000}"/>
    <cellStyle name="Comma 2" xfId="8" xr:uid="{00000000-0005-0000-0000-000003000000}"/>
    <cellStyle name="Comma 2 2" xfId="16" xr:uid="{00000000-0005-0000-0000-000004000000}"/>
    <cellStyle name="Comma 2 2 2" xfId="17" xr:uid="{00000000-0005-0000-0000-000005000000}"/>
    <cellStyle name="Comma 3" xfId="13" xr:uid="{00000000-0005-0000-0000-000006000000}"/>
    <cellStyle name="Comma 3 2" xfId="18" xr:uid="{00000000-0005-0000-0000-000007000000}"/>
    <cellStyle name="Comma 3 2 2" xfId="19" xr:uid="{00000000-0005-0000-0000-000008000000}"/>
    <cellStyle name="Comma 3 2 3" xfId="20" xr:uid="{00000000-0005-0000-0000-000009000000}"/>
    <cellStyle name="Comma 4" xfId="21" xr:uid="{00000000-0005-0000-0000-00000A000000}"/>
    <cellStyle name="Comma 5" xfId="22" xr:uid="{00000000-0005-0000-0000-00000B000000}"/>
    <cellStyle name="Comma 5 2" xfId="23" xr:uid="{00000000-0005-0000-0000-00000C000000}"/>
    <cellStyle name="Comma 5 2 2" xfId="24" xr:uid="{00000000-0005-0000-0000-00000D000000}"/>
    <cellStyle name="Comma 5 3" xfId="25" xr:uid="{00000000-0005-0000-0000-00000E000000}"/>
    <cellStyle name="Comma 6" xfId="26" xr:uid="{00000000-0005-0000-0000-00000F000000}"/>
    <cellStyle name="Comma 7" xfId="27" xr:uid="{00000000-0005-0000-0000-000010000000}"/>
    <cellStyle name="Comma 8" xfId="28" xr:uid="{00000000-0005-0000-0000-000011000000}"/>
    <cellStyle name="Comma 9" xfId="29" xr:uid="{00000000-0005-0000-0000-000012000000}"/>
    <cellStyle name="Currency" xfId="6" builtinId="4"/>
    <cellStyle name="Currency 2" xfId="9" xr:uid="{00000000-0005-0000-0000-000014000000}"/>
    <cellStyle name="Currency 2 10" xfId="30" xr:uid="{00000000-0005-0000-0000-000015000000}"/>
    <cellStyle name="Currency 2 100" xfId="31" xr:uid="{00000000-0005-0000-0000-000016000000}"/>
    <cellStyle name="Currency 2 101" xfId="32" xr:uid="{00000000-0005-0000-0000-000017000000}"/>
    <cellStyle name="Currency 2 102" xfId="33" xr:uid="{00000000-0005-0000-0000-000018000000}"/>
    <cellStyle name="Currency 2 103" xfId="34" xr:uid="{00000000-0005-0000-0000-000019000000}"/>
    <cellStyle name="Currency 2 104" xfId="35" xr:uid="{00000000-0005-0000-0000-00001A000000}"/>
    <cellStyle name="Currency 2 105" xfId="36" xr:uid="{00000000-0005-0000-0000-00001B000000}"/>
    <cellStyle name="Currency 2 106" xfId="37" xr:uid="{00000000-0005-0000-0000-00001C000000}"/>
    <cellStyle name="Currency 2 107" xfId="38" xr:uid="{00000000-0005-0000-0000-00001D000000}"/>
    <cellStyle name="Currency 2 108" xfId="39" xr:uid="{00000000-0005-0000-0000-00001E000000}"/>
    <cellStyle name="Currency 2 109" xfId="40" xr:uid="{00000000-0005-0000-0000-00001F000000}"/>
    <cellStyle name="Currency 2 11" xfId="41" xr:uid="{00000000-0005-0000-0000-000020000000}"/>
    <cellStyle name="Currency 2 110" xfId="42" xr:uid="{00000000-0005-0000-0000-000021000000}"/>
    <cellStyle name="Currency 2 111" xfId="43" xr:uid="{00000000-0005-0000-0000-000022000000}"/>
    <cellStyle name="Currency 2 112" xfId="44" xr:uid="{00000000-0005-0000-0000-000023000000}"/>
    <cellStyle name="Currency 2 113" xfId="45" xr:uid="{00000000-0005-0000-0000-000024000000}"/>
    <cellStyle name="Currency 2 114" xfId="46" xr:uid="{00000000-0005-0000-0000-000025000000}"/>
    <cellStyle name="Currency 2 115" xfId="47" xr:uid="{00000000-0005-0000-0000-000026000000}"/>
    <cellStyle name="Currency 2 116" xfId="48" xr:uid="{00000000-0005-0000-0000-000027000000}"/>
    <cellStyle name="Currency 2 117" xfId="49" xr:uid="{00000000-0005-0000-0000-000028000000}"/>
    <cellStyle name="Currency 2 118" xfId="50" xr:uid="{00000000-0005-0000-0000-000029000000}"/>
    <cellStyle name="Currency 2 119" xfId="51" xr:uid="{00000000-0005-0000-0000-00002A000000}"/>
    <cellStyle name="Currency 2 12" xfId="52" xr:uid="{00000000-0005-0000-0000-00002B000000}"/>
    <cellStyle name="Currency 2 120" xfId="53" xr:uid="{00000000-0005-0000-0000-00002C000000}"/>
    <cellStyle name="Currency 2 121" xfId="54" xr:uid="{00000000-0005-0000-0000-00002D000000}"/>
    <cellStyle name="Currency 2 122" xfId="55" xr:uid="{00000000-0005-0000-0000-00002E000000}"/>
    <cellStyle name="Currency 2 123" xfId="56" xr:uid="{00000000-0005-0000-0000-00002F000000}"/>
    <cellStyle name="Currency 2 124" xfId="57" xr:uid="{00000000-0005-0000-0000-000030000000}"/>
    <cellStyle name="Currency 2 125" xfId="58" xr:uid="{00000000-0005-0000-0000-000031000000}"/>
    <cellStyle name="Currency 2 126" xfId="59" xr:uid="{00000000-0005-0000-0000-000032000000}"/>
    <cellStyle name="Currency 2 127" xfId="60" xr:uid="{00000000-0005-0000-0000-000033000000}"/>
    <cellStyle name="Currency 2 128" xfId="61" xr:uid="{00000000-0005-0000-0000-000034000000}"/>
    <cellStyle name="Currency 2 129" xfId="62" xr:uid="{00000000-0005-0000-0000-000035000000}"/>
    <cellStyle name="Currency 2 13" xfId="63" xr:uid="{00000000-0005-0000-0000-000036000000}"/>
    <cellStyle name="Currency 2 130" xfId="64" xr:uid="{00000000-0005-0000-0000-000037000000}"/>
    <cellStyle name="Currency 2 131" xfId="65" xr:uid="{00000000-0005-0000-0000-000038000000}"/>
    <cellStyle name="Currency 2 132" xfId="66" xr:uid="{00000000-0005-0000-0000-000039000000}"/>
    <cellStyle name="Currency 2 133" xfId="67" xr:uid="{00000000-0005-0000-0000-00003A000000}"/>
    <cellStyle name="Currency 2 134" xfId="68" xr:uid="{00000000-0005-0000-0000-00003B000000}"/>
    <cellStyle name="Currency 2 135" xfId="69" xr:uid="{00000000-0005-0000-0000-00003C000000}"/>
    <cellStyle name="Currency 2 136" xfId="70" xr:uid="{00000000-0005-0000-0000-00003D000000}"/>
    <cellStyle name="Currency 2 137" xfId="71" xr:uid="{00000000-0005-0000-0000-00003E000000}"/>
    <cellStyle name="Currency 2 138" xfId="72" xr:uid="{00000000-0005-0000-0000-00003F000000}"/>
    <cellStyle name="Currency 2 139" xfId="73" xr:uid="{00000000-0005-0000-0000-000040000000}"/>
    <cellStyle name="Currency 2 14" xfId="74" xr:uid="{00000000-0005-0000-0000-000041000000}"/>
    <cellStyle name="Currency 2 140" xfId="75" xr:uid="{00000000-0005-0000-0000-000042000000}"/>
    <cellStyle name="Currency 2 141" xfId="76" xr:uid="{00000000-0005-0000-0000-000043000000}"/>
    <cellStyle name="Currency 2 142" xfId="77" xr:uid="{00000000-0005-0000-0000-000044000000}"/>
    <cellStyle name="Currency 2 143" xfId="78" xr:uid="{00000000-0005-0000-0000-000045000000}"/>
    <cellStyle name="Currency 2 144" xfId="79" xr:uid="{00000000-0005-0000-0000-000046000000}"/>
    <cellStyle name="Currency 2 145" xfId="80" xr:uid="{00000000-0005-0000-0000-000047000000}"/>
    <cellStyle name="Currency 2 146" xfId="81" xr:uid="{00000000-0005-0000-0000-000048000000}"/>
    <cellStyle name="Currency 2 147" xfId="82" xr:uid="{00000000-0005-0000-0000-000049000000}"/>
    <cellStyle name="Currency 2 148" xfId="83" xr:uid="{00000000-0005-0000-0000-00004A000000}"/>
    <cellStyle name="Currency 2 149" xfId="84" xr:uid="{00000000-0005-0000-0000-00004B000000}"/>
    <cellStyle name="Currency 2 15" xfId="85" xr:uid="{00000000-0005-0000-0000-00004C000000}"/>
    <cellStyle name="Currency 2 150" xfId="86" xr:uid="{00000000-0005-0000-0000-00004D000000}"/>
    <cellStyle name="Currency 2 151" xfId="87" xr:uid="{00000000-0005-0000-0000-00004E000000}"/>
    <cellStyle name="Currency 2 152" xfId="88" xr:uid="{00000000-0005-0000-0000-00004F000000}"/>
    <cellStyle name="Currency 2 153" xfId="89" xr:uid="{00000000-0005-0000-0000-000050000000}"/>
    <cellStyle name="Currency 2 154" xfId="90" xr:uid="{00000000-0005-0000-0000-000051000000}"/>
    <cellStyle name="Currency 2 155" xfId="91" xr:uid="{00000000-0005-0000-0000-000052000000}"/>
    <cellStyle name="Currency 2 156" xfId="92" xr:uid="{00000000-0005-0000-0000-000053000000}"/>
    <cellStyle name="Currency 2 157" xfId="93" xr:uid="{00000000-0005-0000-0000-000054000000}"/>
    <cellStyle name="Currency 2 158" xfId="94" xr:uid="{00000000-0005-0000-0000-000055000000}"/>
    <cellStyle name="Currency 2 159" xfId="95" xr:uid="{00000000-0005-0000-0000-000056000000}"/>
    <cellStyle name="Currency 2 16" xfId="96" xr:uid="{00000000-0005-0000-0000-000057000000}"/>
    <cellStyle name="Currency 2 160" xfId="97" xr:uid="{00000000-0005-0000-0000-000058000000}"/>
    <cellStyle name="Currency 2 161" xfId="98" xr:uid="{00000000-0005-0000-0000-000059000000}"/>
    <cellStyle name="Currency 2 162" xfId="99" xr:uid="{00000000-0005-0000-0000-00005A000000}"/>
    <cellStyle name="Currency 2 163" xfId="100" xr:uid="{00000000-0005-0000-0000-00005B000000}"/>
    <cellStyle name="Currency 2 164" xfId="101" xr:uid="{00000000-0005-0000-0000-00005C000000}"/>
    <cellStyle name="Currency 2 165" xfId="102" xr:uid="{00000000-0005-0000-0000-00005D000000}"/>
    <cellStyle name="Currency 2 166" xfId="103" xr:uid="{00000000-0005-0000-0000-00005E000000}"/>
    <cellStyle name="Currency 2 167" xfId="104" xr:uid="{00000000-0005-0000-0000-00005F000000}"/>
    <cellStyle name="Currency 2 168" xfId="105" xr:uid="{00000000-0005-0000-0000-000060000000}"/>
    <cellStyle name="Currency 2 169" xfId="106" xr:uid="{00000000-0005-0000-0000-000061000000}"/>
    <cellStyle name="Currency 2 17" xfId="107" xr:uid="{00000000-0005-0000-0000-000062000000}"/>
    <cellStyle name="Currency 2 170" xfId="108" xr:uid="{00000000-0005-0000-0000-000063000000}"/>
    <cellStyle name="Currency 2 171" xfId="109" xr:uid="{00000000-0005-0000-0000-000064000000}"/>
    <cellStyle name="Currency 2 172" xfId="110" xr:uid="{00000000-0005-0000-0000-000065000000}"/>
    <cellStyle name="Currency 2 173" xfId="111" xr:uid="{00000000-0005-0000-0000-000066000000}"/>
    <cellStyle name="Currency 2 174" xfId="112" xr:uid="{00000000-0005-0000-0000-000067000000}"/>
    <cellStyle name="Currency 2 175" xfId="113" xr:uid="{00000000-0005-0000-0000-000068000000}"/>
    <cellStyle name="Currency 2 176" xfId="114" xr:uid="{00000000-0005-0000-0000-000069000000}"/>
    <cellStyle name="Currency 2 177" xfId="115" xr:uid="{00000000-0005-0000-0000-00006A000000}"/>
    <cellStyle name="Currency 2 178" xfId="116" xr:uid="{00000000-0005-0000-0000-00006B000000}"/>
    <cellStyle name="Currency 2 179" xfId="117" xr:uid="{00000000-0005-0000-0000-00006C000000}"/>
    <cellStyle name="Currency 2 18" xfId="118" xr:uid="{00000000-0005-0000-0000-00006D000000}"/>
    <cellStyle name="Currency 2 180" xfId="119" xr:uid="{00000000-0005-0000-0000-00006E000000}"/>
    <cellStyle name="Currency 2 181" xfId="120" xr:uid="{00000000-0005-0000-0000-00006F000000}"/>
    <cellStyle name="Currency 2 182" xfId="121" xr:uid="{00000000-0005-0000-0000-000070000000}"/>
    <cellStyle name="Currency 2 183" xfId="122" xr:uid="{00000000-0005-0000-0000-000071000000}"/>
    <cellStyle name="Currency 2 184" xfId="123" xr:uid="{00000000-0005-0000-0000-000072000000}"/>
    <cellStyle name="Currency 2 185" xfId="124" xr:uid="{00000000-0005-0000-0000-000073000000}"/>
    <cellStyle name="Currency 2 186" xfId="125" xr:uid="{00000000-0005-0000-0000-000074000000}"/>
    <cellStyle name="Currency 2 187" xfId="126" xr:uid="{00000000-0005-0000-0000-000075000000}"/>
    <cellStyle name="Currency 2 188" xfId="127" xr:uid="{00000000-0005-0000-0000-000076000000}"/>
    <cellStyle name="Currency 2 189" xfId="128" xr:uid="{00000000-0005-0000-0000-000077000000}"/>
    <cellStyle name="Currency 2 19" xfId="129" xr:uid="{00000000-0005-0000-0000-000078000000}"/>
    <cellStyle name="Currency 2 190" xfId="130" xr:uid="{00000000-0005-0000-0000-000079000000}"/>
    <cellStyle name="Currency 2 191" xfId="131" xr:uid="{00000000-0005-0000-0000-00007A000000}"/>
    <cellStyle name="Currency 2 192" xfId="132" xr:uid="{00000000-0005-0000-0000-00007B000000}"/>
    <cellStyle name="Currency 2 193" xfId="133" xr:uid="{00000000-0005-0000-0000-00007C000000}"/>
    <cellStyle name="Currency 2 194" xfId="134" xr:uid="{00000000-0005-0000-0000-00007D000000}"/>
    <cellStyle name="Currency 2 195" xfId="135" xr:uid="{00000000-0005-0000-0000-00007E000000}"/>
    <cellStyle name="Currency 2 196" xfId="136" xr:uid="{00000000-0005-0000-0000-00007F000000}"/>
    <cellStyle name="Currency 2 197" xfId="137" xr:uid="{00000000-0005-0000-0000-000080000000}"/>
    <cellStyle name="Currency 2 198" xfId="138" xr:uid="{00000000-0005-0000-0000-000081000000}"/>
    <cellStyle name="Currency 2 199" xfId="139" xr:uid="{00000000-0005-0000-0000-000082000000}"/>
    <cellStyle name="Currency 2 2" xfId="140" xr:uid="{00000000-0005-0000-0000-000083000000}"/>
    <cellStyle name="Currency 2 20" xfId="141" xr:uid="{00000000-0005-0000-0000-000084000000}"/>
    <cellStyle name="Currency 2 200" xfId="142" xr:uid="{00000000-0005-0000-0000-000085000000}"/>
    <cellStyle name="Currency 2 201" xfId="143" xr:uid="{00000000-0005-0000-0000-000086000000}"/>
    <cellStyle name="Currency 2 202" xfId="144" xr:uid="{00000000-0005-0000-0000-000087000000}"/>
    <cellStyle name="Currency 2 203" xfId="145" xr:uid="{00000000-0005-0000-0000-000088000000}"/>
    <cellStyle name="Currency 2 204" xfId="146" xr:uid="{00000000-0005-0000-0000-000089000000}"/>
    <cellStyle name="Currency 2 205" xfId="147" xr:uid="{00000000-0005-0000-0000-00008A000000}"/>
    <cellStyle name="Currency 2 206" xfId="148" xr:uid="{00000000-0005-0000-0000-00008B000000}"/>
    <cellStyle name="Currency 2 207" xfId="149" xr:uid="{00000000-0005-0000-0000-00008C000000}"/>
    <cellStyle name="Currency 2 208" xfId="150" xr:uid="{00000000-0005-0000-0000-00008D000000}"/>
    <cellStyle name="Currency 2 209" xfId="151" xr:uid="{00000000-0005-0000-0000-00008E000000}"/>
    <cellStyle name="Currency 2 21" xfId="152" xr:uid="{00000000-0005-0000-0000-00008F000000}"/>
    <cellStyle name="Currency 2 210" xfId="153" xr:uid="{00000000-0005-0000-0000-000090000000}"/>
    <cellStyle name="Currency 2 211" xfId="154" xr:uid="{00000000-0005-0000-0000-000091000000}"/>
    <cellStyle name="Currency 2 212" xfId="155" xr:uid="{00000000-0005-0000-0000-000092000000}"/>
    <cellStyle name="Currency 2 213" xfId="156" xr:uid="{00000000-0005-0000-0000-000093000000}"/>
    <cellStyle name="Currency 2 214" xfId="157" xr:uid="{00000000-0005-0000-0000-000094000000}"/>
    <cellStyle name="Currency 2 215" xfId="158" xr:uid="{00000000-0005-0000-0000-000095000000}"/>
    <cellStyle name="Currency 2 216" xfId="159" xr:uid="{00000000-0005-0000-0000-000096000000}"/>
    <cellStyle name="Currency 2 217" xfId="160" xr:uid="{00000000-0005-0000-0000-000097000000}"/>
    <cellStyle name="Currency 2 218" xfId="161" xr:uid="{00000000-0005-0000-0000-000098000000}"/>
    <cellStyle name="Currency 2 219" xfId="162" xr:uid="{00000000-0005-0000-0000-000099000000}"/>
    <cellStyle name="Currency 2 22" xfId="163" xr:uid="{00000000-0005-0000-0000-00009A000000}"/>
    <cellStyle name="Currency 2 220" xfId="164" xr:uid="{00000000-0005-0000-0000-00009B000000}"/>
    <cellStyle name="Currency 2 221" xfId="165" xr:uid="{00000000-0005-0000-0000-00009C000000}"/>
    <cellStyle name="Currency 2 222" xfId="166" xr:uid="{00000000-0005-0000-0000-00009D000000}"/>
    <cellStyle name="Currency 2 223" xfId="167" xr:uid="{00000000-0005-0000-0000-00009E000000}"/>
    <cellStyle name="Currency 2 224" xfId="168" xr:uid="{00000000-0005-0000-0000-00009F000000}"/>
    <cellStyle name="Currency 2 225" xfId="169" xr:uid="{00000000-0005-0000-0000-0000A0000000}"/>
    <cellStyle name="Currency 2 226" xfId="170" xr:uid="{00000000-0005-0000-0000-0000A1000000}"/>
    <cellStyle name="Currency 2 227" xfId="171" xr:uid="{00000000-0005-0000-0000-0000A2000000}"/>
    <cellStyle name="Currency 2 228" xfId="172" xr:uid="{00000000-0005-0000-0000-0000A3000000}"/>
    <cellStyle name="Currency 2 229" xfId="173" xr:uid="{00000000-0005-0000-0000-0000A4000000}"/>
    <cellStyle name="Currency 2 23" xfId="174" xr:uid="{00000000-0005-0000-0000-0000A5000000}"/>
    <cellStyle name="Currency 2 230" xfId="175" xr:uid="{00000000-0005-0000-0000-0000A6000000}"/>
    <cellStyle name="Currency 2 231" xfId="176" xr:uid="{00000000-0005-0000-0000-0000A7000000}"/>
    <cellStyle name="Currency 2 232" xfId="177" xr:uid="{00000000-0005-0000-0000-0000A8000000}"/>
    <cellStyle name="Currency 2 233" xfId="178" xr:uid="{00000000-0005-0000-0000-0000A9000000}"/>
    <cellStyle name="Currency 2 234" xfId="179" xr:uid="{00000000-0005-0000-0000-0000AA000000}"/>
    <cellStyle name="Currency 2 235" xfId="180" xr:uid="{00000000-0005-0000-0000-0000AB000000}"/>
    <cellStyle name="Currency 2 236" xfId="181" xr:uid="{00000000-0005-0000-0000-0000AC000000}"/>
    <cellStyle name="Currency 2 237" xfId="182" xr:uid="{00000000-0005-0000-0000-0000AD000000}"/>
    <cellStyle name="Currency 2 238" xfId="183" xr:uid="{00000000-0005-0000-0000-0000AE000000}"/>
    <cellStyle name="Currency 2 239" xfId="184" xr:uid="{00000000-0005-0000-0000-0000AF000000}"/>
    <cellStyle name="Currency 2 24" xfId="185" xr:uid="{00000000-0005-0000-0000-0000B0000000}"/>
    <cellStyle name="Currency 2 240" xfId="186" xr:uid="{00000000-0005-0000-0000-0000B1000000}"/>
    <cellStyle name="Currency 2 241" xfId="187" xr:uid="{00000000-0005-0000-0000-0000B2000000}"/>
    <cellStyle name="Currency 2 242" xfId="188" xr:uid="{00000000-0005-0000-0000-0000B3000000}"/>
    <cellStyle name="Currency 2 243" xfId="189" xr:uid="{00000000-0005-0000-0000-0000B4000000}"/>
    <cellStyle name="Currency 2 244" xfId="190" xr:uid="{00000000-0005-0000-0000-0000B5000000}"/>
    <cellStyle name="Currency 2 245" xfId="191" xr:uid="{00000000-0005-0000-0000-0000B6000000}"/>
    <cellStyle name="Currency 2 246" xfId="192" xr:uid="{00000000-0005-0000-0000-0000B7000000}"/>
    <cellStyle name="Currency 2 247" xfId="193" xr:uid="{00000000-0005-0000-0000-0000B8000000}"/>
    <cellStyle name="Currency 2 248" xfId="194" xr:uid="{00000000-0005-0000-0000-0000B9000000}"/>
    <cellStyle name="Currency 2 249" xfId="195" xr:uid="{00000000-0005-0000-0000-0000BA000000}"/>
    <cellStyle name="Currency 2 25" xfId="196" xr:uid="{00000000-0005-0000-0000-0000BB000000}"/>
    <cellStyle name="Currency 2 250" xfId="197" xr:uid="{00000000-0005-0000-0000-0000BC000000}"/>
    <cellStyle name="Currency 2 251" xfId="198" xr:uid="{00000000-0005-0000-0000-0000BD000000}"/>
    <cellStyle name="Currency 2 252" xfId="199" xr:uid="{00000000-0005-0000-0000-0000BE000000}"/>
    <cellStyle name="Currency 2 253" xfId="200" xr:uid="{00000000-0005-0000-0000-0000BF000000}"/>
    <cellStyle name="Currency 2 254" xfId="201" xr:uid="{00000000-0005-0000-0000-0000C0000000}"/>
    <cellStyle name="Currency 2 26" xfId="202" xr:uid="{00000000-0005-0000-0000-0000C1000000}"/>
    <cellStyle name="Currency 2 27" xfId="203" xr:uid="{00000000-0005-0000-0000-0000C2000000}"/>
    <cellStyle name="Currency 2 28" xfId="204" xr:uid="{00000000-0005-0000-0000-0000C3000000}"/>
    <cellStyle name="Currency 2 29" xfId="205" xr:uid="{00000000-0005-0000-0000-0000C4000000}"/>
    <cellStyle name="Currency 2 3" xfId="206" xr:uid="{00000000-0005-0000-0000-0000C5000000}"/>
    <cellStyle name="Currency 2 30" xfId="207" xr:uid="{00000000-0005-0000-0000-0000C6000000}"/>
    <cellStyle name="Currency 2 31" xfId="208" xr:uid="{00000000-0005-0000-0000-0000C7000000}"/>
    <cellStyle name="Currency 2 32" xfId="209" xr:uid="{00000000-0005-0000-0000-0000C8000000}"/>
    <cellStyle name="Currency 2 33" xfId="210" xr:uid="{00000000-0005-0000-0000-0000C9000000}"/>
    <cellStyle name="Currency 2 34" xfId="211" xr:uid="{00000000-0005-0000-0000-0000CA000000}"/>
    <cellStyle name="Currency 2 35" xfId="212" xr:uid="{00000000-0005-0000-0000-0000CB000000}"/>
    <cellStyle name="Currency 2 36" xfId="213" xr:uid="{00000000-0005-0000-0000-0000CC000000}"/>
    <cellStyle name="Currency 2 37" xfId="214" xr:uid="{00000000-0005-0000-0000-0000CD000000}"/>
    <cellStyle name="Currency 2 38" xfId="215" xr:uid="{00000000-0005-0000-0000-0000CE000000}"/>
    <cellStyle name="Currency 2 39" xfId="216" xr:uid="{00000000-0005-0000-0000-0000CF000000}"/>
    <cellStyle name="Currency 2 4" xfId="217" xr:uid="{00000000-0005-0000-0000-0000D0000000}"/>
    <cellStyle name="Currency 2 40" xfId="218" xr:uid="{00000000-0005-0000-0000-0000D1000000}"/>
    <cellStyle name="Currency 2 41" xfId="219" xr:uid="{00000000-0005-0000-0000-0000D2000000}"/>
    <cellStyle name="Currency 2 42" xfId="220" xr:uid="{00000000-0005-0000-0000-0000D3000000}"/>
    <cellStyle name="Currency 2 43" xfId="221" xr:uid="{00000000-0005-0000-0000-0000D4000000}"/>
    <cellStyle name="Currency 2 44" xfId="222" xr:uid="{00000000-0005-0000-0000-0000D5000000}"/>
    <cellStyle name="Currency 2 45" xfId="223" xr:uid="{00000000-0005-0000-0000-0000D6000000}"/>
    <cellStyle name="Currency 2 46" xfId="224" xr:uid="{00000000-0005-0000-0000-0000D7000000}"/>
    <cellStyle name="Currency 2 47" xfId="225" xr:uid="{00000000-0005-0000-0000-0000D8000000}"/>
    <cellStyle name="Currency 2 48" xfId="226" xr:uid="{00000000-0005-0000-0000-0000D9000000}"/>
    <cellStyle name="Currency 2 49" xfId="227" xr:uid="{00000000-0005-0000-0000-0000DA000000}"/>
    <cellStyle name="Currency 2 5" xfId="228" xr:uid="{00000000-0005-0000-0000-0000DB000000}"/>
    <cellStyle name="Currency 2 50" xfId="229" xr:uid="{00000000-0005-0000-0000-0000DC000000}"/>
    <cellStyle name="Currency 2 51" xfId="230" xr:uid="{00000000-0005-0000-0000-0000DD000000}"/>
    <cellStyle name="Currency 2 52" xfId="231" xr:uid="{00000000-0005-0000-0000-0000DE000000}"/>
    <cellStyle name="Currency 2 53" xfId="232" xr:uid="{00000000-0005-0000-0000-0000DF000000}"/>
    <cellStyle name="Currency 2 54" xfId="233" xr:uid="{00000000-0005-0000-0000-0000E0000000}"/>
    <cellStyle name="Currency 2 55" xfId="234" xr:uid="{00000000-0005-0000-0000-0000E1000000}"/>
    <cellStyle name="Currency 2 56" xfId="235" xr:uid="{00000000-0005-0000-0000-0000E2000000}"/>
    <cellStyle name="Currency 2 57" xfId="236" xr:uid="{00000000-0005-0000-0000-0000E3000000}"/>
    <cellStyle name="Currency 2 58" xfId="237" xr:uid="{00000000-0005-0000-0000-0000E4000000}"/>
    <cellStyle name="Currency 2 59" xfId="238" xr:uid="{00000000-0005-0000-0000-0000E5000000}"/>
    <cellStyle name="Currency 2 6" xfId="239" xr:uid="{00000000-0005-0000-0000-0000E6000000}"/>
    <cellStyle name="Currency 2 60" xfId="240" xr:uid="{00000000-0005-0000-0000-0000E7000000}"/>
    <cellStyle name="Currency 2 61" xfId="241" xr:uid="{00000000-0005-0000-0000-0000E8000000}"/>
    <cellStyle name="Currency 2 62" xfId="242" xr:uid="{00000000-0005-0000-0000-0000E9000000}"/>
    <cellStyle name="Currency 2 63" xfId="243" xr:uid="{00000000-0005-0000-0000-0000EA000000}"/>
    <cellStyle name="Currency 2 64" xfId="244" xr:uid="{00000000-0005-0000-0000-0000EB000000}"/>
    <cellStyle name="Currency 2 65" xfId="245" xr:uid="{00000000-0005-0000-0000-0000EC000000}"/>
    <cellStyle name="Currency 2 66" xfId="246" xr:uid="{00000000-0005-0000-0000-0000ED000000}"/>
    <cellStyle name="Currency 2 67" xfId="247" xr:uid="{00000000-0005-0000-0000-0000EE000000}"/>
    <cellStyle name="Currency 2 68" xfId="248" xr:uid="{00000000-0005-0000-0000-0000EF000000}"/>
    <cellStyle name="Currency 2 69" xfId="249" xr:uid="{00000000-0005-0000-0000-0000F0000000}"/>
    <cellStyle name="Currency 2 7" xfId="250" xr:uid="{00000000-0005-0000-0000-0000F1000000}"/>
    <cellStyle name="Currency 2 70" xfId="251" xr:uid="{00000000-0005-0000-0000-0000F2000000}"/>
    <cellStyle name="Currency 2 71" xfId="252" xr:uid="{00000000-0005-0000-0000-0000F3000000}"/>
    <cellStyle name="Currency 2 72" xfId="253" xr:uid="{00000000-0005-0000-0000-0000F4000000}"/>
    <cellStyle name="Currency 2 73" xfId="254" xr:uid="{00000000-0005-0000-0000-0000F5000000}"/>
    <cellStyle name="Currency 2 74" xfId="255" xr:uid="{00000000-0005-0000-0000-0000F6000000}"/>
    <cellStyle name="Currency 2 75" xfId="256" xr:uid="{00000000-0005-0000-0000-0000F7000000}"/>
    <cellStyle name="Currency 2 76" xfId="257" xr:uid="{00000000-0005-0000-0000-0000F8000000}"/>
    <cellStyle name="Currency 2 77" xfId="258" xr:uid="{00000000-0005-0000-0000-0000F9000000}"/>
    <cellStyle name="Currency 2 78" xfId="259" xr:uid="{00000000-0005-0000-0000-0000FA000000}"/>
    <cellStyle name="Currency 2 79" xfId="260" xr:uid="{00000000-0005-0000-0000-0000FB000000}"/>
    <cellStyle name="Currency 2 8" xfId="261" xr:uid="{00000000-0005-0000-0000-0000FC000000}"/>
    <cellStyle name="Currency 2 80" xfId="262" xr:uid="{00000000-0005-0000-0000-0000FD000000}"/>
    <cellStyle name="Currency 2 81" xfId="263" xr:uid="{00000000-0005-0000-0000-0000FE000000}"/>
    <cellStyle name="Currency 2 82" xfId="264" xr:uid="{00000000-0005-0000-0000-0000FF000000}"/>
    <cellStyle name="Currency 2 83" xfId="265" xr:uid="{00000000-0005-0000-0000-000000010000}"/>
    <cellStyle name="Currency 2 84" xfId="266" xr:uid="{00000000-0005-0000-0000-000001010000}"/>
    <cellStyle name="Currency 2 85" xfId="267" xr:uid="{00000000-0005-0000-0000-000002010000}"/>
    <cellStyle name="Currency 2 86" xfId="268" xr:uid="{00000000-0005-0000-0000-000003010000}"/>
    <cellStyle name="Currency 2 87" xfId="269" xr:uid="{00000000-0005-0000-0000-000004010000}"/>
    <cellStyle name="Currency 2 88" xfId="270" xr:uid="{00000000-0005-0000-0000-000005010000}"/>
    <cellStyle name="Currency 2 89" xfId="271" xr:uid="{00000000-0005-0000-0000-000006010000}"/>
    <cellStyle name="Currency 2 9" xfId="272" xr:uid="{00000000-0005-0000-0000-000007010000}"/>
    <cellStyle name="Currency 2 90" xfId="273" xr:uid="{00000000-0005-0000-0000-000008010000}"/>
    <cellStyle name="Currency 2 91" xfId="274" xr:uid="{00000000-0005-0000-0000-000009010000}"/>
    <cellStyle name="Currency 2 92" xfId="275" xr:uid="{00000000-0005-0000-0000-00000A010000}"/>
    <cellStyle name="Currency 2 93" xfId="276" xr:uid="{00000000-0005-0000-0000-00000B010000}"/>
    <cellStyle name="Currency 2 94" xfId="277" xr:uid="{00000000-0005-0000-0000-00000C010000}"/>
    <cellStyle name="Currency 2 95" xfId="278" xr:uid="{00000000-0005-0000-0000-00000D010000}"/>
    <cellStyle name="Currency 2 96" xfId="279" xr:uid="{00000000-0005-0000-0000-00000E010000}"/>
    <cellStyle name="Currency 2 97" xfId="280" xr:uid="{00000000-0005-0000-0000-00000F010000}"/>
    <cellStyle name="Currency 2 98" xfId="281" xr:uid="{00000000-0005-0000-0000-000010010000}"/>
    <cellStyle name="Currency 2 99" xfId="282" xr:uid="{00000000-0005-0000-0000-000011010000}"/>
    <cellStyle name="Currency 3" xfId="283" xr:uid="{00000000-0005-0000-0000-000012010000}"/>
    <cellStyle name="Currency 3 2" xfId="284" xr:uid="{00000000-0005-0000-0000-000013010000}"/>
    <cellStyle name="Currency 3 2 2" xfId="285" xr:uid="{00000000-0005-0000-0000-000014010000}"/>
    <cellStyle name="Currency 3 3" xfId="286" xr:uid="{00000000-0005-0000-0000-000015010000}"/>
    <cellStyle name="Currency 4" xfId="287" xr:uid="{00000000-0005-0000-0000-000016010000}"/>
    <cellStyle name="Currency 5" xfId="288" xr:uid="{00000000-0005-0000-0000-000017010000}"/>
    <cellStyle name="Currency 6" xfId="289" xr:uid="{00000000-0005-0000-0000-000018010000}"/>
    <cellStyle name="Date" xfId="290" xr:uid="{00000000-0005-0000-0000-000019010000}"/>
    <cellStyle name="Heading 2 2" xfId="291" xr:uid="{00000000-0005-0000-0000-00001A010000}"/>
    <cellStyle name="Heading 3 2" xfId="292" xr:uid="{00000000-0005-0000-0000-00001B010000}"/>
    <cellStyle name="Hyperlink 2" xfId="293" xr:uid="{00000000-0005-0000-0000-00001C010000}"/>
    <cellStyle name="Normal" xfId="0" builtinId="0"/>
    <cellStyle name="Normal - Style1" xfId="294" xr:uid="{00000000-0005-0000-0000-00001E010000}"/>
    <cellStyle name="Normal 2" xfId="7" xr:uid="{00000000-0005-0000-0000-00001F010000}"/>
    <cellStyle name="Normal 3" xfId="3" xr:uid="{00000000-0005-0000-0000-000020010000}"/>
    <cellStyle name="Normal 3 2" xfId="12" xr:uid="{00000000-0005-0000-0000-000021010000}"/>
    <cellStyle name="Normal 3 2 2" xfId="295" xr:uid="{00000000-0005-0000-0000-000022010000}"/>
    <cellStyle name="Normal 3 2 2 2" xfId="10" xr:uid="{00000000-0005-0000-0000-000023010000}"/>
    <cellStyle name="Normal 3 2 3" xfId="296" xr:uid="{00000000-0005-0000-0000-000024010000}"/>
    <cellStyle name="Normal 3 3" xfId="297" xr:uid="{00000000-0005-0000-0000-000025010000}"/>
    <cellStyle name="Normal 3 3 2" xfId="298" xr:uid="{00000000-0005-0000-0000-000026010000}"/>
    <cellStyle name="Normal 3 4" xfId="5" xr:uid="{00000000-0005-0000-0000-000027010000}"/>
    <cellStyle name="Normal 3 5" xfId="299" xr:uid="{00000000-0005-0000-0000-000028010000}"/>
    <cellStyle name="Normal 4" xfId="300" xr:uid="{00000000-0005-0000-0000-000029010000}"/>
    <cellStyle name="Normal 5" xfId="301" xr:uid="{00000000-0005-0000-0000-00002A010000}"/>
    <cellStyle name="Normal 6" xfId="302" xr:uid="{00000000-0005-0000-0000-00002B010000}"/>
    <cellStyle name="Normal 6 2" xfId="303" xr:uid="{00000000-0005-0000-0000-00002C010000}"/>
    <cellStyle name="Normal 7" xfId="304" xr:uid="{00000000-0005-0000-0000-00002D010000}"/>
    <cellStyle name="Normal 8" xfId="305" xr:uid="{00000000-0005-0000-0000-00002E010000}"/>
    <cellStyle name="Percent" xfId="2" builtinId="5"/>
    <cellStyle name="Percent 2" xfId="11" xr:uid="{00000000-0005-0000-0000-000030010000}"/>
    <cellStyle name="Percent 3" xfId="306" xr:uid="{00000000-0005-0000-0000-000031010000}"/>
    <cellStyle name="Percent 4" xfId="307" xr:uid="{00000000-0005-0000-0000-000032010000}"/>
    <cellStyle name="Percent 4 2" xfId="308" xr:uid="{00000000-0005-0000-0000-000033010000}"/>
    <cellStyle name="Percent 5" xfId="309" xr:uid="{00000000-0005-0000-0000-000034010000}"/>
    <cellStyle name="Percent 6" xfId="310" xr:uid="{00000000-0005-0000-0000-000035010000}"/>
    <cellStyle name="Style 1" xfId="311" xr:uid="{00000000-0005-0000-0000-000036010000}"/>
    <cellStyle name="Volume" xfId="312" xr:uid="{00000000-0005-0000-0000-000037010000}"/>
    <cellStyle name="Обычный 2" xfId="4" xr:uid="{00000000-0005-0000-0000-000038010000}"/>
  </cellStyles>
  <dxfs count="459">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theme="4" tint="0.79998168889431442"/>
          <bgColor theme="9"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7"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ont>
        <b val="0"/>
        <i val="0"/>
        <strike val="0"/>
        <condense val="0"/>
        <extend val="0"/>
        <outline val="0"/>
        <shadow val="0"/>
        <u val="none"/>
        <vertAlign val="baseline"/>
        <sz val="10"/>
        <color theme="1"/>
        <name val="Calibri"/>
        <scheme val="minor"/>
      </font>
      <fill>
        <patternFill patternType="solid">
          <fgColor indexed="64"/>
          <bgColor theme="5" tint="0.79998168889431442"/>
        </patternFill>
      </fill>
    </dxf>
    <dxf>
      <font>
        <b/>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strike val="0"/>
        <outline val="0"/>
        <shadow val="0"/>
        <u val="none"/>
        <vertAlign val="baseline"/>
        <sz val="10"/>
        <name val="Calibri"/>
        <scheme val="minor"/>
      </font>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000000"/>
          <bgColor rgb="FFFCE4D6"/>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6" formatCode="_(&quot;$&quot;* #,##0_);_(&quot;$&quot;* \(#,##0\);_(&quot;$&quot;* &quot;-&quot;??_);_(@_)"/>
      <fill>
        <patternFill patternType="solid">
          <fgColor indexed="64"/>
          <bgColor theme="5"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ont>
        <b val="0"/>
        <i val="0"/>
        <strike val="0"/>
        <condense val="0"/>
        <extend val="0"/>
        <outline val="0"/>
        <shadow val="0"/>
        <u val="none"/>
        <vertAlign val="baseline"/>
        <sz val="10"/>
        <color theme="1"/>
        <name val="Calibri"/>
        <scheme val="minor"/>
      </font>
      <numFmt numFmtId="165" formatCode="_(* #,##0_);_(* \(#,##0\);_(* &quot;-&quot;??_);_(@_)"/>
      <fill>
        <patternFill patternType="solid">
          <fgColor theme="4" tint="0.79998168889431442"/>
          <bgColor theme="8" tint="0.79998168889431442"/>
        </patternFill>
      </fill>
    </dxf>
    <dxf>
      <fill>
        <patternFill patternType="solid">
          <fgColor indexed="64"/>
          <bgColor theme="9" tint="0.79998168889431442"/>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5" tint="0.79998168889431442"/>
        </patternFill>
      </fill>
    </dxf>
    <dxf>
      <font>
        <b val="0"/>
        <i val="0"/>
        <strike val="0"/>
        <condense val="0"/>
        <extend val="0"/>
        <outline val="0"/>
        <shadow val="0"/>
        <u val="none"/>
        <vertAlign val="baseline"/>
        <sz val="10"/>
        <color auto="1"/>
        <name val="Calibri"/>
        <scheme val="minor"/>
      </font>
      <fill>
        <patternFill patternType="solid">
          <fgColor indexed="64"/>
          <bgColor theme="5"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ill>
        <patternFill patternType="solid">
          <fgColor indexed="64"/>
          <bgColor theme="9" tint="0.79998168889431442"/>
        </patternFill>
      </fill>
    </dxf>
    <dxf>
      <font>
        <strike val="0"/>
        <outline val="0"/>
        <shadow val="0"/>
        <u val="none"/>
        <vertAlign val="baseline"/>
        <sz val="12"/>
        <color auto="1"/>
        <name val="Calibri"/>
        <scheme val="minor"/>
      </font>
      <fill>
        <patternFill patternType="solid">
          <fgColor indexed="64"/>
          <bgColor theme="9" tint="0.79998168889431442"/>
        </patternFill>
      </fill>
    </dxf>
  </dxfs>
  <tableStyles count="0" defaultTableStyle="TableStyleMedium2" defaultPivotStyle="PivotStyleLight16"/>
  <colors>
    <mruColors>
      <color rgb="FFFFCC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eetMetadata" Target="metadata.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C00000"/>
              </a:solidFill>
            </a:ln>
          </c:spPr>
          <c:marker>
            <c:spPr>
              <a:solidFill>
                <a:srgbClr val="C00000"/>
              </a:solidFill>
              <a:ln>
                <a:solidFill>
                  <a:srgbClr val="C00000"/>
                </a:solidFill>
              </a:ln>
            </c:spPr>
          </c:marker>
          <c:cat>
            <c:numRef>
              <c:f>'Figures in the Report'!$J$165:$AE$165</c:f>
              <c:numCache>
                <c:formatCode>General</c:formatCod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numCache>
            </c:numRef>
          </c:cat>
          <c:val>
            <c:numRef>
              <c:f>'Figures in the Report'!$J$166:$AE$166</c:f>
              <c:numCache>
                <c:formatCode>0%</c:formatCode>
                <c:ptCount val="22"/>
                <c:pt idx="0">
                  <c:v>0.45098039215686292</c:v>
                </c:pt>
                <c:pt idx="1">
                  <c:v>0.41891891891891886</c:v>
                </c:pt>
                <c:pt idx="2">
                  <c:v>0.39999999999999991</c:v>
                </c:pt>
                <c:pt idx="3">
                  <c:v>0.38775510204081631</c:v>
                </c:pt>
                <c:pt idx="4">
                  <c:v>0.38</c:v>
                </c:pt>
                <c:pt idx="5">
                  <c:v>0.37</c:v>
                </c:pt>
                <c:pt idx="6">
                  <c:v>0.36</c:v>
                </c:pt>
                <c:pt idx="7">
                  <c:v>0.35</c:v>
                </c:pt>
                <c:pt idx="8">
                  <c:v>0.33</c:v>
                </c:pt>
                <c:pt idx="9">
                  <c:v>0.31</c:v>
                </c:pt>
                <c:pt idx="10">
                  <c:v>0.3</c:v>
                </c:pt>
                <c:pt idx="11">
                  <c:v>0.28999999999999998</c:v>
                </c:pt>
                <c:pt idx="12">
                  <c:v>0.28999999999999998</c:v>
                </c:pt>
                <c:pt idx="13">
                  <c:v>0.5</c:v>
                </c:pt>
                <c:pt idx="14">
                  <c:v>0.35</c:v>
                </c:pt>
                <c:pt idx="15">
                  <c:v>0.3</c:v>
                </c:pt>
                <c:pt idx="16">
                  <c:v>0.28999999999999998</c:v>
                </c:pt>
                <c:pt idx="17">
                  <c:v>0.28000000000000003</c:v>
                </c:pt>
                <c:pt idx="18">
                  <c:v>0.27</c:v>
                </c:pt>
                <c:pt idx="19">
                  <c:v>0.25800000000000001</c:v>
                </c:pt>
                <c:pt idx="20">
                  <c:v>0.246</c:v>
                </c:pt>
                <c:pt idx="21">
                  <c:v>0.23399999999999999</c:v>
                </c:pt>
              </c:numCache>
            </c:numRef>
          </c:val>
          <c:smooth val="1"/>
          <c:extLst>
            <c:ext xmlns:c16="http://schemas.microsoft.com/office/drawing/2014/chart" uri="{C3380CC4-5D6E-409C-BE32-E72D297353CC}">
              <c16:uniqueId val="{00000000-9E39-2D43-9899-0EE993870E32}"/>
            </c:ext>
          </c:extLst>
        </c:ser>
        <c:ser>
          <c:idx val="1"/>
          <c:order val="1"/>
          <c:spPr>
            <a:ln>
              <a:solidFill>
                <a:schemeClr val="accent1"/>
              </a:solidFill>
            </a:ln>
          </c:spPr>
          <c:marker>
            <c:symbol val="square"/>
            <c:size val="5"/>
            <c:spPr>
              <a:solidFill>
                <a:schemeClr val="accent1"/>
              </a:solidFill>
              <a:ln>
                <a:solidFill>
                  <a:schemeClr val="accent1"/>
                </a:solidFill>
              </a:ln>
            </c:spPr>
          </c:marker>
          <c:cat>
            <c:numRef>
              <c:f>'Figures in the Report'!$J$165:$AE$165</c:f>
              <c:numCache>
                <c:formatCode>General</c:formatCod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numCache>
            </c:numRef>
          </c:cat>
          <c:val>
            <c:numRef>
              <c:f>'Figures in the Report'!$J$167:$AE$167</c:f>
              <c:numCache>
                <c:formatCode>0%</c:formatCode>
                <c:ptCount val="22"/>
                <c:pt idx="0">
                  <c:v>0.2363366825514075</c:v>
                </c:pt>
                <c:pt idx="1">
                  <c:v>0.26126010671388444</c:v>
                </c:pt>
                <c:pt idx="2">
                  <c:v>0.25114039004710653</c:v>
                </c:pt>
                <c:pt idx="3">
                  <c:v>0.38417207079295546</c:v>
                </c:pt>
                <c:pt idx="4">
                  <c:v>0.42417382322831676</c:v>
                </c:pt>
                <c:pt idx="5">
                  <c:v>0.37489363230622441</c:v>
                </c:pt>
                <c:pt idx="6">
                  <c:v>0.43190873335062818</c:v>
                </c:pt>
                <c:pt idx="7">
                  <c:v>0.49082663568861773</c:v>
                </c:pt>
                <c:pt idx="8">
                  <c:v>0.39953696134919681</c:v>
                </c:pt>
                <c:pt idx="9">
                  <c:v>0.41922148072449872</c:v>
                </c:pt>
                <c:pt idx="10">
                  <c:v>0.464032235755518</c:v>
                </c:pt>
                <c:pt idx="11">
                  <c:v>0.48390006358873805</c:v>
                </c:pt>
                <c:pt idx="12">
                  <c:v>0.39212607883261286</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1-9E39-2D43-9899-0EE993870E32}"/>
            </c:ext>
          </c:extLst>
        </c:ser>
        <c:dLbls>
          <c:showLegendKey val="0"/>
          <c:showVal val="0"/>
          <c:showCatName val="0"/>
          <c:showSerName val="0"/>
          <c:showPercent val="0"/>
          <c:showBubbleSize val="0"/>
        </c:dLbls>
        <c:marker val="1"/>
        <c:smooth val="0"/>
        <c:axId val="58866688"/>
        <c:axId val="58906112"/>
      </c:lineChart>
      <c:catAx>
        <c:axId val="58866688"/>
        <c:scaling>
          <c:orientation val="minMax"/>
        </c:scaling>
        <c:delete val="0"/>
        <c:axPos val="b"/>
        <c:numFmt formatCode="General" sourceLinked="1"/>
        <c:majorTickMark val="out"/>
        <c:minorTickMark val="none"/>
        <c:tickLblPos val="nextTo"/>
        <c:crossAx val="58906112"/>
        <c:crosses val="autoZero"/>
        <c:auto val="1"/>
        <c:lblAlgn val="ctr"/>
        <c:lblOffset val="100"/>
        <c:noMultiLvlLbl val="0"/>
      </c:catAx>
      <c:valAx>
        <c:axId val="58906112"/>
        <c:scaling>
          <c:orientation val="minMax"/>
        </c:scaling>
        <c:delete val="0"/>
        <c:axPos val="l"/>
        <c:majorGridlines/>
        <c:numFmt formatCode="0%" sourceLinked="1"/>
        <c:majorTickMark val="out"/>
        <c:minorTickMark val="none"/>
        <c:tickLblPos val="nextTo"/>
        <c:crossAx val="58866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69285325046545"/>
          <c:y val="3.75116652085156E-2"/>
          <c:w val="0.7857508655145381"/>
          <c:h val="0.82907662583843689"/>
        </c:manualLayout>
      </c:layout>
      <c:barChart>
        <c:barDir val="col"/>
        <c:grouping val="stacked"/>
        <c:varyColors val="0"/>
        <c:ser>
          <c:idx val="1"/>
          <c:order val="0"/>
          <c:tx>
            <c:strRef>
              <c:f>'Figures in the Report'!$I$268</c:f>
              <c:strCache>
                <c:ptCount val="1"/>
                <c:pt idx="0">
                  <c:v>Enterprise</c:v>
                </c:pt>
              </c:strCache>
            </c:strRef>
          </c:tx>
          <c:spPr>
            <a:solidFill>
              <a:schemeClr val="accent3"/>
            </a:solidFill>
            <a:ln>
              <a:solidFill>
                <a:schemeClr val="accent3"/>
              </a:solidFill>
            </a:ln>
          </c:spPr>
          <c:invertIfNegative val="0"/>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Report'!$J$268:$T$268</c:f>
              <c:numCache>
                <c:formatCode>_("$"* #,##0_);_("$"* \(#,##0\);_("$"* "-"??_);_(@_)</c:formatCode>
                <c:ptCount val="11"/>
                <c:pt idx="0">
                  <c:v>599.75039966718089</c:v>
                </c:pt>
                <c:pt idx="1">
                  <c:v>544.53745540715943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19A5-C449-85B0-ECC689742AE6}"/>
            </c:ext>
          </c:extLst>
        </c:ser>
        <c:ser>
          <c:idx val="2"/>
          <c:order val="1"/>
          <c:tx>
            <c:strRef>
              <c:f>'Figures in the Report'!$I$269</c:f>
              <c:strCache>
                <c:ptCount val="1"/>
                <c:pt idx="0">
                  <c:v>Telecom</c:v>
                </c:pt>
              </c:strCache>
            </c:strRef>
          </c:tx>
          <c:spPr>
            <a:solidFill>
              <a:schemeClr val="accent1"/>
            </a:solidFill>
            <a:ln>
              <a:solidFill>
                <a:schemeClr val="accent1"/>
              </a:solidFill>
            </a:ln>
          </c:spPr>
          <c:invertIfNegative val="0"/>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Report'!$J$269:$T$269</c:f>
              <c:numCache>
                <c:formatCode>_("$"* #,##0_);_("$"* \(#,##0\);_("$"* "-"??_);_(@_)</c:formatCode>
                <c:ptCount val="11"/>
                <c:pt idx="0">
                  <c:v>515.46297620496682</c:v>
                </c:pt>
                <c:pt idx="1">
                  <c:v>402.84438481692752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19A5-C449-85B0-ECC689742AE6}"/>
            </c:ext>
          </c:extLst>
        </c:ser>
        <c:ser>
          <c:idx val="0"/>
          <c:order val="2"/>
          <c:tx>
            <c:strRef>
              <c:f>'Figures in the Report'!$I$267</c:f>
              <c:strCache>
                <c:ptCount val="1"/>
                <c:pt idx="0">
                  <c:v>Cloud</c:v>
                </c:pt>
              </c:strCache>
            </c:strRef>
          </c:tx>
          <c:spPr>
            <a:solidFill>
              <a:schemeClr val="accent2"/>
            </a:solidFill>
            <a:ln>
              <a:solidFill>
                <a:schemeClr val="accent2"/>
              </a:solidFill>
            </a:ln>
          </c:spPr>
          <c:invertIfNegative val="0"/>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Report'!$J$267:$T$267</c:f>
              <c:numCache>
                <c:formatCode>_("$"* #,##0_);_("$"* \(#,##0\);_("$"* "-"??_);_(@_)</c:formatCode>
                <c:ptCount val="11"/>
                <c:pt idx="0">
                  <c:v>2230.065508552691</c:v>
                </c:pt>
                <c:pt idx="1">
                  <c:v>1835.0885586473089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9A5-C449-85B0-ECC689742AE6}"/>
            </c:ext>
          </c:extLst>
        </c:ser>
        <c:dLbls>
          <c:showLegendKey val="0"/>
          <c:showVal val="0"/>
          <c:showCatName val="0"/>
          <c:showSerName val="0"/>
          <c:showPercent val="0"/>
          <c:showBubbleSize val="0"/>
        </c:dLbls>
        <c:gapWidth val="150"/>
        <c:overlap val="100"/>
        <c:axId val="161776768"/>
        <c:axId val="161778304"/>
      </c:barChart>
      <c:catAx>
        <c:axId val="161776768"/>
        <c:scaling>
          <c:orientation val="minMax"/>
        </c:scaling>
        <c:delete val="0"/>
        <c:axPos val="b"/>
        <c:numFmt formatCode="General" sourceLinked="1"/>
        <c:majorTickMark val="out"/>
        <c:minorTickMark val="none"/>
        <c:tickLblPos val="nextTo"/>
        <c:crossAx val="161778304"/>
        <c:crosses val="autoZero"/>
        <c:auto val="1"/>
        <c:lblAlgn val="ctr"/>
        <c:lblOffset val="100"/>
        <c:noMultiLvlLbl val="0"/>
      </c:catAx>
      <c:valAx>
        <c:axId val="161778304"/>
        <c:scaling>
          <c:orientation val="minMax"/>
        </c:scaling>
        <c:delete val="0"/>
        <c:axPos val="l"/>
        <c:majorGridlines/>
        <c:title>
          <c:tx>
            <c:rich>
              <a:bodyPr rot="-5400000" vert="horz"/>
              <a:lstStyle/>
              <a:p>
                <a:pPr>
                  <a:defRPr/>
                </a:pPr>
                <a:r>
                  <a:rPr lang="en-US"/>
                  <a:t>Annual sales ($ mn)</a:t>
                </a:r>
              </a:p>
            </c:rich>
          </c:tx>
          <c:layout>
            <c:manualLayout>
              <c:xMode val="edge"/>
              <c:yMode val="edge"/>
              <c:x val="1.3778019554468312E-2"/>
              <c:y val="0.2494342373869933"/>
            </c:manualLayout>
          </c:layout>
          <c:overlay val="0"/>
        </c:title>
        <c:numFmt formatCode="_(&quot;$&quot;* #,##0_);_(&quot;$&quot;* \(#,##0\);_(&quot;$&quot;* &quot;-&quot;??_);_(@_)" sourceLinked="1"/>
        <c:majorTickMark val="out"/>
        <c:minorTickMark val="none"/>
        <c:tickLblPos val="nextTo"/>
        <c:crossAx val="161776768"/>
        <c:crosses val="autoZero"/>
        <c:crossBetween val="between"/>
      </c:valAx>
    </c:plotArea>
    <c:legend>
      <c:legendPos val="r"/>
      <c:layout>
        <c:manualLayout>
          <c:xMode val="edge"/>
          <c:yMode val="edge"/>
          <c:x val="0.23422636471739355"/>
          <c:y val="5.4944224120748078E-2"/>
          <c:w val="0.23393282918419811"/>
          <c:h val="0.2511515748031495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CloudAllOther!$A$111</c:f>
              <c:strCache>
                <c:ptCount val="1"/>
                <c:pt idx="0">
                  <c:v> 100G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CloudAllOther!$B$111:$L$111</c:f>
              <c:numCache>
                <c:formatCode>_(* #,##0_);_(* \(#,##0\);_(* "-"??_);_(@_)</c:formatCode>
                <c:ptCount val="11"/>
                <c:pt idx="0">
                  <c:v>5940.0005493837471</c:v>
                </c:pt>
                <c:pt idx="1">
                  <c:v>5824.3428799999965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7505-8847-B94A-1DDC5B30EAC1}"/>
            </c:ext>
          </c:extLst>
        </c:ser>
        <c:ser>
          <c:idx val="1"/>
          <c:order val="1"/>
          <c:tx>
            <c:strRef>
              <c:f>CloudAllOther!$A$112</c:f>
              <c:strCache>
                <c:ptCount val="1"/>
                <c:pt idx="0">
                  <c:v> 200G </c:v>
                </c:pt>
              </c:strCache>
            </c:strRef>
          </c:tx>
          <c:spPr>
            <a:ln>
              <a:solidFill>
                <a:srgbClr val="F79646"/>
              </a:solidFill>
            </a:ln>
          </c:spPr>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CloudAllOther!$B$112:$L$112</c:f>
              <c:numCache>
                <c:formatCode>_(* #,##0_);_(* \(#,##0\);_(* "-"??_);_(@_)</c:formatCode>
                <c:ptCount val="11"/>
                <c:pt idx="0">
                  <c:v>1621.2491803278708</c:v>
                </c:pt>
                <c:pt idx="1">
                  <c:v>4627.1874000000062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7505-8847-B94A-1DDC5B30EAC1}"/>
            </c:ext>
          </c:extLst>
        </c:ser>
        <c:ser>
          <c:idx val="4"/>
          <c:order val="2"/>
          <c:tx>
            <c:strRef>
              <c:f>CloudAllOther!$A$113</c:f>
              <c:strCache>
                <c:ptCount val="1"/>
                <c:pt idx="0">
                  <c:v> 400G </c:v>
                </c:pt>
              </c:strCache>
            </c:strRef>
          </c:tx>
          <c:spPr>
            <a:ln>
              <a:solidFill>
                <a:srgbClr val="C0504D"/>
              </a:solidFill>
            </a:ln>
          </c:spPr>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CloudAllOther!$B$113:$L$113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7505-8847-B94A-1DDC5B30EAC1}"/>
            </c:ext>
          </c:extLst>
        </c:ser>
        <c:ser>
          <c:idx val="2"/>
          <c:order val="3"/>
          <c:tx>
            <c:strRef>
              <c:f>CloudAllOther!$A$114</c:f>
              <c:strCache>
                <c:ptCount val="1"/>
                <c:pt idx="0">
                  <c:v> 600/800G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CloudAllOther!$B$114:$L$114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7505-8847-B94A-1DDC5B30EAC1}"/>
            </c:ext>
          </c:extLst>
        </c:ser>
        <c:ser>
          <c:idx val="3"/>
          <c:order val="4"/>
          <c:tx>
            <c:strRef>
              <c:f>CloudAllOther!$A$115</c:f>
              <c:strCache>
                <c:ptCount val="1"/>
                <c:pt idx="0">
                  <c:v> 1.2/1.6T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CloudAllOther!$B$115:$L$115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7505-8847-B94A-1DDC5B30EAC1}"/>
            </c:ext>
          </c:extLst>
        </c:ser>
        <c:dLbls>
          <c:showLegendKey val="0"/>
          <c:showVal val="0"/>
          <c:showCatName val="0"/>
          <c:showSerName val="0"/>
          <c:showPercent val="0"/>
          <c:showBubbleSize val="0"/>
        </c:dLbls>
        <c:smooth val="0"/>
        <c:axId val="85572224"/>
        <c:axId val="85574016"/>
      </c:lineChart>
      <c:catAx>
        <c:axId val="85572224"/>
        <c:scaling>
          <c:orientation val="minMax"/>
        </c:scaling>
        <c:delete val="0"/>
        <c:axPos val="b"/>
        <c:numFmt formatCode="General" sourceLinked="1"/>
        <c:majorTickMark val="out"/>
        <c:minorTickMark val="none"/>
        <c:tickLblPos val="nextTo"/>
        <c:crossAx val="85574016"/>
        <c:crosses val="autoZero"/>
        <c:auto val="1"/>
        <c:lblAlgn val="ctr"/>
        <c:lblOffset val="100"/>
        <c:noMultiLvlLbl val="0"/>
      </c:catAx>
      <c:valAx>
        <c:axId val="85574016"/>
        <c:scaling>
          <c:orientation val="minMax"/>
          <c:min val="0"/>
        </c:scaling>
        <c:delete val="0"/>
        <c:axPos val="l"/>
        <c:majorGridlines/>
        <c:title>
          <c:tx>
            <c:rich>
              <a:bodyPr rot="-5400000" vert="horz"/>
              <a:lstStyle/>
              <a:p>
                <a:pPr>
                  <a:defRPr/>
                </a:pPr>
                <a:r>
                  <a:rPr lang="en-US"/>
                  <a:t>Units consumed annually</a:t>
                </a:r>
              </a:p>
            </c:rich>
          </c:tx>
          <c:overlay val="0"/>
        </c:title>
        <c:numFmt formatCode="_(* #,##0_);_(* \(#,##0\);_(* &quot;-&quot;??_);_(@_)" sourceLinked="1"/>
        <c:majorTickMark val="out"/>
        <c:minorTickMark val="none"/>
        <c:tickLblPos val="nextTo"/>
        <c:crossAx val="85572224"/>
        <c:crosses val="autoZero"/>
        <c:crossBetween val="between"/>
      </c:valAx>
    </c:plotArea>
    <c:legend>
      <c:legendPos val="r"/>
      <c:layout>
        <c:manualLayout>
          <c:xMode val="edge"/>
          <c:yMode val="edge"/>
          <c:x val="0.20840364706938277"/>
          <c:y val="6.3886875732228968E-2"/>
          <c:w val="0.20224528062940428"/>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233610396052232"/>
          <c:y val="5.1400554097404488E-2"/>
          <c:w val="0.80852726404449415"/>
          <c:h val="0.8326195683872849"/>
        </c:manualLayout>
      </c:layout>
      <c:lineChart>
        <c:grouping val="standard"/>
        <c:varyColors val="0"/>
        <c:ser>
          <c:idx val="0"/>
          <c:order val="0"/>
          <c:tx>
            <c:strRef>
              <c:f>CloudAllOther!$A$102</c:f>
              <c:strCache>
                <c:ptCount val="1"/>
                <c:pt idx="0">
                  <c:v> 40G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CloudAllOther!$M$102:$W$102</c:f>
              <c:numCache>
                <c:formatCode>_("$"* #,##0_);_("$"* \(#,##0\);_("$"* "-"??_);_(@_)</c:formatCode>
                <c:ptCount val="11"/>
                <c:pt idx="0">
                  <c:v>231.17656924322591</c:v>
                </c:pt>
                <c:pt idx="1">
                  <c:v>242.3417080577851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1C2-F14C-8D81-590CEE4D626E}"/>
            </c:ext>
          </c:extLst>
        </c:ser>
        <c:ser>
          <c:idx val="1"/>
          <c:order val="1"/>
          <c:tx>
            <c:strRef>
              <c:f>CloudAllOther!$A$103</c:f>
              <c:strCache>
                <c:ptCount val="1"/>
                <c:pt idx="0">
                  <c:v> 100G </c:v>
                </c:pt>
              </c:strCache>
            </c:strRef>
          </c:tx>
          <c:spPr>
            <a:ln>
              <a:solidFill>
                <a:srgbClr val="F79646"/>
              </a:solidFill>
            </a:ln>
          </c:spPr>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CloudAllOther!$M$103:$W$103</c:f>
              <c:numCache>
                <c:formatCode>_("$"* #,##0_);_("$"* \(#,##0\);_("$"* "-"??_);_(@_)</c:formatCode>
                <c:ptCount val="11"/>
                <c:pt idx="0">
                  <c:v>369.64499076221944</c:v>
                </c:pt>
                <c:pt idx="1">
                  <c:v>325.38815552173736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1C2-F14C-8D81-590CEE4D626E}"/>
            </c:ext>
          </c:extLst>
        </c:ser>
        <c:ser>
          <c:idx val="4"/>
          <c:order val="2"/>
          <c:tx>
            <c:strRef>
              <c:f>CloudAllOther!$A$104</c:f>
              <c:strCache>
                <c:ptCount val="1"/>
                <c:pt idx="0">
                  <c:v> 200G </c:v>
                </c:pt>
              </c:strCache>
            </c:strRef>
          </c:tx>
          <c:spPr>
            <a:ln>
              <a:solidFill>
                <a:srgbClr val="C0504D"/>
              </a:solidFill>
            </a:ln>
          </c:spPr>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CloudAllOther!$M$104:$W$104</c:f>
              <c:numCache>
                <c:formatCode>_("$"* #,##0_);_("$"* \(#,##0\);_("$"* "-"??_);_(@_)</c:formatCode>
                <c:ptCount val="11"/>
                <c:pt idx="0">
                  <c:v>0</c:v>
                </c:pt>
                <c:pt idx="1">
                  <c:v>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1C2-F14C-8D81-590CEE4D626E}"/>
            </c:ext>
          </c:extLst>
        </c:ser>
        <c:ser>
          <c:idx val="2"/>
          <c:order val="3"/>
          <c:tx>
            <c:strRef>
              <c:f>CloudAllOther!$A$105</c:f>
              <c:strCache>
                <c:ptCount val="1"/>
                <c:pt idx="0">
                  <c:v> 400G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CloudAllOther!$M$105:$W$105</c:f>
              <c:numCache>
                <c:formatCode>_("$"* #,##0_);_("$"* \(#,##0\);_("$"* "-"??_);_(@_)</c:formatCode>
                <c:ptCount val="11"/>
                <c:pt idx="0">
                  <c:v>0</c:v>
                </c:pt>
                <c:pt idx="1">
                  <c:v>4.8069621551999842E-2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1C2-F14C-8D81-590CEE4D626E}"/>
            </c:ext>
          </c:extLst>
        </c:ser>
        <c:ser>
          <c:idx val="3"/>
          <c:order val="4"/>
          <c:tx>
            <c:strRef>
              <c:f>CloudAllOther!$A$106</c:f>
              <c:strCache>
                <c:ptCount val="1"/>
                <c:pt idx="0">
                  <c:v> 800G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CloudAllOther!$M$106:$W$106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1C2-F14C-8D81-590CEE4D626E}"/>
            </c:ext>
          </c:extLst>
        </c:ser>
        <c:ser>
          <c:idx val="5"/>
          <c:order val="5"/>
          <c:tx>
            <c:strRef>
              <c:f>CloudAllOther!$A$107</c:f>
              <c:strCache>
                <c:ptCount val="1"/>
                <c:pt idx="0">
                  <c:v> 1.6T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CloudAllOther!$M$107:$W$107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A1C2-F14C-8D81-590CEE4D626E}"/>
            </c:ext>
          </c:extLst>
        </c:ser>
        <c:dLbls>
          <c:showLegendKey val="0"/>
          <c:showVal val="0"/>
          <c:showCatName val="0"/>
          <c:showSerName val="0"/>
          <c:showPercent val="0"/>
          <c:showBubbleSize val="0"/>
        </c:dLbls>
        <c:smooth val="0"/>
        <c:axId val="85813888"/>
        <c:axId val="85815680"/>
      </c:lineChart>
      <c:catAx>
        <c:axId val="85813888"/>
        <c:scaling>
          <c:orientation val="minMax"/>
        </c:scaling>
        <c:delete val="0"/>
        <c:axPos val="b"/>
        <c:numFmt formatCode="General" sourceLinked="1"/>
        <c:majorTickMark val="out"/>
        <c:minorTickMark val="none"/>
        <c:tickLblPos val="nextTo"/>
        <c:crossAx val="85815680"/>
        <c:crosses val="autoZero"/>
        <c:auto val="1"/>
        <c:lblAlgn val="ctr"/>
        <c:lblOffset val="100"/>
        <c:noMultiLvlLbl val="0"/>
      </c:catAx>
      <c:valAx>
        <c:axId val="85815680"/>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2207938634023046E-2"/>
              <c:y val="0.26509441528142313"/>
            </c:manualLayout>
          </c:layout>
          <c:overlay val="0"/>
        </c:title>
        <c:numFmt formatCode="_(&quot;$&quot;* #,##0_);_(&quot;$&quot;* \(#,##0\);_(&quot;$&quot;* &quot;-&quot;??_);_(@_)" sourceLinked="1"/>
        <c:majorTickMark val="out"/>
        <c:minorTickMark val="none"/>
        <c:tickLblPos val="nextTo"/>
        <c:crossAx val="85813888"/>
        <c:crosses val="autoZero"/>
        <c:crossBetween val="between"/>
      </c:valAx>
    </c:plotArea>
    <c:legend>
      <c:legendPos val="r"/>
      <c:layout>
        <c:manualLayout>
          <c:xMode val="edge"/>
          <c:yMode val="edge"/>
          <c:x val="0.19723437113857212"/>
          <c:y val="6.3886701662292211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13363954505686"/>
          <c:y val="5.1400554097404488E-2"/>
          <c:w val="0.81674431321084862"/>
          <c:h val="0.8326195683872849"/>
        </c:manualLayout>
      </c:layout>
      <c:lineChart>
        <c:grouping val="standard"/>
        <c:varyColors val="0"/>
        <c:ser>
          <c:idx val="0"/>
          <c:order val="0"/>
          <c:tx>
            <c:strRef>
              <c:f>CloudAllOther!$A$111</c:f>
              <c:strCache>
                <c:ptCount val="1"/>
                <c:pt idx="0">
                  <c:v> 100G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CloudAllOther!$M$111:$W$111</c:f>
              <c:numCache>
                <c:formatCode>_("$"* #,##0_);_("$"* \(#,##0\);_("$"* "-"??_);_(@_)</c:formatCode>
                <c:ptCount val="11"/>
                <c:pt idx="0">
                  <c:v>46.911516045980342</c:v>
                </c:pt>
                <c:pt idx="1">
                  <c:v>36.22647827199998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EAA2-7549-A28B-42ED43334382}"/>
            </c:ext>
          </c:extLst>
        </c:ser>
        <c:ser>
          <c:idx val="1"/>
          <c:order val="1"/>
          <c:tx>
            <c:strRef>
              <c:f>CloudAllOther!$A$112</c:f>
              <c:strCache>
                <c:ptCount val="1"/>
                <c:pt idx="0">
                  <c:v> 200G </c:v>
                </c:pt>
              </c:strCache>
            </c:strRef>
          </c:tx>
          <c:spPr>
            <a:ln>
              <a:solidFill>
                <a:srgbClr val="F79646"/>
              </a:solidFill>
            </a:ln>
          </c:spPr>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CloudAllOther!$M$112:$W$112</c:f>
              <c:numCache>
                <c:formatCode>_("$"* #,##0_);_("$"* \(#,##0\);_("$"* "-"??_);_(@_)</c:formatCode>
                <c:ptCount val="11"/>
                <c:pt idx="0">
                  <c:v>12.911952608047708</c:v>
                </c:pt>
                <c:pt idx="1">
                  <c:v>27.816889483636402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EAA2-7549-A28B-42ED43334382}"/>
            </c:ext>
          </c:extLst>
        </c:ser>
        <c:ser>
          <c:idx val="4"/>
          <c:order val="2"/>
          <c:tx>
            <c:strRef>
              <c:f>CloudAllOther!$A$113</c:f>
              <c:strCache>
                <c:ptCount val="1"/>
                <c:pt idx="0">
                  <c:v> 400G </c:v>
                </c:pt>
              </c:strCache>
            </c:strRef>
          </c:tx>
          <c:spPr>
            <a:ln>
              <a:solidFill>
                <a:srgbClr val="C0504D"/>
              </a:solidFill>
            </a:ln>
          </c:spPr>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CloudAllOther!$M$113:$W$113</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EAA2-7549-A28B-42ED43334382}"/>
            </c:ext>
          </c:extLst>
        </c:ser>
        <c:ser>
          <c:idx val="2"/>
          <c:order val="3"/>
          <c:tx>
            <c:strRef>
              <c:f>CloudAllOther!$A$114</c:f>
              <c:strCache>
                <c:ptCount val="1"/>
                <c:pt idx="0">
                  <c:v> 600/800G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CloudAllOther!$M$114:$W$114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EAA2-7549-A28B-42ED43334382}"/>
            </c:ext>
          </c:extLst>
        </c:ser>
        <c:ser>
          <c:idx val="3"/>
          <c:order val="4"/>
          <c:tx>
            <c:strRef>
              <c:f>CloudAllOther!$A$115</c:f>
              <c:strCache>
                <c:ptCount val="1"/>
                <c:pt idx="0">
                  <c:v> 1.2/1.6T </c:v>
                </c:pt>
              </c:strCache>
            </c:strRef>
          </c:tx>
          <c:marker>
            <c:symbol val="none"/>
          </c:marker>
          <c:cat>
            <c:numRef>
              <c:f>CloudAllOther!$M$101:$W$101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CloudAllOther!$M$115:$W$115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EAA2-7549-A28B-42ED43334382}"/>
            </c:ext>
          </c:extLst>
        </c:ser>
        <c:dLbls>
          <c:showLegendKey val="0"/>
          <c:showVal val="0"/>
          <c:showCatName val="0"/>
          <c:showSerName val="0"/>
          <c:showPercent val="0"/>
          <c:showBubbleSize val="0"/>
        </c:dLbls>
        <c:smooth val="0"/>
        <c:axId val="85849600"/>
        <c:axId val="85851136"/>
      </c:lineChart>
      <c:catAx>
        <c:axId val="85849600"/>
        <c:scaling>
          <c:orientation val="minMax"/>
        </c:scaling>
        <c:delete val="0"/>
        <c:axPos val="b"/>
        <c:numFmt formatCode="General" sourceLinked="1"/>
        <c:majorTickMark val="out"/>
        <c:minorTickMark val="none"/>
        <c:tickLblPos val="nextTo"/>
        <c:crossAx val="85851136"/>
        <c:crosses val="autoZero"/>
        <c:auto val="1"/>
        <c:lblAlgn val="ctr"/>
        <c:lblOffset val="100"/>
        <c:noMultiLvlLbl val="0"/>
      </c:catAx>
      <c:valAx>
        <c:axId val="85851136"/>
        <c:scaling>
          <c:orientation val="minMax"/>
          <c:min val="0"/>
        </c:scaling>
        <c:delete val="0"/>
        <c:axPos val="l"/>
        <c:majorGridlines/>
        <c:title>
          <c:tx>
            <c:rich>
              <a:bodyPr rot="-5400000" vert="horz"/>
              <a:lstStyle/>
              <a:p>
                <a:pPr>
                  <a:defRPr/>
                </a:pPr>
                <a:r>
                  <a:rPr lang="en-US" sz="1000" b="1" i="0" u="none" strike="noStrike" kern="1200" baseline="0">
                    <a:solidFill>
                      <a:sysClr val="windowText" lastClr="000000"/>
                    </a:solidFill>
                    <a:latin typeface="+mn-lt"/>
                    <a:ea typeface="+mn-ea"/>
                    <a:cs typeface="+mn-cs"/>
                  </a:rPr>
                  <a:t>Annual sales ($ mn)</a:t>
                </a:r>
              </a:p>
            </c:rich>
          </c:tx>
          <c:layout>
            <c:manualLayout>
              <c:xMode val="edge"/>
              <c:yMode val="edge"/>
              <c:x val="1.8728346456692913E-2"/>
              <c:y val="0.26972404491105278"/>
            </c:manualLayout>
          </c:layout>
          <c:overlay val="0"/>
        </c:title>
        <c:numFmt formatCode="_(&quot;$&quot;* #,##0_);_(&quot;$&quot;* \(#,##0\);_(&quot;$&quot;* &quot;-&quot;??_);_(@_)" sourceLinked="1"/>
        <c:majorTickMark val="out"/>
        <c:minorTickMark val="none"/>
        <c:tickLblPos val="nextTo"/>
        <c:crossAx val="85849600"/>
        <c:crosses val="autoZero"/>
        <c:crossBetween val="between"/>
      </c:valAx>
    </c:plotArea>
    <c:legend>
      <c:legendPos val="r"/>
      <c:layout>
        <c:manualLayout>
          <c:xMode val="edge"/>
          <c:yMode val="edge"/>
          <c:x val="0.20840364706938277"/>
          <c:y val="6.3886875732228968E-2"/>
          <c:w val="0.26328390201224844"/>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Cloud segment</a:t>
            </a:r>
          </a:p>
        </c:rich>
      </c:tx>
      <c:layout>
        <c:manualLayout>
          <c:xMode val="edge"/>
          <c:yMode val="edge"/>
          <c:x val="0.32303160244634094"/>
          <c:y val="1.8535217344407291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CloudTotal!$A$134</c:f>
              <c:strCache>
                <c:ptCount val="1"/>
                <c:pt idx="0">
                  <c:v>Ethernet</c:v>
                </c:pt>
              </c:strCache>
            </c:strRef>
          </c:tx>
          <c:cat>
            <c:numRef>
              <c:f>CloudTotal!$C$134:$L$134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CloudTotal!$C$137:$L$137</c:f>
              <c:numCache>
                <c:formatCode>0%</c:formatCode>
                <c:ptCount val="10"/>
                <c:pt idx="0">
                  <c:v>1.2351269500344495</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CloudTotal!$A$139</c:f>
              <c:strCache>
                <c:ptCount val="1"/>
                <c:pt idx="0">
                  <c:v>DWDM</c:v>
                </c:pt>
              </c:strCache>
            </c:strRef>
          </c:tx>
          <c:marker>
            <c:symbol val="square"/>
            <c:size val="5"/>
          </c:marker>
          <c:cat>
            <c:numRef>
              <c:f>CloudTotal!$C$134:$L$134</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CloudTotal!$C$142:$L$142</c:f>
              <c:numCache>
                <c:formatCode>0%</c:formatCode>
                <c:ptCount val="10"/>
                <c:pt idx="0">
                  <c:v>1.4545648399289686</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123569664"/>
        <c:axId val="123571200"/>
      </c:lineChart>
      <c:catAx>
        <c:axId val="123569664"/>
        <c:scaling>
          <c:orientation val="minMax"/>
        </c:scaling>
        <c:delete val="0"/>
        <c:axPos val="b"/>
        <c:numFmt formatCode="General" sourceLinked="1"/>
        <c:majorTickMark val="out"/>
        <c:minorTickMark val="none"/>
        <c:tickLblPos val="nextTo"/>
        <c:crossAx val="123571200"/>
        <c:crosses val="autoZero"/>
        <c:auto val="1"/>
        <c:lblAlgn val="ctr"/>
        <c:lblOffset val="100"/>
        <c:noMultiLvlLbl val="0"/>
      </c:catAx>
      <c:valAx>
        <c:axId val="123571200"/>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123569664"/>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Telecom segment</a:t>
            </a:r>
          </a:p>
        </c:rich>
      </c:tx>
      <c:layout>
        <c:manualLayout>
          <c:xMode val="edge"/>
          <c:yMode val="edge"/>
          <c:x val="0.32303160244634094"/>
          <c:y val="1.8535217344407291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Telecom!$A$135</c:f>
              <c:strCache>
                <c:ptCount val="1"/>
                <c:pt idx="0">
                  <c:v>Ethernet</c:v>
                </c:pt>
              </c:strCache>
            </c:strRef>
          </c:tx>
          <c:cat>
            <c:numRef>
              <c:f>Telecom!$C$135:$L$135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Telecom!$C$138:$L$138</c:f>
              <c:numCache>
                <c:formatCode>0%</c:formatCode>
                <c:ptCount val="10"/>
                <c:pt idx="0">
                  <c:v>0.90167831433563528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Telecom!$A$140</c:f>
              <c:strCache>
                <c:ptCount val="1"/>
                <c:pt idx="0">
                  <c:v>DWDM</c:v>
                </c:pt>
              </c:strCache>
            </c:strRef>
          </c:tx>
          <c:marker>
            <c:symbol val="square"/>
            <c:size val="5"/>
          </c:marker>
          <c:cat>
            <c:numRef>
              <c:f>Telecom!$C$135:$L$135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Telecom!$C$143:$L$143</c:f>
              <c:numCache>
                <c:formatCode>0%</c:formatCode>
                <c:ptCount val="10"/>
                <c:pt idx="0">
                  <c:v>1.3788154418121574</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155458176"/>
        <c:axId val="155496832"/>
      </c:lineChart>
      <c:catAx>
        <c:axId val="155458176"/>
        <c:scaling>
          <c:orientation val="minMax"/>
        </c:scaling>
        <c:delete val="0"/>
        <c:axPos val="b"/>
        <c:numFmt formatCode="General" sourceLinked="1"/>
        <c:majorTickMark val="out"/>
        <c:minorTickMark val="none"/>
        <c:tickLblPos val="nextTo"/>
        <c:crossAx val="155496832"/>
        <c:crosses val="autoZero"/>
        <c:auto val="1"/>
        <c:lblAlgn val="ctr"/>
        <c:lblOffset val="100"/>
        <c:noMultiLvlLbl val="0"/>
      </c:catAx>
      <c:valAx>
        <c:axId val="155496832"/>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155458176"/>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en-US" sz="1800"/>
              <a:t>Enterprise segment</a:t>
            </a:r>
          </a:p>
        </c:rich>
      </c:tx>
      <c:layout>
        <c:manualLayout>
          <c:xMode val="edge"/>
          <c:yMode val="edge"/>
          <c:x val="0.28828740447893958"/>
          <c:y val="1.853530650804126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Enterprise!$A$135</c:f>
              <c:strCache>
                <c:ptCount val="1"/>
                <c:pt idx="0">
                  <c:v>Ethernet</c:v>
                </c:pt>
              </c:strCache>
            </c:strRef>
          </c:tx>
          <c:cat>
            <c:numRef>
              <c:f>Enterprise!$C$135:$L$135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Enterprise!$C$138:$L$138</c:f>
              <c:numCache>
                <c:formatCode>0%</c:formatCode>
                <c:ptCount val="10"/>
                <c:pt idx="0">
                  <c:v>0.78573162996203627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Enterprise!$A$140</c:f>
              <c:strCache>
                <c:ptCount val="1"/>
                <c:pt idx="0">
                  <c:v>DWDM</c:v>
                </c:pt>
              </c:strCache>
            </c:strRef>
          </c:tx>
          <c:marker>
            <c:symbol val="square"/>
            <c:size val="5"/>
          </c:marker>
          <c:cat>
            <c:numRef>
              <c:f>Enterprise!$C$135:$L$135</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Enterprise!$C$143:$L$143</c:f>
              <c:numCache>
                <c:formatCode>0%</c:formatCode>
                <c:ptCount val="10"/>
                <c:pt idx="0">
                  <c:v>1.0242784738320898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157834240"/>
        <c:axId val="157836032"/>
      </c:lineChart>
      <c:catAx>
        <c:axId val="157834240"/>
        <c:scaling>
          <c:orientation val="minMax"/>
        </c:scaling>
        <c:delete val="0"/>
        <c:axPos val="b"/>
        <c:numFmt formatCode="General" sourceLinked="1"/>
        <c:majorTickMark val="out"/>
        <c:minorTickMark val="none"/>
        <c:tickLblPos val="nextTo"/>
        <c:crossAx val="157836032"/>
        <c:crosses val="autoZero"/>
        <c:auto val="1"/>
        <c:lblAlgn val="ctr"/>
        <c:lblOffset val="100"/>
        <c:noMultiLvlLbl val="0"/>
      </c:catAx>
      <c:valAx>
        <c:axId val="157836032"/>
        <c:scaling>
          <c:orientation val="minMax"/>
        </c:scaling>
        <c:delete val="0"/>
        <c:axPos val="l"/>
        <c:majorGridlines/>
        <c:title>
          <c:tx>
            <c:rich>
              <a:bodyPr rot="-5400000" vert="horz"/>
              <a:lstStyle/>
              <a:p>
                <a:pPr>
                  <a:defRPr/>
                </a:pPr>
                <a:r>
                  <a:rPr lang="en-US"/>
                  <a:t>Growth in cumulative deployed bandwidth</a:t>
                </a:r>
              </a:p>
            </c:rich>
          </c:tx>
          <c:overlay val="0"/>
        </c:title>
        <c:numFmt formatCode="0%" sourceLinked="1"/>
        <c:majorTickMark val="out"/>
        <c:minorTickMark val="none"/>
        <c:tickLblPos val="nextTo"/>
        <c:crossAx val="157834240"/>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txPr>
    <a:bodyPr/>
    <a:lstStyle/>
    <a:p>
      <a:pPr>
        <a:defRPr sz="1000"/>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Market Total</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TotalMarket!$A$158</c:f>
              <c:strCache>
                <c:ptCount val="1"/>
                <c:pt idx="0">
                  <c:v>Ethernet</c:v>
                </c:pt>
              </c:strCache>
            </c:strRef>
          </c:tx>
          <c:cat>
            <c:numRef>
              <c:f>TotalMarket!$C$158:$L$158</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TotalMarket!$C$161:$L$161</c:f>
              <c:numCache>
                <c:formatCode>0%</c:formatCode>
                <c:ptCount val="10"/>
                <c:pt idx="0">
                  <c:v>0.39212607883261286</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TotalMarket!$A$163</c:f>
              <c:strCache>
                <c:ptCount val="1"/>
                <c:pt idx="0">
                  <c:v>DWDM</c:v>
                </c:pt>
              </c:strCache>
            </c:strRef>
          </c:tx>
          <c:marker>
            <c:symbol val="square"/>
            <c:size val="5"/>
          </c:marker>
          <c:cat>
            <c:numRef>
              <c:f>TotalMarket!$C$158:$L$158</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TotalMarket!$C$166:$L$166</c:f>
              <c:numCache>
                <c:formatCode>0%</c:formatCode>
                <c:ptCount val="10"/>
                <c:pt idx="0">
                  <c:v>0.53714589683157077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182923264"/>
        <c:axId val="182924800"/>
      </c:lineChart>
      <c:catAx>
        <c:axId val="182923264"/>
        <c:scaling>
          <c:orientation val="minMax"/>
        </c:scaling>
        <c:delete val="0"/>
        <c:axPos val="b"/>
        <c:numFmt formatCode="General" sourceLinked="1"/>
        <c:majorTickMark val="out"/>
        <c:minorTickMark val="none"/>
        <c:tickLblPos val="nextTo"/>
        <c:crossAx val="182924800"/>
        <c:crosses val="autoZero"/>
        <c:auto val="1"/>
        <c:lblAlgn val="ctr"/>
        <c:lblOffset val="100"/>
        <c:noMultiLvlLbl val="0"/>
      </c:catAx>
      <c:valAx>
        <c:axId val="182924800"/>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182923264"/>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2387279552476"/>
          <c:y val="0.11196959755030619"/>
          <c:w val="0.81711798910863276"/>
          <c:h val="0.7720505249343832"/>
        </c:manualLayout>
      </c:layout>
      <c:lineChart>
        <c:grouping val="standard"/>
        <c:varyColors val="0"/>
        <c:ser>
          <c:idx val="0"/>
          <c:order val="0"/>
          <c:tx>
            <c:strRef>
              <c:f>TotalMarket!$A$195</c:f>
              <c:strCache>
                <c:ptCount val="1"/>
                <c:pt idx="0">
                  <c:v>Ethernet AI </c:v>
                </c:pt>
              </c:strCache>
            </c:strRef>
          </c:tx>
          <c:cat>
            <c:numRef>
              <c:f>TotalMarket!$D$171:$L$171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TotalMarket!$D$195:$L$195</c:f>
              <c:numCache>
                <c:formatCode>_(* #,##0_);_(* \(#,##0\);_(* "-"??_);_(@_)</c:formatCode>
                <c:ptCount val="9"/>
                <c:pt idx="0">
                  <c:v>752054.2</c:v>
                </c:pt>
                <c:pt idx="1">
                  <c:v>2174856.0823999997</c:v>
                </c:pt>
                <c:pt idx="2">
                  <c:v>2539131.4270000001</c:v>
                </c:pt>
                <c:pt idx="3">
                  <c:v>4151977.2861620402</c:v>
                </c:pt>
                <c:pt idx="4">
                  <c:v>8019777.5202899314</c:v>
                </c:pt>
                <c:pt idx="5">
                  <c:v>13144490.533330735</c:v>
                </c:pt>
                <c:pt idx="6">
                  <c:v>16431755.421554403</c:v>
                </c:pt>
                <c:pt idx="7">
                  <c:v>18541013.283259448</c:v>
                </c:pt>
                <c:pt idx="8">
                  <c:v>21668860.971823141</c:v>
                </c:pt>
              </c:numCache>
            </c:numRef>
          </c:val>
          <c:smooth val="0"/>
          <c:extLst>
            <c:ext xmlns:c16="http://schemas.microsoft.com/office/drawing/2014/chart" uri="{C3380CC4-5D6E-409C-BE32-E72D297353CC}">
              <c16:uniqueId val="{00000000-E6D8-5748-8C07-DCB58B1E4D53}"/>
            </c:ext>
          </c:extLst>
        </c:ser>
        <c:ser>
          <c:idx val="1"/>
          <c:order val="1"/>
          <c:tx>
            <c:strRef>
              <c:f>TotalMarket!$A$197</c:f>
              <c:strCache>
                <c:ptCount val="1"/>
                <c:pt idx="0">
                  <c:v>Ethernet non-AI</c:v>
                </c:pt>
              </c:strCache>
            </c:strRef>
          </c:tx>
          <c:cat>
            <c:numRef>
              <c:f>TotalMarket!$D$171:$L$171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TotalMarket!$D$197:$L$197</c:f>
              <c:numCache>
                <c:formatCode>_(* #,##0_);_(* \(#,##0\);_(* "-"??_);_(@_)</c:formatCode>
                <c:ptCount val="9"/>
                <c:pt idx="0">
                  <c:v>-752054.2</c:v>
                </c:pt>
                <c:pt idx="1">
                  <c:v>-2174856.0823999997</c:v>
                </c:pt>
                <c:pt idx="2">
                  <c:v>-2539131.4270000001</c:v>
                </c:pt>
                <c:pt idx="3">
                  <c:v>-4151977.2861620402</c:v>
                </c:pt>
                <c:pt idx="4">
                  <c:v>-8019777.5202899314</c:v>
                </c:pt>
                <c:pt idx="5">
                  <c:v>-13144490.533330735</c:v>
                </c:pt>
                <c:pt idx="6">
                  <c:v>-16431755.421554403</c:v>
                </c:pt>
                <c:pt idx="7">
                  <c:v>-18541013.283259448</c:v>
                </c:pt>
                <c:pt idx="8">
                  <c:v>-21668860.971823141</c:v>
                </c:pt>
              </c:numCache>
            </c:numRef>
          </c:val>
          <c:smooth val="0"/>
          <c:extLst>
            <c:ext xmlns:c16="http://schemas.microsoft.com/office/drawing/2014/chart" uri="{C3380CC4-5D6E-409C-BE32-E72D297353CC}">
              <c16:uniqueId val="{00000001-E6D8-5748-8C07-DCB58B1E4D53}"/>
            </c:ext>
          </c:extLst>
        </c:ser>
        <c:dLbls>
          <c:showLegendKey val="0"/>
          <c:showVal val="0"/>
          <c:showCatName val="0"/>
          <c:showSerName val="0"/>
          <c:showPercent val="0"/>
          <c:showBubbleSize val="0"/>
        </c:dLbls>
        <c:marker val="1"/>
        <c:smooth val="0"/>
        <c:axId val="182947200"/>
        <c:axId val="182973568"/>
      </c:lineChart>
      <c:catAx>
        <c:axId val="182947200"/>
        <c:scaling>
          <c:orientation val="minMax"/>
        </c:scaling>
        <c:delete val="0"/>
        <c:axPos val="b"/>
        <c:numFmt formatCode="General" sourceLinked="1"/>
        <c:majorTickMark val="out"/>
        <c:minorTickMark val="none"/>
        <c:tickLblPos val="nextTo"/>
        <c:crossAx val="182973568"/>
        <c:crosses val="autoZero"/>
        <c:auto val="1"/>
        <c:lblAlgn val="ctr"/>
        <c:lblOffset val="100"/>
        <c:noMultiLvlLbl val="0"/>
      </c:catAx>
      <c:valAx>
        <c:axId val="182973568"/>
        <c:scaling>
          <c:orientation val="minMax"/>
        </c:scaling>
        <c:delete val="0"/>
        <c:axPos val="l"/>
        <c:majorGridlines/>
        <c:numFmt formatCode="_(* #,##0_);_(* \(#,##0\);_(* &quot;-&quot;??_);_(@_)" sourceLinked="1"/>
        <c:majorTickMark val="out"/>
        <c:minorTickMark val="none"/>
        <c:tickLblPos val="nextTo"/>
        <c:crossAx val="1829472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32387279552476"/>
          <c:y val="0.11196959755030619"/>
          <c:w val="0.81711798910863276"/>
          <c:h val="0.7720505249343832"/>
        </c:manualLayout>
      </c:layout>
      <c:barChart>
        <c:barDir val="col"/>
        <c:grouping val="stacked"/>
        <c:varyColors val="0"/>
        <c:ser>
          <c:idx val="0"/>
          <c:order val="0"/>
          <c:tx>
            <c:strRef>
              <c:f>TotalMarket!$A$195</c:f>
              <c:strCache>
                <c:ptCount val="1"/>
                <c:pt idx="0">
                  <c:v>Ethernet AI </c:v>
                </c:pt>
              </c:strCache>
            </c:strRef>
          </c:tx>
          <c:invertIfNegative val="0"/>
          <c:cat>
            <c:numRef>
              <c:f>TotalMarket!$O$171:$W$171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TotalMarket!$O$195:$W$195</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931-7048-8352-442747B910F2}"/>
            </c:ext>
          </c:extLst>
        </c:ser>
        <c:ser>
          <c:idx val="1"/>
          <c:order val="1"/>
          <c:tx>
            <c:strRef>
              <c:f>TotalMarket!$A$197</c:f>
              <c:strCache>
                <c:ptCount val="1"/>
                <c:pt idx="0">
                  <c:v>Ethernet non-AI</c:v>
                </c:pt>
              </c:strCache>
            </c:strRef>
          </c:tx>
          <c:invertIfNegative val="0"/>
          <c:cat>
            <c:numRef>
              <c:f>TotalMarket!$O$171:$W$171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TotalMarket!$O$197:$W$197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931-7048-8352-442747B910F2}"/>
            </c:ext>
          </c:extLst>
        </c:ser>
        <c:dLbls>
          <c:showLegendKey val="0"/>
          <c:showVal val="0"/>
          <c:showCatName val="0"/>
          <c:showSerName val="0"/>
          <c:showPercent val="0"/>
          <c:showBubbleSize val="0"/>
        </c:dLbls>
        <c:gapWidth val="150"/>
        <c:overlap val="100"/>
        <c:axId val="183056640"/>
        <c:axId val="183070720"/>
      </c:barChart>
      <c:catAx>
        <c:axId val="183056640"/>
        <c:scaling>
          <c:orientation val="minMax"/>
        </c:scaling>
        <c:delete val="0"/>
        <c:axPos val="b"/>
        <c:numFmt formatCode="General" sourceLinked="1"/>
        <c:majorTickMark val="out"/>
        <c:minorTickMark val="none"/>
        <c:tickLblPos val="nextTo"/>
        <c:crossAx val="183070720"/>
        <c:crosses val="autoZero"/>
        <c:auto val="1"/>
        <c:lblAlgn val="ctr"/>
        <c:lblOffset val="100"/>
        <c:noMultiLvlLbl val="0"/>
      </c:catAx>
      <c:valAx>
        <c:axId val="183070720"/>
        <c:scaling>
          <c:orientation val="minMax"/>
        </c:scaling>
        <c:delete val="0"/>
        <c:axPos val="l"/>
        <c:majorGridlines/>
        <c:title>
          <c:tx>
            <c:rich>
              <a:bodyPr rot="-5400000" vert="horz"/>
              <a:lstStyle/>
              <a:p>
                <a:pPr>
                  <a:defRPr/>
                </a:pPr>
                <a:r>
                  <a:rPr lang="en-US"/>
                  <a:t>Annual sales ($ mn)</a:t>
                </a:r>
              </a:p>
            </c:rich>
          </c:tx>
          <c:layout>
            <c:manualLayout>
              <c:xMode val="edge"/>
              <c:yMode val="edge"/>
              <c:x val="1.0046511039208289E-2"/>
              <c:y val="0.29537911927675709"/>
            </c:manualLayout>
          </c:layout>
          <c:overlay val="0"/>
        </c:title>
        <c:numFmt formatCode="_(&quot;$&quot;* #,##0_);_(&quot;$&quot;* \(#,##0\);_(&quot;$&quot;* &quot;-&quot;??_);_(@_)" sourceLinked="1"/>
        <c:majorTickMark val="out"/>
        <c:minorTickMark val="none"/>
        <c:tickLblPos val="nextTo"/>
        <c:crossAx val="18305664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01103259718505"/>
          <c:y val="5.1400554097404488E-2"/>
          <c:w val="0.58333519456264316"/>
          <c:h val="0.84296551472732573"/>
        </c:manualLayout>
      </c:layout>
      <c:lineChart>
        <c:grouping val="standard"/>
        <c:varyColors val="0"/>
        <c:ser>
          <c:idx val="0"/>
          <c:order val="0"/>
          <c:tx>
            <c:strRef>
              <c:f>TotalMarket!$A$129</c:f>
              <c:strCache>
                <c:ptCount val="1"/>
                <c:pt idx="0">
                  <c:v>40G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TotalMarket!$B$129:$L$129</c:f>
              <c:numCache>
                <c:formatCode>_(* #,##0_);_(* \(#,##0\);_(* "-"??_);_(@_)</c:formatCode>
                <c:ptCount val="11"/>
                <c:pt idx="0">
                  <c:v>3027900.7525500003</c:v>
                </c:pt>
                <c:pt idx="1">
                  <c:v>2689780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763-0F49-8C56-2CDBA6FE069B}"/>
            </c:ext>
          </c:extLst>
        </c:ser>
        <c:ser>
          <c:idx val="1"/>
          <c:order val="1"/>
          <c:tx>
            <c:strRef>
              <c:f>TotalMarket!$A$130</c:f>
              <c:strCache>
                <c:ptCount val="1"/>
                <c:pt idx="0">
                  <c:v>50G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TotalMarket!$B$130:$L$130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763-0F49-8C56-2CDBA6FE069B}"/>
            </c:ext>
          </c:extLst>
        </c:ser>
        <c:ser>
          <c:idx val="2"/>
          <c:order val="2"/>
          <c:tx>
            <c:strRef>
              <c:f>TotalMarket!$A$131</c:f>
              <c:strCache>
                <c:ptCount val="1"/>
                <c:pt idx="0">
                  <c:v>100G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TotalMarket!$B$131:$L$131</c:f>
              <c:numCache>
                <c:formatCode>_(* #,##0_);_(* \(#,##0\);_(* "-"??_);_(@_)</c:formatCode>
                <c:ptCount val="11"/>
                <c:pt idx="0">
                  <c:v>6187018.7366946787</c:v>
                </c:pt>
                <c:pt idx="1">
                  <c:v>7908341.8911414724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6763-0F49-8C56-2CDBA6FE069B}"/>
            </c:ext>
          </c:extLst>
        </c:ser>
        <c:ser>
          <c:idx val="3"/>
          <c:order val="3"/>
          <c:tx>
            <c:strRef>
              <c:f>TotalMarket!$A$132</c:f>
              <c:strCache>
                <c:ptCount val="1"/>
                <c:pt idx="0">
                  <c:v>200G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TotalMarket!$B$132:$L$132</c:f>
              <c:numCache>
                <c:formatCode>_(* #,##0_);_(* \(#,##0\);_(* "-"??_);_(@_)</c:formatCode>
                <c:ptCount val="11"/>
                <c:pt idx="0">
                  <c:v>1000</c:v>
                </c:pt>
                <c:pt idx="1">
                  <c:v>11072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6763-0F49-8C56-2CDBA6FE069B}"/>
            </c:ext>
          </c:extLst>
        </c:ser>
        <c:ser>
          <c:idx val="4"/>
          <c:order val="4"/>
          <c:tx>
            <c:strRef>
              <c:f>TotalMarket!$A$133</c:f>
              <c:strCache>
                <c:ptCount val="1"/>
                <c:pt idx="0">
                  <c:v>400G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TotalMarket!$B$133:$L$133</c:f>
              <c:numCache>
                <c:formatCode>_(* #,##0_);_(* \(#,##0\);_(* "-"??_);_(@_)</c:formatCode>
                <c:ptCount val="11"/>
                <c:pt idx="0">
                  <c:v>39000</c:v>
                </c:pt>
                <c:pt idx="1">
                  <c:v>146655.62637362638</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6763-0F49-8C56-2CDBA6FE069B}"/>
            </c:ext>
          </c:extLst>
        </c:ser>
        <c:ser>
          <c:idx val="5"/>
          <c:order val="5"/>
          <c:tx>
            <c:strRef>
              <c:f>TotalMarket!$A$134</c:f>
              <c:strCache>
                <c:ptCount val="1"/>
                <c:pt idx="0">
                  <c:v>800G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TotalMarket!$B$134:$L$134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6763-0F49-8C56-2CDBA6FE069B}"/>
            </c:ext>
          </c:extLst>
        </c:ser>
        <c:ser>
          <c:idx val="6"/>
          <c:order val="6"/>
          <c:tx>
            <c:strRef>
              <c:f>TotalMarket!$A$135</c:f>
              <c:strCache>
                <c:ptCount val="1"/>
                <c:pt idx="0">
                  <c:v>1.6T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TotalMarket!$B$135:$L$135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6763-0F49-8C56-2CDBA6FE069B}"/>
            </c:ext>
          </c:extLst>
        </c:ser>
        <c:dLbls>
          <c:showLegendKey val="0"/>
          <c:showVal val="0"/>
          <c:showCatName val="0"/>
          <c:showSerName val="0"/>
          <c:showPercent val="0"/>
          <c:showBubbleSize val="0"/>
        </c:dLbls>
        <c:marker val="1"/>
        <c:smooth val="0"/>
        <c:axId val="183119232"/>
        <c:axId val="183121024"/>
      </c:lineChart>
      <c:catAx>
        <c:axId val="183119232"/>
        <c:scaling>
          <c:orientation val="minMax"/>
        </c:scaling>
        <c:delete val="0"/>
        <c:axPos val="b"/>
        <c:numFmt formatCode="General" sourceLinked="1"/>
        <c:majorTickMark val="out"/>
        <c:minorTickMark val="none"/>
        <c:tickLblPos val="nextTo"/>
        <c:crossAx val="183121024"/>
        <c:crosses val="autoZero"/>
        <c:auto val="1"/>
        <c:lblAlgn val="ctr"/>
        <c:lblOffset val="100"/>
        <c:noMultiLvlLbl val="0"/>
      </c:catAx>
      <c:valAx>
        <c:axId val="183121024"/>
        <c:scaling>
          <c:orientation val="minMax"/>
        </c:scaling>
        <c:delete val="0"/>
        <c:axPos val="l"/>
        <c:majorGridlines/>
        <c:numFmt formatCode="_(* #,##0_);_(* \(#,##0\);_(* &quot;-&quot;??_);_(@_)" sourceLinked="1"/>
        <c:majorTickMark val="out"/>
        <c:minorTickMark val="none"/>
        <c:tickLblPos val="nextTo"/>
        <c:crossAx val="183119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5"/>
          <c:order val="0"/>
          <c:tx>
            <c:strRef>
              <c:f>'Figures in the Report'!$I$478</c:f>
              <c:strCache>
                <c:ptCount val="1"/>
                <c:pt idx="0">
                  <c:v>40G</c:v>
                </c:pt>
              </c:strCache>
            </c:strRef>
          </c:tx>
          <c:spPr>
            <a:ln>
              <a:solidFill>
                <a:srgbClr val="4BACC6">
                  <a:lumMod val="60000"/>
                  <a:lumOff val="40000"/>
                </a:srgbClr>
              </a:solidFill>
            </a:ln>
          </c:spPr>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Report'!$J$478:$T$478</c:f>
              <c:numCache>
                <c:formatCode>_-* #,##0_-;\-* #,##0_-;_-* "-"??_-;_-@_-</c:formatCode>
                <c:ptCount val="11"/>
                <c:pt idx="0">
                  <c:v>675278.92954499985</c:v>
                </c:pt>
                <c:pt idx="1">
                  <c:v>571191.08687</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E6E-0B43-B9B9-93BBE4D68549}"/>
            </c:ext>
          </c:extLst>
        </c:ser>
        <c:ser>
          <c:idx val="0"/>
          <c:order val="1"/>
          <c:tx>
            <c:strRef>
              <c:f>'Figures in the Report'!$I$479</c:f>
              <c:strCache>
                <c:ptCount val="1"/>
                <c:pt idx="0">
                  <c:v>100G</c:v>
                </c:pt>
              </c:strCache>
            </c:strRef>
          </c:tx>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Report'!$J$479:$T$479</c:f>
              <c:numCache>
                <c:formatCode>_-* #,##0_-;\-* #,##0_-;_-* "-"??_-;_-@_-</c:formatCode>
                <c:ptCount val="11"/>
                <c:pt idx="0">
                  <c:v>716318.84131205897</c:v>
                </c:pt>
                <c:pt idx="1">
                  <c:v>1278038.5754605003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BE6E-0B43-B9B9-93BBE4D68549}"/>
            </c:ext>
          </c:extLst>
        </c:ser>
        <c:ser>
          <c:idx val="1"/>
          <c:order val="2"/>
          <c:tx>
            <c:strRef>
              <c:f>'Figures in the Report'!$I$480</c:f>
              <c:strCache>
                <c:ptCount val="1"/>
                <c:pt idx="0">
                  <c:v>200G</c:v>
                </c:pt>
              </c:strCache>
            </c:strRef>
          </c:tx>
          <c:spPr>
            <a:ln>
              <a:solidFill>
                <a:srgbClr val="F79646"/>
              </a:solidFill>
            </a:ln>
          </c:spPr>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Report'!$J$480:$T$480</c:f>
              <c:numCache>
                <c:formatCode>_-* #,##0_-;\-* #,##0_-;_-* "-"??_-;_-@_-</c:formatCode>
                <c:ptCount val="11"/>
                <c:pt idx="0">
                  <c:v>500</c:v>
                </c:pt>
                <c:pt idx="1">
                  <c:v>4500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BE6E-0B43-B9B9-93BBE4D68549}"/>
            </c:ext>
          </c:extLst>
        </c:ser>
        <c:ser>
          <c:idx val="4"/>
          <c:order val="3"/>
          <c:tx>
            <c:strRef>
              <c:f>'Figures in the Report'!$I$481</c:f>
              <c:strCache>
                <c:ptCount val="1"/>
                <c:pt idx="0">
                  <c:v>400G</c:v>
                </c:pt>
              </c:strCache>
            </c:strRef>
          </c:tx>
          <c:spPr>
            <a:ln>
              <a:solidFill>
                <a:srgbClr val="C0504D"/>
              </a:solidFill>
            </a:ln>
          </c:spPr>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Report'!$J$481:$T$481</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BE6E-0B43-B9B9-93BBE4D68549}"/>
            </c:ext>
          </c:extLst>
        </c:ser>
        <c:ser>
          <c:idx val="2"/>
          <c:order val="4"/>
          <c:tx>
            <c:strRef>
              <c:f>'Figures in the Report'!$I$482</c:f>
              <c:strCache>
                <c:ptCount val="1"/>
                <c:pt idx="0">
                  <c:v>800G</c:v>
                </c:pt>
              </c:strCache>
            </c:strRef>
          </c:tx>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Report'!$J$482:$T$482</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BE6E-0B43-B9B9-93BBE4D68549}"/>
            </c:ext>
          </c:extLst>
        </c:ser>
        <c:ser>
          <c:idx val="3"/>
          <c:order val="5"/>
          <c:tx>
            <c:strRef>
              <c:f>'Figures in the Report'!$I$483</c:f>
              <c:strCache>
                <c:ptCount val="1"/>
                <c:pt idx="0">
                  <c:v>1.6T</c:v>
                </c:pt>
              </c:strCache>
            </c:strRef>
          </c:tx>
          <c:marker>
            <c:symbol val="none"/>
          </c:marker>
          <c:cat>
            <c:numRef>
              <c:f>'Figures in the Report'!$J$477:$T$477</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Report'!$J$483:$T$483</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5-BE6E-0B43-B9B9-93BBE4D68549}"/>
            </c:ext>
          </c:extLst>
        </c:ser>
        <c:dLbls>
          <c:showLegendKey val="0"/>
          <c:showVal val="0"/>
          <c:showCatName val="0"/>
          <c:showSerName val="0"/>
          <c:showPercent val="0"/>
          <c:showBubbleSize val="0"/>
        </c:dLbls>
        <c:smooth val="0"/>
        <c:axId val="174007040"/>
        <c:axId val="174009344"/>
      </c:lineChart>
      <c:catAx>
        <c:axId val="174007040"/>
        <c:scaling>
          <c:orientation val="minMax"/>
        </c:scaling>
        <c:delete val="0"/>
        <c:axPos val="b"/>
        <c:numFmt formatCode="General" sourceLinked="1"/>
        <c:majorTickMark val="out"/>
        <c:minorTickMark val="none"/>
        <c:tickLblPos val="nextTo"/>
        <c:crossAx val="174009344"/>
        <c:crosses val="autoZero"/>
        <c:auto val="1"/>
        <c:lblAlgn val="ctr"/>
        <c:lblOffset val="100"/>
        <c:noMultiLvlLbl val="0"/>
      </c:catAx>
      <c:valAx>
        <c:axId val="174009344"/>
        <c:scaling>
          <c:orientation val="minMax"/>
          <c:min val="0"/>
        </c:scaling>
        <c:delete val="0"/>
        <c:axPos val="l"/>
        <c:majorGridlines/>
        <c:title>
          <c:tx>
            <c:rich>
              <a:bodyPr rot="-5400000" vert="horz"/>
              <a:lstStyle/>
              <a:p>
                <a:pPr>
                  <a:defRPr/>
                </a:pPr>
                <a:r>
                  <a:rPr lang="en-US"/>
                  <a:t>Annual shipements (units)</a:t>
                </a:r>
              </a:p>
            </c:rich>
          </c:tx>
          <c:layout>
            <c:manualLayout>
              <c:xMode val="edge"/>
              <c:yMode val="edge"/>
              <c:x val="1.4427199414123881E-2"/>
              <c:y val="0.24876426547216013"/>
            </c:manualLayout>
          </c:layout>
          <c:overlay val="0"/>
        </c:title>
        <c:numFmt formatCode="_-* #,##0_-;\-* #,##0_-;_-* &quot;-&quot;??_-;_-@_-" sourceLinked="1"/>
        <c:majorTickMark val="out"/>
        <c:minorTickMark val="none"/>
        <c:tickLblPos val="nextTo"/>
        <c:crossAx val="174007040"/>
        <c:crosses val="autoZero"/>
        <c:crossBetween val="between"/>
      </c:valAx>
    </c:plotArea>
    <c:legend>
      <c:legendPos val="r"/>
      <c:layout>
        <c:manualLayout>
          <c:xMode val="edge"/>
          <c:yMode val="edge"/>
          <c:x val="0.20840364706938277"/>
          <c:y val="6.3886875732228968E-2"/>
          <c:w val="0.37720657419127285"/>
          <c:h val="0.18634735969915414"/>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6167230080002"/>
          <c:y val="5.1400554097404488E-2"/>
          <c:w val="0.5906845351478297"/>
          <c:h val="0.84296551472732573"/>
        </c:manualLayout>
      </c:layout>
      <c:lineChart>
        <c:grouping val="standard"/>
        <c:varyColors val="0"/>
        <c:ser>
          <c:idx val="0"/>
          <c:order val="0"/>
          <c:tx>
            <c:strRef>
              <c:f>TotalMarket!$A$129</c:f>
              <c:strCache>
                <c:ptCount val="1"/>
                <c:pt idx="0">
                  <c:v>40G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TotalMarket!$X$129:$AH$129</c:f>
              <c:numCache>
                <c:formatCode>_("$"* #,##0_);_("$"* \(#,##0\);_("$"* "-"??_);_(@_)</c:formatCode>
                <c:ptCount val="11"/>
                <c:pt idx="0">
                  <c:v>535.36466398751736</c:v>
                </c:pt>
                <c:pt idx="1">
                  <c:v>460.23701138546988</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049-794D-B44D-6EF1BB6FC891}"/>
            </c:ext>
          </c:extLst>
        </c:ser>
        <c:ser>
          <c:idx val="1"/>
          <c:order val="1"/>
          <c:tx>
            <c:strRef>
              <c:f>TotalMarket!$A$130</c:f>
              <c:strCache>
                <c:ptCount val="1"/>
                <c:pt idx="0">
                  <c:v>50G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TotalMarket!$X$130:$AH$130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5049-794D-B44D-6EF1BB6FC891}"/>
            </c:ext>
          </c:extLst>
        </c:ser>
        <c:ser>
          <c:idx val="2"/>
          <c:order val="2"/>
          <c:tx>
            <c:strRef>
              <c:f>TotalMarket!$A$131</c:f>
              <c:strCache>
                <c:ptCount val="1"/>
                <c:pt idx="0">
                  <c:v>100G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TotalMarket!$X$131:$AH$131</c:f>
              <c:numCache>
                <c:formatCode>_("$"* #,##0_);_("$"* \(#,##0\);_("$"* "-"??_);_(@_)</c:formatCode>
                <c:ptCount val="11"/>
                <c:pt idx="0">
                  <c:v>2155.6052671051739</c:v>
                </c:pt>
                <c:pt idx="1">
                  <c:v>1718.2936951694035</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049-794D-B44D-6EF1BB6FC891}"/>
            </c:ext>
          </c:extLst>
        </c:ser>
        <c:ser>
          <c:idx val="3"/>
          <c:order val="3"/>
          <c:tx>
            <c:strRef>
              <c:f>TotalMarket!$A$132</c:f>
              <c:strCache>
                <c:ptCount val="1"/>
                <c:pt idx="0">
                  <c:v>200G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TotalMarket!$X$132:$AH$132</c:f>
              <c:numCache>
                <c:formatCode>_("$"* #,##0_);_("$"* \(#,##0\);_("$"* "-"??_);_(@_)</c:formatCode>
                <c:ptCount val="11"/>
                <c:pt idx="0">
                  <c:v>1.1000000000000001</c:v>
                </c:pt>
                <c:pt idx="1">
                  <c:v>6.0945</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049-794D-B44D-6EF1BB6FC891}"/>
            </c:ext>
          </c:extLst>
        </c:ser>
        <c:ser>
          <c:idx val="4"/>
          <c:order val="4"/>
          <c:tx>
            <c:strRef>
              <c:f>TotalMarket!$A$133</c:f>
              <c:strCache>
                <c:ptCount val="1"/>
                <c:pt idx="0">
                  <c:v>400G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TotalMarket!$X$133:$AH$133</c:f>
              <c:numCache>
                <c:formatCode>_("$"* #,##0_);_("$"* \(#,##0\);_("$"* "-"??_);_(@_)</c:formatCode>
                <c:ptCount val="11"/>
                <c:pt idx="0">
                  <c:v>49.212000000000003</c:v>
                </c:pt>
                <c:pt idx="1">
                  <c:v>123.96396969718188</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5049-794D-B44D-6EF1BB6FC891}"/>
            </c:ext>
          </c:extLst>
        </c:ser>
        <c:ser>
          <c:idx val="5"/>
          <c:order val="5"/>
          <c:tx>
            <c:strRef>
              <c:f>TotalMarket!$A$134</c:f>
              <c:strCache>
                <c:ptCount val="1"/>
                <c:pt idx="0">
                  <c:v>800G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TotalMarket!$X$134:$AH$134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5049-794D-B44D-6EF1BB6FC891}"/>
            </c:ext>
          </c:extLst>
        </c:ser>
        <c:ser>
          <c:idx val="6"/>
          <c:order val="6"/>
          <c:tx>
            <c:strRef>
              <c:f>TotalMarket!$A$135</c:f>
              <c:strCache>
                <c:ptCount val="1"/>
                <c:pt idx="0">
                  <c:v>1.6T total_All_All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TotalMarket!$X$135:$AH$135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5049-794D-B44D-6EF1BB6FC891}"/>
            </c:ext>
          </c:extLst>
        </c:ser>
        <c:dLbls>
          <c:showLegendKey val="0"/>
          <c:showVal val="0"/>
          <c:showCatName val="0"/>
          <c:showSerName val="0"/>
          <c:showPercent val="0"/>
          <c:showBubbleSize val="0"/>
        </c:dLbls>
        <c:marker val="1"/>
        <c:smooth val="0"/>
        <c:axId val="183255424"/>
        <c:axId val="183256960"/>
      </c:lineChart>
      <c:catAx>
        <c:axId val="183255424"/>
        <c:scaling>
          <c:orientation val="minMax"/>
        </c:scaling>
        <c:delete val="0"/>
        <c:axPos val="b"/>
        <c:numFmt formatCode="General" sourceLinked="1"/>
        <c:majorTickMark val="out"/>
        <c:minorTickMark val="none"/>
        <c:tickLblPos val="nextTo"/>
        <c:crossAx val="183256960"/>
        <c:crosses val="autoZero"/>
        <c:auto val="1"/>
        <c:lblAlgn val="ctr"/>
        <c:lblOffset val="100"/>
        <c:noMultiLvlLbl val="0"/>
      </c:catAx>
      <c:valAx>
        <c:axId val="183256960"/>
        <c:scaling>
          <c:orientation val="minMax"/>
        </c:scaling>
        <c:delete val="0"/>
        <c:axPos val="l"/>
        <c:majorGridlines/>
        <c:title>
          <c:tx>
            <c:rich>
              <a:bodyPr rot="-5400000" vert="horz"/>
              <a:lstStyle/>
              <a:p>
                <a:pPr>
                  <a:defRPr/>
                </a:pPr>
                <a:r>
                  <a:rPr lang="en-US"/>
                  <a:t>Annual sales ($ mn)</a:t>
                </a:r>
              </a:p>
            </c:rich>
          </c:tx>
          <c:layout>
            <c:manualLayout>
              <c:xMode val="edge"/>
              <c:yMode val="edge"/>
              <c:x val="0"/>
              <c:y val="0.2931543218114685"/>
            </c:manualLayout>
          </c:layout>
          <c:overlay val="0"/>
        </c:title>
        <c:numFmt formatCode="_(&quot;$&quot;* #,##0_);_(&quot;$&quot;* \(#,##0\);_(&quot;$&quot;* &quot;-&quot;??_);_(@_)" sourceLinked="1"/>
        <c:majorTickMark val="out"/>
        <c:minorTickMark val="none"/>
        <c:tickLblPos val="nextTo"/>
        <c:crossAx val="183255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01103259718505"/>
          <c:y val="5.1400554097404488E-2"/>
          <c:w val="0.58333519456264316"/>
          <c:h val="0.84296551472732573"/>
        </c:manualLayout>
      </c:layout>
      <c:lineChart>
        <c:grouping val="standard"/>
        <c:varyColors val="0"/>
        <c:ser>
          <c:idx val="0"/>
          <c:order val="0"/>
          <c:tx>
            <c:strRef>
              <c:f>TotalMarket!$A$140</c:f>
              <c:strCache>
                <c:ptCount val="1"/>
                <c:pt idx="0">
                  <c:v>DWDM: 100G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TotalMarket!$B$140:$L$140</c:f>
              <c:numCache>
                <c:formatCode>_(* #,##0_);_(* \(#,##0\);_(* "-"??_);_(@_)</c:formatCode>
                <c:ptCount val="11"/>
                <c:pt idx="0">
                  <c:v>357000</c:v>
                </c:pt>
                <c:pt idx="1">
                  <c:v>345000.00000000006</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D1-3D43-8275-ED832AF48963}"/>
            </c:ext>
          </c:extLst>
        </c:ser>
        <c:ser>
          <c:idx val="1"/>
          <c:order val="1"/>
          <c:tx>
            <c:strRef>
              <c:f>TotalMarket!$A$141</c:f>
              <c:strCache>
                <c:ptCount val="1"/>
                <c:pt idx="0">
                  <c:v>DWDM: 200G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TotalMarket!$B$141:$L$141</c:f>
              <c:numCache>
                <c:formatCode>_(* #,##0_);_(* \(#,##0\);_(* "-"??_);_(@_)</c:formatCode>
                <c:ptCount val="11"/>
                <c:pt idx="0">
                  <c:v>122000</c:v>
                </c:pt>
                <c:pt idx="1">
                  <c:v>217000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0D1-3D43-8275-ED832AF48963}"/>
            </c:ext>
          </c:extLst>
        </c:ser>
        <c:ser>
          <c:idx val="2"/>
          <c:order val="2"/>
          <c:tx>
            <c:strRef>
              <c:f>TotalMarket!$A$142</c:f>
              <c:strCache>
                <c:ptCount val="1"/>
                <c:pt idx="0">
                  <c:v>DWDM: 400G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TotalMarket!$B$142:$L$142</c:f>
              <c:numCache>
                <c:formatCode>_(* #,##0_);_(* \(#,##0\);_(* "-"??_);_(@_)</c:formatCode>
                <c:ptCount val="11"/>
                <c:pt idx="0">
                  <c:v>17500</c:v>
                </c:pt>
                <c:pt idx="1">
                  <c:v>39000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10D1-3D43-8275-ED832AF48963}"/>
            </c:ext>
          </c:extLst>
        </c:ser>
        <c:ser>
          <c:idx val="3"/>
          <c:order val="3"/>
          <c:tx>
            <c:strRef>
              <c:f>TotalMarket!$A$143</c:f>
              <c:strCache>
                <c:ptCount val="1"/>
                <c:pt idx="0">
                  <c:v>DWDM: 600G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TotalMarket!$B$143:$L$143</c:f>
              <c:numCache>
                <c:formatCode>_(* #,##0_);_(* \(#,##0\);_(* "-"??_);_(@_)</c:formatCode>
                <c:ptCount val="11"/>
                <c:pt idx="0">
                  <c:v>0</c:v>
                </c:pt>
                <c:pt idx="1">
                  <c:v>82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10D1-3D43-8275-ED832AF48963}"/>
            </c:ext>
          </c:extLst>
        </c:ser>
        <c:ser>
          <c:idx val="4"/>
          <c:order val="4"/>
          <c:tx>
            <c:strRef>
              <c:f>TotalMarket!$A$144</c:f>
              <c:strCache>
                <c:ptCount val="1"/>
                <c:pt idx="0">
                  <c:v>DWDM: 800G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TotalMarket!$B$144:$L$144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10D1-3D43-8275-ED832AF48963}"/>
            </c:ext>
          </c:extLst>
        </c:ser>
        <c:ser>
          <c:idx val="5"/>
          <c:order val="5"/>
          <c:tx>
            <c:strRef>
              <c:f>TotalMarket!$A$145</c:f>
              <c:strCache>
                <c:ptCount val="1"/>
                <c:pt idx="0">
                  <c:v>DWDM: 1.2T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TotalMarket!$B$145:$L$145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10D1-3D43-8275-ED832AF48963}"/>
            </c:ext>
          </c:extLst>
        </c:ser>
        <c:ser>
          <c:idx val="6"/>
          <c:order val="6"/>
          <c:tx>
            <c:strRef>
              <c:f>TotalMarket!$A$146</c:f>
              <c:strCache>
                <c:ptCount val="1"/>
                <c:pt idx="0">
                  <c:v>DWDM: 1.6T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TotalMarket!$B$146:$L$146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10D1-3D43-8275-ED832AF48963}"/>
            </c:ext>
          </c:extLst>
        </c:ser>
        <c:dLbls>
          <c:showLegendKey val="0"/>
          <c:showVal val="0"/>
          <c:showCatName val="0"/>
          <c:showSerName val="0"/>
          <c:showPercent val="0"/>
          <c:showBubbleSize val="0"/>
        </c:dLbls>
        <c:marker val="1"/>
        <c:smooth val="0"/>
        <c:axId val="183326592"/>
        <c:axId val="183328128"/>
      </c:lineChart>
      <c:catAx>
        <c:axId val="183326592"/>
        <c:scaling>
          <c:orientation val="minMax"/>
        </c:scaling>
        <c:delete val="0"/>
        <c:axPos val="b"/>
        <c:numFmt formatCode="General" sourceLinked="1"/>
        <c:majorTickMark val="out"/>
        <c:minorTickMark val="none"/>
        <c:tickLblPos val="nextTo"/>
        <c:crossAx val="183328128"/>
        <c:crosses val="autoZero"/>
        <c:auto val="1"/>
        <c:lblAlgn val="ctr"/>
        <c:lblOffset val="100"/>
        <c:noMultiLvlLbl val="0"/>
      </c:catAx>
      <c:valAx>
        <c:axId val="183328128"/>
        <c:scaling>
          <c:orientation val="minMax"/>
        </c:scaling>
        <c:delete val="0"/>
        <c:axPos val="l"/>
        <c:majorGridlines/>
        <c:numFmt formatCode="_(* #,##0_);_(* \(#,##0\);_(* &quot;-&quot;??_);_(@_)" sourceLinked="1"/>
        <c:majorTickMark val="out"/>
        <c:minorTickMark val="none"/>
        <c:tickLblPos val="nextTo"/>
        <c:crossAx val="1833265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6167230080002"/>
          <c:y val="5.1400554097404488E-2"/>
          <c:w val="0.5906845351478297"/>
          <c:h val="0.84296551472732573"/>
        </c:manualLayout>
      </c:layout>
      <c:lineChart>
        <c:grouping val="standard"/>
        <c:varyColors val="0"/>
        <c:ser>
          <c:idx val="0"/>
          <c:order val="0"/>
          <c:tx>
            <c:strRef>
              <c:f>TotalMarket!$A$140</c:f>
              <c:strCache>
                <c:ptCount val="1"/>
                <c:pt idx="0">
                  <c:v>DWDM: 100G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TotalMarket!$X$140:$AH$140</c:f>
              <c:numCache>
                <c:formatCode>_("$"* #,##0_);_("$"* \(#,##0\);_("$"* "-"??_);_(@_)</c:formatCode>
                <c:ptCount val="11"/>
                <c:pt idx="0">
                  <c:v>2559.9320099999995</c:v>
                </c:pt>
                <c:pt idx="1">
                  <c:v>1881.344966666667</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51B-1446-A03A-D8E7CABCF2CB}"/>
            </c:ext>
          </c:extLst>
        </c:ser>
        <c:ser>
          <c:idx val="1"/>
          <c:order val="1"/>
          <c:tx>
            <c:strRef>
              <c:f>TotalMarket!$A$141</c:f>
              <c:strCache>
                <c:ptCount val="1"/>
                <c:pt idx="0">
                  <c:v>DWDM: 200G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TotalMarket!$X$141:$AH$141</c:f>
              <c:numCache>
                <c:formatCode>_("$"* #,##0_);_("$"* \(#,##0\);_("$"* "-"??_);_(@_)</c:formatCode>
                <c:ptCount val="11"/>
                <c:pt idx="0">
                  <c:v>923.95152727272739</c:v>
                </c:pt>
                <c:pt idx="1">
                  <c:v>1231.1956727272725</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951B-1446-A03A-D8E7CABCF2CB}"/>
            </c:ext>
          </c:extLst>
        </c:ser>
        <c:ser>
          <c:idx val="2"/>
          <c:order val="2"/>
          <c:tx>
            <c:strRef>
              <c:f>TotalMarket!$A$142</c:f>
              <c:strCache>
                <c:ptCount val="1"/>
                <c:pt idx="0">
                  <c:v>DWDM: 400G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TotalMarket!$X$142:$AH$142</c:f>
              <c:numCache>
                <c:formatCode>_("$"* #,##0_);_("$"* \(#,##0\);_("$"* "-"??_);_(@_)</c:formatCode>
                <c:ptCount val="11"/>
                <c:pt idx="0">
                  <c:v>0</c:v>
                </c:pt>
                <c:pt idx="1">
                  <c:v>339.76545454545453</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951B-1446-A03A-D8E7CABCF2CB}"/>
            </c:ext>
          </c:extLst>
        </c:ser>
        <c:ser>
          <c:idx val="3"/>
          <c:order val="3"/>
          <c:tx>
            <c:strRef>
              <c:f>TotalMarket!$A$143</c:f>
              <c:strCache>
                <c:ptCount val="1"/>
                <c:pt idx="0">
                  <c:v>DWDM: 600G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TotalMarket!$X$143:$AH$143</c:f>
              <c:numCache>
                <c:formatCode>_("$"* #,##0_);_("$"* \(#,##0\);_("$"* "-"??_);_(@_)</c:formatCode>
                <c:ptCount val="11"/>
                <c:pt idx="0">
                  <c:v>0</c:v>
                </c:pt>
                <c:pt idx="1">
                  <c:v>0.82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951B-1446-A03A-D8E7CABCF2CB}"/>
            </c:ext>
          </c:extLst>
        </c:ser>
        <c:ser>
          <c:idx val="4"/>
          <c:order val="4"/>
          <c:tx>
            <c:strRef>
              <c:f>TotalMarket!$A$144</c:f>
              <c:strCache>
                <c:ptCount val="1"/>
                <c:pt idx="0">
                  <c:v>DWDM: 800G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TotalMarket!$X$144:$AH$144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951B-1446-A03A-D8E7CABCF2CB}"/>
            </c:ext>
          </c:extLst>
        </c:ser>
        <c:ser>
          <c:idx val="5"/>
          <c:order val="5"/>
          <c:tx>
            <c:strRef>
              <c:f>TotalMarket!$A$145</c:f>
              <c:strCache>
                <c:ptCount val="1"/>
                <c:pt idx="0">
                  <c:v>DWDM: 1.2T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TotalMarket!$X$145:$AH$145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5-951B-1446-A03A-D8E7CABCF2CB}"/>
            </c:ext>
          </c:extLst>
        </c:ser>
        <c:ser>
          <c:idx val="6"/>
          <c:order val="6"/>
          <c:tx>
            <c:strRef>
              <c:f>TotalMarket!$A$146</c:f>
              <c:strCache>
                <c:ptCount val="1"/>
                <c:pt idx="0">
                  <c:v>DWDM: 1.6T All</c:v>
                </c:pt>
              </c:strCache>
            </c:strRef>
          </c:tx>
          <c:cat>
            <c:numRef>
              <c:f>TotalMarket!$B$158:$L$158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TotalMarket!$X$146:$AH$146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951B-1446-A03A-D8E7CABCF2CB}"/>
            </c:ext>
          </c:extLst>
        </c:ser>
        <c:dLbls>
          <c:showLegendKey val="0"/>
          <c:showVal val="0"/>
          <c:showCatName val="0"/>
          <c:showSerName val="0"/>
          <c:showPercent val="0"/>
          <c:showBubbleSize val="0"/>
        </c:dLbls>
        <c:marker val="1"/>
        <c:smooth val="0"/>
        <c:axId val="183388416"/>
        <c:axId val="183414784"/>
      </c:lineChart>
      <c:catAx>
        <c:axId val="183388416"/>
        <c:scaling>
          <c:orientation val="minMax"/>
        </c:scaling>
        <c:delete val="0"/>
        <c:axPos val="b"/>
        <c:numFmt formatCode="General" sourceLinked="1"/>
        <c:majorTickMark val="out"/>
        <c:minorTickMark val="none"/>
        <c:tickLblPos val="nextTo"/>
        <c:crossAx val="183414784"/>
        <c:crosses val="autoZero"/>
        <c:auto val="1"/>
        <c:lblAlgn val="ctr"/>
        <c:lblOffset val="100"/>
        <c:noMultiLvlLbl val="0"/>
      </c:catAx>
      <c:valAx>
        <c:axId val="183414784"/>
        <c:scaling>
          <c:orientation val="minMax"/>
        </c:scaling>
        <c:delete val="0"/>
        <c:axPos val="l"/>
        <c:majorGridlines/>
        <c:title>
          <c:tx>
            <c:rich>
              <a:bodyPr rot="-5400000" vert="horz"/>
              <a:lstStyle/>
              <a:p>
                <a:pPr>
                  <a:defRPr/>
                </a:pPr>
                <a:r>
                  <a:rPr lang="en-US"/>
                  <a:t>Annual sales ($ mn)</a:t>
                </a:r>
              </a:p>
            </c:rich>
          </c:tx>
          <c:layout>
            <c:manualLayout>
              <c:xMode val="edge"/>
              <c:yMode val="edge"/>
              <c:x val="0"/>
              <c:y val="0.2931543218114685"/>
            </c:manualLayout>
          </c:layout>
          <c:overlay val="0"/>
        </c:title>
        <c:numFmt formatCode="_(&quot;$&quot;* #,##0_);_(&quot;$&quot;* \(#,##0\);_(&quot;$&quot;* &quot;-&quot;??_);_(@_)" sourceLinked="1"/>
        <c:majorTickMark val="out"/>
        <c:minorTickMark val="none"/>
        <c:tickLblPos val="nextTo"/>
        <c:crossAx val="183388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Cost per Gbps </a:t>
            </a:r>
          </a:p>
          <a:p>
            <a:pPr>
              <a:defRPr/>
            </a:pPr>
            <a:r>
              <a:rPr lang="en-US" sz="1400" b="0"/>
              <a:t>(average of all data rates)</a:t>
            </a:r>
          </a:p>
        </c:rich>
      </c:tx>
      <c:overlay val="0"/>
    </c:title>
    <c:autoTitleDeleted val="0"/>
    <c:plotArea>
      <c:layout>
        <c:manualLayout>
          <c:layoutTarget val="inner"/>
          <c:xMode val="edge"/>
          <c:yMode val="edge"/>
          <c:x val="8.3353493536322182E-2"/>
          <c:y val="0.19524199109819165"/>
          <c:w val="0.90502481288677838"/>
          <c:h val="0.69541311512867143"/>
        </c:manualLayout>
      </c:layout>
      <c:lineChart>
        <c:grouping val="standard"/>
        <c:varyColors val="0"/>
        <c:ser>
          <c:idx val="0"/>
          <c:order val="0"/>
          <c:tx>
            <c:strRef>
              <c:f>CostperGbps!$D$37:$V$37</c:f>
              <c:strCache>
                <c:ptCount val="19"/>
                <c:pt idx="0">
                  <c:v> $19 </c:v>
                </c:pt>
                <c:pt idx="1">
                  <c:v> $12.5 </c:v>
                </c:pt>
                <c:pt idx="2">
                  <c:v> $11.2 </c:v>
                </c:pt>
                <c:pt idx="3">
                  <c:v> $9.3 </c:v>
                </c:pt>
                <c:pt idx="4">
                  <c:v> $7.2 </c:v>
                </c:pt>
                <c:pt idx="5">
                  <c:v> $6.6 </c:v>
                </c:pt>
                <c:pt idx="6">
                  <c:v> $6.4 </c:v>
                </c:pt>
                <c:pt idx="7">
                  <c:v> $4.8 </c:v>
                </c:pt>
                <c:pt idx="8">
                  <c:v> $3.5 </c:v>
                </c:pt>
                <c:pt idx="9">
                  <c:v> $2.4 </c:v>
                </c:pt>
                <c:pt idx="10">
                  <c:v> #DIV/0! </c:v>
                </c:pt>
                <c:pt idx="11">
                  <c:v> #DIV/0! </c:v>
                </c:pt>
                <c:pt idx="12">
                  <c:v> #DIV/0! </c:v>
                </c:pt>
                <c:pt idx="13">
                  <c:v> #DIV/0! </c:v>
                </c:pt>
                <c:pt idx="14">
                  <c:v> #DIV/0! </c:v>
                </c:pt>
                <c:pt idx="15">
                  <c:v> #DIV/0! </c:v>
                </c:pt>
                <c:pt idx="16">
                  <c:v> #DIV/0! </c:v>
                </c:pt>
                <c:pt idx="17">
                  <c:v> #DIV/0! </c:v>
                </c:pt>
                <c:pt idx="18">
                  <c:v> #DIV/0! </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CostperGbps!$D$37:$V$37</c:f>
              <c:numCache>
                <c:formatCode>_("$"* #,##0.0_);_("$"* \(#,##0.0\);_("$"* "-"??_);_(@_)</c:formatCode>
                <c:ptCount val="19"/>
                <c:pt idx="0" formatCode="_(&quot;$&quot;* #,##0_);_(&quot;$&quot;* \(#,##0\);_(&quot;$&quot;* &quot;-&quot;??_);_(@_)">
                  <c:v>18.659177244454714</c:v>
                </c:pt>
                <c:pt idx="1">
                  <c:v>12.491157998353826</c:v>
                </c:pt>
                <c:pt idx="2">
                  <c:v>11.206910619233915</c:v>
                </c:pt>
                <c:pt idx="3">
                  <c:v>9.2919679279757297</c:v>
                </c:pt>
                <c:pt idx="4">
                  <c:v>7.2488549734174947</c:v>
                </c:pt>
                <c:pt idx="5">
                  <c:v>6.6238891591280309</c:v>
                </c:pt>
                <c:pt idx="6">
                  <c:v>6.4437661546773315</c:v>
                </c:pt>
                <c:pt idx="7">
                  <c:v>4.8406816696633035</c:v>
                </c:pt>
                <c:pt idx="8">
                  <c:v>3.4503271808260991</c:v>
                </c:pt>
                <c:pt idx="9">
                  <c:v>2.3664260454537249</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7BF3-A94D-AA6A-44EFFFB8AC0C}"/>
            </c:ext>
          </c:extLst>
        </c:ser>
        <c:dLbls>
          <c:showLegendKey val="0"/>
          <c:showVal val="0"/>
          <c:showCatName val="0"/>
          <c:showSerName val="0"/>
          <c:showPercent val="0"/>
          <c:showBubbleSize val="0"/>
        </c:dLbls>
        <c:marker val="1"/>
        <c:smooth val="0"/>
        <c:axId val="183485184"/>
        <c:axId val="183486720"/>
      </c:lineChart>
      <c:catAx>
        <c:axId val="183485184"/>
        <c:scaling>
          <c:orientation val="minMax"/>
        </c:scaling>
        <c:delete val="0"/>
        <c:axPos val="b"/>
        <c:numFmt formatCode="General" sourceLinked="1"/>
        <c:majorTickMark val="out"/>
        <c:minorTickMark val="none"/>
        <c:tickLblPos val="nextTo"/>
        <c:crossAx val="183486720"/>
        <c:crosses val="autoZero"/>
        <c:auto val="1"/>
        <c:lblAlgn val="ctr"/>
        <c:lblOffset val="100"/>
        <c:noMultiLvlLbl val="0"/>
      </c:catAx>
      <c:valAx>
        <c:axId val="183486720"/>
        <c:scaling>
          <c:orientation val="minMax"/>
        </c:scaling>
        <c:delete val="0"/>
        <c:axPos val="l"/>
        <c:majorGridlines/>
        <c:numFmt formatCode="_(&quot;$&quot;* #,##0_);_(&quot;$&quot;* \(#,##0\);_(&quot;$&quot;* &quot;-&quot;_);_(@_)" sourceLinked="0"/>
        <c:majorTickMark val="out"/>
        <c:minorTickMark val="none"/>
        <c:tickLblPos val="nextTo"/>
        <c:crossAx val="183485184"/>
        <c:crosses val="autoZero"/>
        <c:crossBetween val="between"/>
      </c:valAx>
    </c:plotArea>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Cost per Gbps </a:t>
            </a:r>
          </a:p>
          <a:p>
            <a:pPr>
              <a:defRPr/>
            </a:pPr>
            <a:r>
              <a:rPr lang="en-US" sz="1400" b="0"/>
              <a:t>(by speed)</a:t>
            </a:r>
          </a:p>
        </c:rich>
      </c:tx>
      <c:overlay val="0"/>
    </c:title>
    <c:autoTitleDeleted val="0"/>
    <c:plotArea>
      <c:layout>
        <c:manualLayout>
          <c:layoutTarget val="inner"/>
          <c:xMode val="edge"/>
          <c:yMode val="edge"/>
          <c:x val="8.3353493536322182E-2"/>
          <c:y val="0.19524199109819165"/>
          <c:w val="0.90502481288677838"/>
          <c:h val="0.69541311512867143"/>
        </c:manualLayout>
      </c:layout>
      <c:lineChart>
        <c:grouping val="standard"/>
        <c:varyColors val="0"/>
        <c:ser>
          <c:idx val="0"/>
          <c:order val="0"/>
          <c:tx>
            <c:strRef>
              <c:f>CostperGbps!$C$26</c:f>
              <c:strCache>
                <c:ptCount val="1"/>
                <c:pt idx="0">
                  <c:v>1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CostperGbps!$D$26:$V$26</c:f>
              <c:numCache>
                <c:formatCode>_("$"* #,##0_);_("$"* \(#,##0\);_("$"* "-"??_);_(@_)</c:formatCode>
                <c:ptCount val="19"/>
                <c:pt idx="0">
                  <c:v>22.693702827821532</c:v>
                </c:pt>
                <c:pt idx="1">
                  <c:v>19.293096563473824</c:v>
                </c:pt>
                <c:pt idx="2">
                  <c:v>18.103114071743498</c:v>
                </c:pt>
                <c:pt idx="3">
                  <c:v>16.178886053917275</c:v>
                </c:pt>
                <c:pt idx="4">
                  <c:v>14.755270803079455</c:v>
                </c:pt>
                <c:pt idx="5">
                  <c:v>14.157915068774409</c:v>
                </c:pt>
                <c:pt idx="6">
                  <c:v>11.362900504713087</c:v>
                </c:pt>
                <c:pt idx="7">
                  <c:v>9.8128791971601554</c:v>
                </c:pt>
                <c:pt idx="8" formatCode="_(&quot;$&quot;* #,##0.0_);_(&quot;$&quot;* \(#,##0.0\);_(&quot;$&quot;* &quot;-&quot;??_);_(@_)">
                  <c:v>9.1996642661233263</c:v>
                </c:pt>
                <c:pt idx="9" formatCode="_(&quot;$&quot;* #,##0.0_);_(&quot;$&quot;* \(#,##0.0\);_(&quot;$&quot;* &quot;-&quot;??_);_(@_)">
                  <c:v>7.6635049305225342</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0-7BF3-A94D-AA6A-44EFFFB8AC0C}"/>
            </c:ext>
          </c:extLst>
        </c:ser>
        <c:ser>
          <c:idx val="1"/>
          <c:order val="1"/>
          <c:tx>
            <c:strRef>
              <c:f>CostperGbps!$C$27</c:f>
              <c:strCache>
                <c:ptCount val="1"/>
                <c:pt idx="0">
                  <c:v>10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CostperGbps!$D$27:$V$27</c:f>
              <c:numCache>
                <c:formatCode>_("$"* #,##0_);_("$"* \(#,##0\);_("$"* "-"??_);_(@_)</c:formatCode>
                <c:ptCount val="19"/>
                <c:pt idx="0">
                  <c:v>9.8825247570260242</c:v>
                </c:pt>
                <c:pt idx="1">
                  <c:v>7.5412691899358517</c:v>
                </c:pt>
                <c:pt idx="2">
                  <c:v>6.7189149239794101</c:v>
                </c:pt>
                <c:pt idx="3">
                  <c:v>5.2861169818853488</c:v>
                </c:pt>
                <c:pt idx="4">
                  <c:v>4.5280339113800467</c:v>
                </c:pt>
                <c:pt idx="5">
                  <c:v>3.897031950093071</c:v>
                </c:pt>
                <c:pt idx="6">
                  <c:v>3.1803504158563904</c:v>
                </c:pt>
                <c:pt idx="7">
                  <c:v>2.439730741307288</c:v>
                </c:pt>
                <c:pt idx="8" formatCode="_(&quot;$&quot;* #,##0.0_);_(&quot;$&quot;* \(#,##0.0\);_(&quot;$&quot;* &quot;-&quot;??_);_(@_)">
                  <c:v>2.2775445542303081</c:v>
                </c:pt>
                <c:pt idx="9" formatCode="_(&quot;$&quot;* #,##0.0_);_(&quot;$&quot;* \(#,##0.0\);_(&quot;$&quot;* &quot;-&quot;??_);_(@_)">
                  <c:v>1.7765333234809133</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0-6805-1C47-A237-A1870FDBA34B}"/>
            </c:ext>
          </c:extLst>
        </c:ser>
        <c:ser>
          <c:idx val="2"/>
          <c:order val="2"/>
          <c:tx>
            <c:strRef>
              <c:f>CostperGbps!$C$28</c:f>
              <c:strCache>
                <c:ptCount val="1"/>
                <c:pt idx="0">
                  <c:v>25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CostperGbps!$D$28:$V$28</c:f>
              <c:numCache>
                <c:formatCode>_("$"* #,##0_);_("$"* \(#,##0\);_("$"* "-"??_);_(@_)</c:formatCode>
                <c:ptCount val="19"/>
                <c:pt idx="6">
                  <c:v>11.671989054215837</c:v>
                </c:pt>
                <c:pt idx="7">
                  <c:v>6.7722873832058497</c:v>
                </c:pt>
                <c:pt idx="8" formatCode="_(&quot;$&quot;* #,##0.0_);_(&quot;$&quot;* \(#,##0.0\);_(&quot;$&quot;* &quot;-&quot;??_);_(@_)">
                  <c:v>4.1399047739208461</c:v>
                </c:pt>
                <c:pt idx="9" formatCode="_(&quot;$&quot;* #,##0.0_);_(&quot;$&quot;* \(#,##0.0\);_(&quot;$&quot;* &quot;-&quot;??_);_(@_)">
                  <c:v>2.7646401458971899</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1-6805-1C47-A237-A1870FDBA34B}"/>
            </c:ext>
          </c:extLst>
        </c:ser>
        <c:ser>
          <c:idx val="3"/>
          <c:order val="3"/>
          <c:tx>
            <c:strRef>
              <c:f>CostperGbps!$C$29</c:f>
              <c:strCache>
                <c:ptCount val="1"/>
                <c:pt idx="0">
                  <c:v>40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CostperGbps!$D$29:$V$29</c:f>
              <c:numCache>
                <c:formatCode>_("$"* #,##0_);_("$"* \(#,##0\);_("$"* "-"??_);_(@_)</c:formatCode>
                <c:ptCount val="19"/>
                <c:pt idx="0">
                  <c:v>46.557521763382681</c:v>
                </c:pt>
                <c:pt idx="1">
                  <c:v>11.176711108652357</c:v>
                </c:pt>
                <c:pt idx="2">
                  <c:v>12.879950952573868</c:v>
                </c:pt>
                <c:pt idx="3">
                  <c:v>11.167363674734627</c:v>
                </c:pt>
                <c:pt idx="4">
                  <c:v>7.3590573700709259</c:v>
                </c:pt>
                <c:pt idx="5">
                  <c:v>6.2327425657156015</c:v>
                </c:pt>
                <c:pt idx="6">
                  <c:v>6.2473515491273455</c:v>
                </c:pt>
                <c:pt idx="7">
                  <c:v>5.850414550912757</c:v>
                </c:pt>
                <c:pt idx="8" formatCode="_(&quot;$&quot;* #,##0.0_);_(&quot;$&quot;* \(#,##0.0\);_(&quot;$&quot;* &quot;-&quot;??_);_(@_)">
                  <c:v>4.4202626484425762</c:v>
                </c:pt>
                <c:pt idx="9" formatCode="_(&quot;$&quot;* #,##0.0_);_(&quot;$&quot;* \(#,##0.0\);_(&quot;$&quot;* &quot;-&quot;??_);_(@_)">
                  <c:v>4.2776454894588953</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2-6805-1C47-A237-A1870FDBA34B}"/>
            </c:ext>
          </c:extLst>
        </c:ser>
        <c:ser>
          <c:idx val="4"/>
          <c:order val="4"/>
          <c:tx>
            <c:strRef>
              <c:f>CostperGbps!$C$30</c:f>
              <c:strCache>
                <c:ptCount val="1"/>
                <c:pt idx="0">
                  <c:v>50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CostperGbps!$D$30:$V$30</c:f>
              <c:numCache>
                <c:formatCode>_("$"* #,##0_);_("$"* \(#,##0\);_("$"* "-"??_);_(@_)</c:formatCode>
                <c:ptCount val="19"/>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3-6805-1C47-A237-A1870FDBA34B}"/>
            </c:ext>
          </c:extLst>
        </c:ser>
        <c:ser>
          <c:idx val="5"/>
          <c:order val="5"/>
          <c:tx>
            <c:strRef>
              <c:f>CostperGbps!$C$31</c:f>
              <c:strCache>
                <c:ptCount val="1"/>
                <c:pt idx="0">
                  <c:v>100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CostperGbps!$D$31:$V$31</c:f>
              <c:numCache>
                <c:formatCode>_("$"* #,##0_);_("$"* \(#,##0\);_("$"* "-"??_);_(@_)</c:formatCode>
                <c:ptCount val="19"/>
                <c:pt idx="0">
                  <c:v>262.22519083969468</c:v>
                </c:pt>
                <c:pt idx="1">
                  <c:v>223.61202964182792</c:v>
                </c:pt>
                <c:pt idx="2">
                  <c:v>118.45667534287716</c:v>
                </c:pt>
                <c:pt idx="3">
                  <c:v>80.594856591909462</c:v>
                </c:pt>
                <c:pt idx="4">
                  <c:v>55.871254639091049</c:v>
                </c:pt>
                <c:pt idx="5">
                  <c:v>31.55152277583019</c:v>
                </c:pt>
                <c:pt idx="6">
                  <c:v>12.434155600788019</c:v>
                </c:pt>
                <c:pt idx="7">
                  <c:v>5.7399969875798753</c:v>
                </c:pt>
                <c:pt idx="8" formatCode="_(&quot;$&quot;* #,##0.0_);_(&quot;$&quot;* \(#,##0.0\);_(&quot;$&quot;* &quot;-&quot;??_);_(@_)">
                  <c:v>3.4840774835874724</c:v>
                </c:pt>
                <c:pt idx="9" formatCode="_(&quot;$&quot;* #,##0.0_);_(&quot;$&quot;* \(#,##0.0\);_(&quot;$&quot;* &quot;-&quot;??_);_(@_)">
                  <c:v>2.1727610146624414</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4-6805-1C47-A237-A1870FDBA34B}"/>
            </c:ext>
          </c:extLst>
        </c:ser>
        <c:ser>
          <c:idx val="6"/>
          <c:order val="6"/>
          <c:tx>
            <c:strRef>
              <c:f>CostperGbps!$C$32</c:f>
              <c:strCache>
                <c:ptCount val="1"/>
                <c:pt idx="0">
                  <c:v>200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CostperGbps!$D$32:$V$32</c:f>
              <c:numCache>
                <c:formatCode>_("$"* #,##0_);_("$"* \(#,##0\);_("$"* "-"??_);_(@_)</c:formatCode>
                <c:ptCount val="19"/>
                <c:pt idx="8" formatCode="_(&quot;$&quot;* #,##0.0_);_(&quot;$&quot;* \(#,##0.0\);_(&quot;$&quot;* &quot;-&quot;??_);_(@_)">
                  <c:v>5.5</c:v>
                </c:pt>
                <c:pt idx="9" formatCode="_(&quot;$&quot;* #,##0.0_);_(&quot;$&quot;* \(#,##0.0\);_(&quot;$&quot;* &quot;-&quot;??_);_(@_)">
                  <c:v>2.7522127890173409</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5-6805-1C47-A237-A1870FDBA34B}"/>
            </c:ext>
          </c:extLst>
        </c:ser>
        <c:ser>
          <c:idx val="7"/>
          <c:order val="7"/>
          <c:tx>
            <c:strRef>
              <c:f>CostperGbps!$C$33</c:f>
              <c:strCache>
                <c:ptCount val="1"/>
                <c:pt idx="0">
                  <c:v>400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CostperGbps!$D$33:$V$33</c:f>
              <c:numCache>
                <c:formatCode>_("$"* #,##0_);_("$"* \(#,##0\);_("$"* "-"??_);_(@_)</c:formatCode>
                <c:ptCount val="19"/>
                <c:pt idx="8" formatCode="_(&quot;$&quot;* #,##0.0_);_(&quot;$&quot;* \(#,##0.0\);_(&quot;$&quot;* &quot;-&quot;??_);_(@_)">
                  <c:v>3.1546153846153846</c:v>
                </c:pt>
                <c:pt idx="9" formatCode="_(&quot;$&quot;* #,##0.0_);_(&quot;$&quot;* \(#,##0.0\);_(&quot;$&quot;* &quot;-&quot;??_);_(@_)">
                  <c:v>2.1131812798877174</c:v>
                </c:pt>
                <c:pt idx="10" formatCode="_(&quot;$&quot;* #,##0.0_);_(&quot;$&quot;* \(#,##0.0\);_(&quot;$&quot;* &quot;-&quot;??_);_(@_)">
                  <c:v>0</c:v>
                </c:pt>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6-6805-1C47-A237-A1870FDBA34B}"/>
            </c:ext>
          </c:extLst>
        </c:ser>
        <c:ser>
          <c:idx val="8"/>
          <c:order val="8"/>
          <c:tx>
            <c:strRef>
              <c:f>CostperGbps!$C$34</c:f>
              <c:strCache>
                <c:ptCount val="1"/>
                <c:pt idx="0">
                  <c:v>800 G</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CostperGbps!$D$34:$V$34</c:f>
              <c:numCache>
                <c:formatCode>_("$"* #,##0_);_("$"* \(#,##0\);_("$"* "-"??_);_(@_)</c:formatCode>
                <c:ptCount val="19"/>
                <c:pt idx="11" formatCode="_(&quot;$&quot;* #,##0.0_);_(&quot;$&quot;* \(#,##0.0\);_(&quot;$&quot;* &quot;-&quot;??_);_(@_)">
                  <c:v>0</c:v>
                </c:pt>
                <c:pt idx="12" formatCode="_(&quot;$&quot;* #,##0.0_);_(&quot;$&quot;* \(#,##0.0\);_(&quot;$&quot;* &quot;-&quot;??_);_(@_)">
                  <c:v>0</c:v>
                </c:pt>
                <c:pt idx="13" formatCode="_(&quot;$&quot;* #,##0.0_);_(&quot;$&quot;* \(#,##0.0\);_(&quot;$&quot;* &quot;-&quot;??_);_(@_)">
                  <c:v>0</c:v>
                </c:pt>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7-6805-1C47-A237-A1870FDBA34B}"/>
            </c:ext>
          </c:extLst>
        </c:ser>
        <c:ser>
          <c:idx val="9"/>
          <c:order val="9"/>
          <c:tx>
            <c:strRef>
              <c:f>CostperGbps!$C$35</c:f>
              <c:strCache>
                <c:ptCount val="1"/>
                <c:pt idx="0">
                  <c:v>1.6 T</c:v>
                </c:pt>
              </c:strCache>
            </c:strRef>
          </c:tx>
          <c:cat>
            <c:numRef>
              <c:f>CostperGbps!$D$25:$V$25</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CostperGbps!$D$35:$V$35</c:f>
              <c:numCache>
                <c:formatCode>_("$"* #,##0_);_("$"* \(#,##0\);_("$"* "-"??_);_(@_)</c:formatCode>
                <c:ptCount val="19"/>
                <c:pt idx="14" formatCode="_(&quot;$&quot;* #,##0.0_);_(&quot;$&quot;* \(#,##0.0\);_(&quot;$&quot;* &quot;-&quot;??_);_(@_)">
                  <c:v>0</c:v>
                </c:pt>
                <c:pt idx="15" formatCode="_(&quot;$&quot;* #,##0.0_);_(&quot;$&quot;* \(#,##0.0\);_(&quot;$&quot;* &quot;-&quot;??_);_(@_)">
                  <c:v>0</c:v>
                </c:pt>
                <c:pt idx="16" formatCode="_(&quot;$&quot;* #,##0.0_);_(&quot;$&quot;* \(#,##0.0\);_(&quot;$&quot;* &quot;-&quot;??_);_(@_)">
                  <c:v>0</c:v>
                </c:pt>
                <c:pt idx="17" formatCode="_(&quot;$&quot;* #,##0.0_);_(&quot;$&quot;* \(#,##0.0\);_(&quot;$&quot;* &quot;-&quot;??_);_(@_)">
                  <c:v>0</c:v>
                </c:pt>
                <c:pt idx="18" formatCode="_(&quot;$&quot;* #,##0.0_);_(&quot;$&quot;* \(#,##0.0\);_(&quot;$&quot;* &quot;-&quot;??_);_(@_)">
                  <c:v>0</c:v>
                </c:pt>
              </c:numCache>
            </c:numRef>
          </c:val>
          <c:smooth val="0"/>
          <c:extLst>
            <c:ext xmlns:c16="http://schemas.microsoft.com/office/drawing/2014/chart" uri="{C3380CC4-5D6E-409C-BE32-E72D297353CC}">
              <c16:uniqueId val="{00000008-6805-1C47-A237-A1870FDBA34B}"/>
            </c:ext>
          </c:extLst>
        </c:ser>
        <c:dLbls>
          <c:showLegendKey val="0"/>
          <c:showVal val="0"/>
          <c:showCatName val="0"/>
          <c:showSerName val="0"/>
          <c:showPercent val="0"/>
          <c:showBubbleSize val="0"/>
        </c:dLbls>
        <c:marker val="1"/>
        <c:smooth val="0"/>
        <c:axId val="183686272"/>
        <c:axId val="183687808"/>
      </c:lineChart>
      <c:catAx>
        <c:axId val="183686272"/>
        <c:scaling>
          <c:orientation val="minMax"/>
        </c:scaling>
        <c:delete val="0"/>
        <c:axPos val="b"/>
        <c:numFmt formatCode="General" sourceLinked="1"/>
        <c:majorTickMark val="out"/>
        <c:minorTickMark val="none"/>
        <c:tickLblPos val="nextTo"/>
        <c:crossAx val="183687808"/>
        <c:crosses val="autoZero"/>
        <c:auto val="1"/>
        <c:lblAlgn val="ctr"/>
        <c:lblOffset val="100"/>
        <c:noMultiLvlLbl val="0"/>
      </c:catAx>
      <c:valAx>
        <c:axId val="183687808"/>
        <c:scaling>
          <c:orientation val="minMax"/>
          <c:max val="30"/>
        </c:scaling>
        <c:delete val="0"/>
        <c:axPos val="l"/>
        <c:majorGridlines/>
        <c:numFmt formatCode="_(&quot;$&quot;* #,##0_);_(&quot;$&quot;* \(#,##0\);_(&quot;$&quot;* &quot;-&quot;_);_(@_)" sourceLinked="0"/>
        <c:majorTickMark val="out"/>
        <c:minorTickMark val="none"/>
        <c:tickLblPos val="nextTo"/>
        <c:crossAx val="183686272"/>
        <c:crosses val="autoZero"/>
        <c:crossBetween val="between"/>
      </c:valAx>
    </c:plotArea>
    <c:legend>
      <c:legendPos val="t"/>
      <c:layout>
        <c:manualLayout>
          <c:xMode val="edge"/>
          <c:yMode val="edge"/>
          <c:x val="0.69174326724246116"/>
          <c:y val="0.21841826244287404"/>
          <c:w val="0.26828899843411552"/>
          <c:h val="0.3842392600603407"/>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72462817147856"/>
          <c:y val="3.75116652085156E-2"/>
          <c:w val="0.8137191601049869"/>
          <c:h val="0.82907662583843689"/>
        </c:manualLayout>
      </c:layout>
      <c:lineChart>
        <c:grouping val="standard"/>
        <c:varyColors val="0"/>
        <c:ser>
          <c:idx val="5"/>
          <c:order val="0"/>
          <c:tx>
            <c:strRef>
              <c:f>'Figures in the Report'!$I$494</c:f>
              <c:strCache>
                <c:ptCount val="1"/>
                <c:pt idx="0">
                  <c:v>40G</c:v>
                </c:pt>
              </c:strCache>
            </c:strRef>
          </c:tx>
          <c:spPr>
            <a:ln>
              <a:solidFill>
                <a:schemeClr val="accent5">
                  <a:lumMod val="60000"/>
                  <a:lumOff val="40000"/>
                </a:schemeClr>
              </a:solidFill>
            </a:ln>
          </c:spPr>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Report'!$J$494:$T$494</c:f>
              <c:numCache>
                <c:formatCode>_("$"* #,##0_);_("$"* \(#,##0\);_("$"* "-"??_);_(@_)</c:formatCode>
                <c:ptCount val="11"/>
                <c:pt idx="0">
                  <c:v>51.042964121661214</c:v>
                </c:pt>
                <c:pt idx="1">
                  <c:v>47.469834539652929</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F2C-1E49-918D-4559453D04A8}"/>
            </c:ext>
          </c:extLst>
        </c:ser>
        <c:ser>
          <c:idx val="0"/>
          <c:order val="1"/>
          <c:tx>
            <c:strRef>
              <c:f>'Figures in the Report'!$I$495</c:f>
              <c:strCache>
                <c:ptCount val="1"/>
                <c:pt idx="0">
                  <c:v>100G</c:v>
                </c:pt>
              </c:strCache>
            </c:strRef>
          </c:tx>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Report'!$J$495:$T$495</c:f>
              <c:numCache>
                <c:formatCode>_("$"* #,##0_);_("$"* \(#,##0\);_("$"* "-"??_);_(@_)</c:formatCode>
                <c:ptCount val="11"/>
                <c:pt idx="0">
                  <c:v>161.07908485599665</c:v>
                </c:pt>
                <c:pt idx="1">
                  <c:v>175.26497216391772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9BBF-F348-8995-5EB5ECDCB5E4}"/>
            </c:ext>
          </c:extLst>
        </c:ser>
        <c:ser>
          <c:idx val="1"/>
          <c:order val="2"/>
          <c:tx>
            <c:strRef>
              <c:f>'Figures in the Report'!$I$496</c:f>
              <c:strCache>
                <c:ptCount val="1"/>
                <c:pt idx="0">
                  <c:v>200G</c:v>
                </c:pt>
              </c:strCache>
            </c:strRef>
          </c:tx>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Report'!$J$496:$T$496</c:f>
              <c:numCache>
                <c:formatCode>_("$"* #,##0_);_("$"* \(#,##0\);_("$"* "-"??_);_(@_)</c:formatCode>
                <c:ptCount val="11"/>
                <c:pt idx="0">
                  <c:v>0.35</c:v>
                </c:pt>
                <c:pt idx="1">
                  <c:v>2.7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9BBF-F348-8995-5EB5ECDCB5E4}"/>
            </c:ext>
          </c:extLst>
        </c:ser>
        <c:ser>
          <c:idx val="2"/>
          <c:order val="3"/>
          <c:tx>
            <c:strRef>
              <c:f>'Figures in the Report'!$I$497</c:f>
              <c:strCache>
                <c:ptCount val="1"/>
                <c:pt idx="0">
                  <c:v>400G</c:v>
                </c:pt>
              </c:strCache>
            </c:strRef>
          </c:tx>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Report'!$J$497:$T$497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9BBF-F348-8995-5EB5ECDCB5E4}"/>
            </c:ext>
          </c:extLst>
        </c:ser>
        <c:ser>
          <c:idx val="3"/>
          <c:order val="4"/>
          <c:tx>
            <c:strRef>
              <c:f>'Figures in the Report'!$I$498</c:f>
              <c:strCache>
                <c:ptCount val="1"/>
                <c:pt idx="0">
                  <c:v>800G</c:v>
                </c:pt>
              </c:strCache>
            </c:strRef>
          </c:tx>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Report'!$J$498:$T$498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9BBF-F348-8995-5EB5ECDCB5E4}"/>
            </c:ext>
          </c:extLst>
        </c:ser>
        <c:ser>
          <c:idx val="4"/>
          <c:order val="5"/>
          <c:tx>
            <c:strRef>
              <c:f>'Figures in the Report'!$I$499</c:f>
              <c:strCache>
                <c:ptCount val="1"/>
                <c:pt idx="0">
                  <c:v>1.6T</c:v>
                </c:pt>
              </c:strCache>
            </c:strRef>
          </c:tx>
          <c:spPr>
            <a:ln>
              <a:solidFill>
                <a:schemeClr val="accent6"/>
              </a:solidFill>
            </a:ln>
          </c:spPr>
          <c:marker>
            <c:symbol val="none"/>
          </c:marker>
          <c:cat>
            <c:numRef>
              <c:f>'Figures in the Report'!$J$493:$T$493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Report'!$J$499:$T$499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9BBF-F348-8995-5EB5ECDCB5E4}"/>
            </c:ext>
          </c:extLst>
        </c:ser>
        <c:dLbls>
          <c:showLegendKey val="0"/>
          <c:showVal val="0"/>
          <c:showCatName val="0"/>
          <c:showSerName val="0"/>
          <c:showPercent val="0"/>
          <c:showBubbleSize val="0"/>
        </c:dLbls>
        <c:smooth val="0"/>
        <c:axId val="178930432"/>
        <c:axId val="178932736"/>
      </c:lineChart>
      <c:catAx>
        <c:axId val="178930432"/>
        <c:scaling>
          <c:orientation val="minMax"/>
        </c:scaling>
        <c:delete val="0"/>
        <c:axPos val="b"/>
        <c:numFmt formatCode="General" sourceLinked="1"/>
        <c:majorTickMark val="out"/>
        <c:minorTickMark val="none"/>
        <c:tickLblPos val="nextTo"/>
        <c:crossAx val="178932736"/>
        <c:crosses val="autoZero"/>
        <c:auto val="1"/>
        <c:lblAlgn val="ctr"/>
        <c:lblOffset val="100"/>
        <c:noMultiLvlLbl val="0"/>
      </c:catAx>
      <c:valAx>
        <c:axId val="178932736"/>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5231625777395907E-2"/>
              <c:y val="0.23370187268808593"/>
            </c:manualLayout>
          </c:layout>
          <c:overlay val="0"/>
        </c:title>
        <c:numFmt formatCode="_(&quot;$&quot;* #,##0_);_(&quot;$&quot;* \(#,##0\);_(&quot;$&quot;* &quot;-&quot;??_);_(@_)" sourceLinked="1"/>
        <c:majorTickMark val="out"/>
        <c:minorTickMark val="none"/>
        <c:tickLblPos val="nextTo"/>
        <c:crossAx val="178930432"/>
        <c:crosses val="autoZero"/>
        <c:crossBetween val="between"/>
      </c:valAx>
    </c:plotArea>
    <c:legend>
      <c:legendPos val="r"/>
      <c:layout>
        <c:manualLayout>
          <c:xMode val="edge"/>
          <c:yMode val="edge"/>
          <c:x val="0.17762610961222572"/>
          <c:y val="6.423884514435696E-2"/>
          <c:w val="0.12576807340366539"/>
          <c:h val="0.55396227203980408"/>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21356522396241"/>
          <c:y val="5.1400554097404488E-2"/>
          <c:w val="0.79144213282247511"/>
          <c:h val="0.8326195683872849"/>
        </c:manualLayout>
      </c:layout>
      <c:lineChart>
        <c:grouping val="standard"/>
        <c:varyColors val="0"/>
        <c:ser>
          <c:idx val="0"/>
          <c:order val="0"/>
          <c:tx>
            <c:strRef>
              <c:f>'Figures in the Report'!$I$448</c:f>
              <c:strCache>
                <c:ptCount val="1"/>
                <c:pt idx="0">
                  <c:v>100G</c:v>
                </c:pt>
              </c:strCache>
            </c:strRef>
          </c:tx>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Report'!$J$448:$T$448</c:f>
              <c:numCache>
                <c:formatCode>_-* #,##0_-;\-* #,##0_-;_-* "-"??_-;_-@_-</c:formatCode>
                <c:ptCount val="11"/>
                <c:pt idx="0">
                  <c:v>716318.84131205897</c:v>
                </c:pt>
                <c:pt idx="1">
                  <c:v>1278038.5754605003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3950-FA4A-A8BC-C3964563159C}"/>
            </c:ext>
          </c:extLst>
        </c:ser>
        <c:ser>
          <c:idx val="1"/>
          <c:order val="1"/>
          <c:tx>
            <c:strRef>
              <c:f>'Figures in the Report'!$I$449</c:f>
              <c:strCache>
                <c:ptCount val="1"/>
                <c:pt idx="0">
                  <c:v>200G</c:v>
                </c:pt>
              </c:strCache>
            </c:strRef>
          </c:tx>
          <c:spPr>
            <a:ln>
              <a:solidFill>
                <a:schemeClr val="accent6"/>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Report'!$J$449:$T$449</c:f>
              <c:numCache>
                <c:formatCode>_-* #,##0_-;\-* #,##0_-;_-* "-"??_-;_-@_-</c:formatCode>
                <c:ptCount val="11"/>
                <c:pt idx="0">
                  <c:v>500</c:v>
                </c:pt>
                <c:pt idx="1">
                  <c:v>4500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3950-FA4A-A8BC-C3964563159C}"/>
            </c:ext>
          </c:extLst>
        </c:ser>
        <c:ser>
          <c:idx val="2"/>
          <c:order val="2"/>
          <c:tx>
            <c:strRef>
              <c:f>'Figures in the Report'!$I$450</c:f>
              <c:strCache>
                <c:ptCount val="1"/>
                <c:pt idx="0">
                  <c:v>400G</c:v>
                </c:pt>
              </c:strCache>
            </c:strRef>
          </c:tx>
          <c:spPr>
            <a:ln>
              <a:solidFill>
                <a:schemeClr val="accent2"/>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Report'!$J$450:$T$450</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3950-FA4A-A8BC-C3964563159C}"/>
            </c:ext>
          </c:extLst>
        </c:ser>
        <c:ser>
          <c:idx val="3"/>
          <c:order val="3"/>
          <c:tx>
            <c:strRef>
              <c:f>'Figures in the Report'!$I$451</c:f>
              <c:strCache>
                <c:ptCount val="1"/>
                <c:pt idx="0">
                  <c:v>800G</c:v>
                </c:pt>
              </c:strCache>
            </c:strRef>
          </c:tx>
          <c:spPr>
            <a:ln>
              <a:solidFill>
                <a:schemeClr val="accent3"/>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Report'!$J$451:$T$451</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3950-FA4A-A8BC-C3964563159C}"/>
            </c:ext>
          </c:extLst>
        </c:ser>
        <c:ser>
          <c:idx val="4"/>
          <c:order val="4"/>
          <c:tx>
            <c:strRef>
              <c:f>'Figures in the Report'!$I$452</c:f>
              <c:strCache>
                <c:ptCount val="1"/>
                <c:pt idx="0">
                  <c:v>1.6T</c:v>
                </c:pt>
              </c:strCache>
            </c:strRef>
          </c:tx>
          <c:spPr>
            <a:ln>
              <a:solidFill>
                <a:schemeClr val="accent4"/>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Report'!$J$452:$T$452</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3950-FA4A-A8BC-C3964563159C}"/>
            </c:ext>
          </c:extLst>
        </c:ser>
        <c:dLbls>
          <c:showLegendKey val="0"/>
          <c:showVal val="0"/>
          <c:showCatName val="0"/>
          <c:showSerName val="0"/>
          <c:showPercent val="0"/>
          <c:showBubbleSize val="0"/>
        </c:dLbls>
        <c:smooth val="0"/>
        <c:axId val="179247360"/>
        <c:axId val="182985088"/>
      </c:lineChart>
      <c:catAx>
        <c:axId val="179247360"/>
        <c:scaling>
          <c:orientation val="minMax"/>
        </c:scaling>
        <c:delete val="0"/>
        <c:axPos val="b"/>
        <c:numFmt formatCode="General" sourceLinked="1"/>
        <c:majorTickMark val="out"/>
        <c:minorTickMark val="none"/>
        <c:tickLblPos val="nextTo"/>
        <c:crossAx val="182985088"/>
        <c:crosses val="autoZero"/>
        <c:auto val="1"/>
        <c:lblAlgn val="ctr"/>
        <c:lblOffset val="100"/>
        <c:noMultiLvlLbl val="0"/>
      </c:catAx>
      <c:valAx>
        <c:axId val="182985088"/>
        <c:scaling>
          <c:orientation val="minMax"/>
          <c:min val="0"/>
        </c:scaling>
        <c:delete val="0"/>
        <c:axPos val="l"/>
        <c:majorGridlines/>
        <c:title>
          <c:tx>
            <c:rich>
              <a:bodyPr rot="-5400000" vert="horz"/>
              <a:lstStyle/>
              <a:p>
                <a:pPr>
                  <a:defRPr/>
                </a:pPr>
                <a:r>
                  <a:rPr lang="en-US"/>
                  <a:t>Annual shipments</a:t>
                </a:r>
                <a:r>
                  <a:rPr lang="en-US" baseline="0"/>
                  <a:t> (units)</a:t>
                </a:r>
                <a:endParaRPr lang="en-US"/>
              </a:p>
            </c:rich>
          </c:tx>
          <c:layout>
            <c:manualLayout>
              <c:xMode val="edge"/>
              <c:yMode val="edge"/>
              <c:x val="9.7222222222222224E-3"/>
              <c:y val="0.24657589676290464"/>
            </c:manualLayout>
          </c:layout>
          <c:overlay val="0"/>
        </c:title>
        <c:numFmt formatCode="_-* #,##0_-;\-* #,##0_-;_-* &quot;-&quot;??_-;_-@_-" sourceLinked="1"/>
        <c:majorTickMark val="out"/>
        <c:minorTickMark val="none"/>
        <c:tickLblPos val="nextTo"/>
        <c:crossAx val="179247360"/>
        <c:crosses val="autoZero"/>
        <c:crossBetween val="between"/>
      </c:valAx>
    </c:plotArea>
    <c:legend>
      <c:legendPos val="r"/>
      <c:layout>
        <c:manualLayout>
          <c:xMode val="edge"/>
          <c:yMode val="edge"/>
          <c:x val="0.193"/>
          <c:y val="7.3114246135899674E-2"/>
          <c:w val="0.13150044446195183"/>
          <c:h val="0.46163485551912287"/>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72462817147856"/>
          <c:y val="3.75116652085156E-2"/>
          <c:w val="0.8137191601049869"/>
          <c:h val="0.82907662583843689"/>
        </c:manualLayout>
      </c:layout>
      <c:lineChart>
        <c:grouping val="standard"/>
        <c:varyColors val="0"/>
        <c:ser>
          <c:idx val="0"/>
          <c:order val="0"/>
          <c:tx>
            <c:strRef>
              <c:f>'Figures in the Report'!$I$464</c:f>
              <c:strCache>
                <c:ptCount val="1"/>
                <c:pt idx="0">
                  <c:v>100G</c:v>
                </c:pt>
              </c:strCache>
            </c:strRef>
          </c:tx>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Report'!$J$464:$T$464</c:f>
              <c:numCache>
                <c:formatCode>_("$"* #,##0_);_("$"* \(#,##0\);_("$"* "-"??_);_(@_)</c:formatCode>
                <c:ptCount val="11"/>
                <c:pt idx="0">
                  <c:v>161.07908485599665</c:v>
                </c:pt>
                <c:pt idx="1">
                  <c:v>175.26497216391772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9B7-6846-91E8-17AAB7945977}"/>
            </c:ext>
          </c:extLst>
        </c:ser>
        <c:ser>
          <c:idx val="1"/>
          <c:order val="1"/>
          <c:tx>
            <c:strRef>
              <c:f>'Figures in the Report'!$I$465</c:f>
              <c:strCache>
                <c:ptCount val="1"/>
                <c:pt idx="0">
                  <c:v>200G</c:v>
                </c:pt>
              </c:strCache>
            </c:strRef>
          </c:tx>
          <c:spPr>
            <a:ln>
              <a:solidFill>
                <a:schemeClr val="accent6"/>
              </a:solidFill>
            </a:ln>
          </c:spPr>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Report'!$J$465:$T$465</c:f>
              <c:numCache>
                <c:formatCode>_("$"* #,##0_);_("$"* \(#,##0\);_("$"* "-"??_);_(@_)</c:formatCode>
                <c:ptCount val="11"/>
                <c:pt idx="0">
                  <c:v>0.35</c:v>
                </c:pt>
                <c:pt idx="1">
                  <c:v>2.7</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9B7-6846-91E8-17AAB7945977}"/>
            </c:ext>
          </c:extLst>
        </c:ser>
        <c:ser>
          <c:idx val="2"/>
          <c:order val="2"/>
          <c:tx>
            <c:strRef>
              <c:f>'Figures in the Report'!$I$466</c:f>
              <c:strCache>
                <c:ptCount val="1"/>
                <c:pt idx="0">
                  <c:v>400G</c:v>
                </c:pt>
              </c:strCache>
            </c:strRef>
          </c:tx>
          <c:spPr>
            <a:ln>
              <a:solidFill>
                <a:schemeClr val="accent2"/>
              </a:solidFill>
            </a:ln>
          </c:spPr>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Report'!$J$466:$T$466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9B7-6846-91E8-17AAB7945977}"/>
            </c:ext>
          </c:extLst>
        </c:ser>
        <c:ser>
          <c:idx val="3"/>
          <c:order val="3"/>
          <c:tx>
            <c:strRef>
              <c:f>'Figures in the Report'!$I$467</c:f>
              <c:strCache>
                <c:ptCount val="1"/>
                <c:pt idx="0">
                  <c:v>800G</c:v>
                </c:pt>
              </c:strCache>
            </c:strRef>
          </c:tx>
          <c:spPr>
            <a:ln>
              <a:solidFill>
                <a:schemeClr val="accent3"/>
              </a:solidFill>
            </a:ln>
          </c:spPr>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Report'!$J$467:$T$467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9B7-6846-91E8-17AAB7945977}"/>
            </c:ext>
          </c:extLst>
        </c:ser>
        <c:ser>
          <c:idx val="4"/>
          <c:order val="4"/>
          <c:tx>
            <c:strRef>
              <c:f>'Figures in the Report'!$I$468</c:f>
              <c:strCache>
                <c:ptCount val="1"/>
                <c:pt idx="0">
                  <c:v>1.6T</c:v>
                </c:pt>
              </c:strCache>
            </c:strRef>
          </c:tx>
          <c:spPr>
            <a:ln>
              <a:solidFill>
                <a:schemeClr val="accent4"/>
              </a:solidFill>
            </a:ln>
          </c:spPr>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Report'!$J$468:$T$468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A9B7-6846-91E8-17AAB7945977}"/>
            </c:ext>
          </c:extLst>
        </c:ser>
        <c:dLbls>
          <c:showLegendKey val="0"/>
          <c:showVal val="0"/>
          <c:showCatName val="0"/>
          <c:showSerName val="0"/>
          <c:showPercent val="0"/>
          <c:showBubbleSize val="0"/>
        </c:dLbls>
        <c:smooth val="0"/>
        <c:axId val="183604352"/>
        <c:axId val="183894784"/>
      </c:lineChart>
      <c:catAx>
        <c:axId val="183604352"/>
        <c:scaling>
          <c:orientation val="minMax"/>
        </c:scaling>
        <c:delete val="0"/>
        <c:axPos val="b"/>
        <c:numFmt formatCode="General" sourceLinked="1"/>
        <c:majorTickMark val="out"/>
        <c:minorTickMark val="none"/>
        <c:tickLblPos val="nextTo"/>
        <c:crossAx val="183894784"/>
        <c:crosses val="autoZero"/>
        <c:auto val="1"/>
        <c:lblAlgn val="ctr"/>
        <c:lblOffset val="100"/>
        <c:noMultiLvlLbl val="0"/>
      </c:catAx>
      <c:valAx>
        <c:axId val="183894784"/>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6348723460657331E-2"/>
              <c:y val="0.21492554363347069"/>
            </c:manualLayout>
          </c:layout>
          <c:overlay val="0"/>
        </c:title>
        <c:numFmt formatCode="_(&quot;$&quot;* #,##0_);_(&quot;$&quot;* \(#,##0\);_(&quot;$&quot;* &quot;-&quot;??_);_(@_)" sourceLinked="1"/>
        <c:majorTickMark val="out"/>
        <c:minorTickMark val="none"/>
        <c:tickLblPos val="nextTo"/>
        <c:crossAx val="183604352"/>
        <c:crosses val="autoZero"/>
        <c:crossBetween val="between"/>
      </c:valAx>
    </c:plotArea>
    <c:legend>
      <c:legendPos val="r"/>
      <c:layout>
        <c:manualLayout>
          <c:xMode val="edge"/>
          <c:yMode val="edge"/>
          <c:x val="0.17762610961222572"/>
          <c:y val="6.423884514435696E-2"/>
          <c:w val="0.13150044446195183"/>
          <c:h val="0.46846925870017542"/>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07264462023143"/>
          <c:y val="3.75116652085156E-2"/>
          <c:w val="0.75537125281632511"/>
          <c:h val="0.82907662583843689"/>
        </c:manualLayout>
      </c:layout>
      <c:lineChart>
        <c:grouping val="standard"/>
        <c:varyColors val="0"/>
        <c:ser>
          <c:idx val="0"/>
          <c:order val="0"/>
          <c:tx>
            <c:strRef>
              <c:f>'Figures in the Report'!$H$374</c:f>
              <c:strCache>
                <c:ptCount val="1"/>
                <c:pt idx="0">
                  <c:v>Cloud</c:v>
                </c:pt>
              </c:strCache>
            </c:strRef>
          </c:tx>
          <c:spPr>
            <a:ln>
              <a:solidFill>
                <a:schemeClr val="accent2"/>
              </a:solidFill>
            </a:ln>
          </c:spPr>
          <c:marker>
            <c:symbol val="none"/>
          </c:marker>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Report'!$I$374:$S$374</c:f>
              <c:numCache>
                <c:formatCode>_-* #,##0_-;\-* #,##0_-;_-* "-"??_-;_-@_-</c:formatCode>
                <c:ptCount val="11"/>
                <c:pt idx="0">
                  <c:v>12323125.12888656</c:v>
                </c:pt>
                <c:pt idx="1">
                  <c:v>12333900.805040129</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6FE-294F-BD26-6B698B37B285}"/>
            </c:ext>
          </c:extLst>
        </c:ser>
        <c:ser>
          <c:idx val="2"/>
          <c:order val="1"/>
          <c:tx>
            <c:strRef>
              <c:f>'Figures in the Report'!$H$376</c:f>
              <c:strCache>
                <c:ptCount val="1"/>
                <c:pt idx="0">
                  <c:v>Telecom</c:v>
                </c:pt>
              </c:strCache>
            </c:strRef>
          </c:tx>
          <c:spPr>
            <a:ln>
              <a:solidFill>
                <a:schemeClr val="accent1"/>
              </a:solidFill>
            </a:ln>
          </c:spPr>
          <c:marker>
            <c:symbol val="none"/>
          </c:marker>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Report'!$I$376:$S$376</c:f>
              <c:numCache>
                <c:formatCode>_-* #,##0_-;\-* #,##0_-;_-* "-"??_-;_-@_-</c:formatCode>
                <c:ptCount val="11"/>
                <c:pt idx="0">
                  <c:v>5876521.6602941174</c:v>
                </c:pt>
                <c:pt idx="1">
                  <c:v>4885119.4472403741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6FE-294F-BD26-6B698B37B285}"/>
            </c:ext>
          </c:extLst>
        </c:ser>
        <c:ser>
          <c:idx val="1"/>
          <c:order val="2"/>
          <c:tx>
            <c:strRef>
              <c:f>'Figures in the Report'!$H$375</c:f>
              <c:strCache>
                <c:ptCount val="1"/>
                <c:pt idx="0">
                  <c:v>Enterprise</c:v>
                </c:pt>
              </c:strCache>
            </c:strRef>
          </c:tx>
          <c:spPr>
            <a:ln>
              <a:solidFill>
                <a:schemeClr val="accent3"/>
              </a:solidFill>
            </a:ln>
          </c:spPr>
          <c:marker>
            <c:symbol val="none"/>
          </c:marker>
          <c:cat>
            <c:numRef>
              <c:f>'Figures in the Report'!$J$266:$T$266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Report'!$I$375:$S$375</c:f>
              <c:numCache>
                <c:formatCode>_-* #,##0_-;\-* #,##0_-;_-* "-"??_-;_-@_-</c:formatCode>
                <c:ptCount val="11"/>
                <c:pt idx="0">
                  <c:v>24790440.800063998</c:v>
                </c:pt>
                <c:pt idx="1">
                  <c:v>24989286.265234593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6FE-294F-BD26-6B698B37B285}"/>
            </c:ext>
          </c:extLst>
        </c:ser>
        <c:dLbls>
          <c:showLegendKey val="0"/>
          <c:showVal val="0"/>
          <c:showCatName val="0"/>
          <c:showSerName val="0"/>
          <c:showPercent val="0"/>
          <c:showBubbleSize val="0"/>
        </c:dLbls>
        <c:smooth val="0"/>
        <c:axId val="184736000"/>
        <c:axId val="184791424"/>
      </c:lineChart>
      <c:catAx>
        <c:axId val="184736000"/>
        <c:scaling>
          <c:orientation val="minMax"/>
        </c:scaling>
        <c:delete val="0"/>
        <c:axPos val="b"/>
        <c:numFmt formatCode="General" sourceLinked="1"/>
        <c:majorTickMark val="out"/>
        <c:minorTickMark val="none"/>
        <c:tickLblPos val="nextTo"/>
        <c:crossAx val="184791424"/>
        <c:crosses val="autoZero"/>
        <c:auto val="1"/>
        <c:lblAlgn val="ctr"/>
        <c:lblOffset val="100"/>
        <c:noMultiLvlLbl val="0"/>
      </c:catAx>
      <c:valAx>
        <c:axId val="184791424"/>
        <c:scaling>
          <c:orientation val="minMax"/>
        </c:scaling>
        <c:delete val="0"/>
        <c:axPos val="l"/>
        <c:majorGridlines/>
        <c:title>
          <c:tx>
            <c:rich>
              <a:bodyPr rot="-5400000" vert="horz"/>
              <a:lstStyle/>
              <a:p>
                <a:pPr>
                  <a:defRPr/>
                </a:pPr>
                <a:r>
                  <a:rPr lang="en-US"/>
                  <a:t>Annual  units consumed</a:t>
                </a:r>
              </a:p>
            </c:rich>
          </c:tx>
          <c:layout>
            <c:manualLayout>
              <c:xMode val="edge"/>
              <c:yMode val="edge"/>
              <c:x val="1.3778019554468312E-2"/>
              <c:y val="0.2494342373869933"/>
            </c:manualLayout>
          </c:layout>
          <c:overlay val="0"/>
        </c:title>
        <c:numFmt formatCode="_-* #,##0_-;\-* #,##0_-;_-* &quot;-&quot;??_-;_-@_-" sourceLinked="1"/>
        <c:majorTickMark val="out"/>
        <c:minorTickMark val="none"/>
        <c:tickLblPos val="nextTo"/>
        <c:crossAx val="184736000"/>
        <c:crosses val="autoZero"/>
        <c:crossBetween val="between"/>
      </c:valAx>
    </c:plotArea>
    <c:legend>
      <c:legendPos val="r"/>
      <c:layout>
        <c:manualLayout>
          <c:xMode val="edge"/>
          <c:yMode val="edge"/>
          <c:x val="0.25317439545199222"/>
          <c:y val="7.2309609101562519E-2"/>
          <c:w val="0.20556093485489429"/>
          <c:h val="0.2511515748031495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2016 Ethernet transceiver sales by segment: $2.6 bn total</a:t>
            </a:r>
          </a:p>
        </c:rich>
      </c:tx>
      <c:layout>
        <c:manualLayout>
          <c:xMode val="edge"/>
          <c:yMode val="edge"/>
          <c:x val="1.8583948892986701E-2"/>
          <c:y val="1.8245011832919749E-2"/>
        </c:manualLayout>
      </c:layout>
      <c:overlay val="1"/>
    </c:title>
    <c:autoTitleDeleted val="0"/>
    <c:plotArea>
      <c:layout>
        <c:manualLayout>
          <c:layoutTarget val="inner"/>
          <c:xMode val="edge"/>
          <c:yMode val="edge"/>
          <c:x val="0.29253562356112967"/>
          <c:y val="0.38558229314399978"/>
          <c:w val="0.24929615667818619"/>
          <c:h val="0.33625748356751761"/>
        </c:manualLayout>
      </c:layout>
      <c:pieChart>
        <c:varyColors val="1"/>
        <c:ser>
          <c:idx val="0"/>
          <c:order val="0"/>
          <c:spPr>
            <a:solidFill>
              <a:srgbClr val="C00000"/>
            </a:solidFill>
          </c:spPr>
          <c:dPt>
            <c:idx val="0"/>
            <c:bubble3D val="0"/>
            <c:extLst>
              <c:ext xmlns:c16="http://schemas.microsoft.com/office/drawing/2014/chart" uri="{C3380CC4-5D6E-409C-BE32-E72D297353CC}">
                <c16:uniqueId val="{00000000-8592-2A4A-8F85-E1A825583FE9}"/>
              </c:ext>
            </c:extLst>
          </c:dPt>
          <c:dPt>
            <c:idx val="1"/>
            <c:bubble3D val="0"/>
            <c:spPr>
              <a:solidFill>
                <a:srgbClr val="92D050"/>
              </a:solidFill>
            </c:spPr>
            <c:extLst>
              <c:ext xmlns:c16="http://schemas.microsoft.com/office/drawing/2014/chart" uri="{C3380CC4-5D6E-409C-BE32-E72D297353CC}">
                <c16:uniqueId val="{00000002-8592-2A4A-8F85-E1A825583FE9}"/>
              </c:ext>
            </c:extLst>
          </c:dPt>
          <c:dPt>
            <c:idx val="2"/>
            <c:bubble3D val="0"/>
            <c:spPr>
              <a:solidFill>
                <a:schemeClr val="accent1"/>
              </a:solidFill>
            </c:spPr>
            <c:extLst>
              <c:ext xmlns:c16="http://schemas.microsoft.com/office/drawing/2014/chart" uri="{C3380CC4-5D6E-409C-BE32-E72D297353CC}">
                <c16:uniqueId val="{00000004-8592-2A4A-8F85-E1A825583FE9}"/>
              </c:ext>
            </c:extLst>
          </c:dPt>
          <c:dLbls>
            <c:dLbl>
              <c:idx val="0"/>
              <c:layout>
                <c:manualLayout>
                  <c:x val="4.5088575974960576E-2"/>
                  <c:y val="-4.25716942768127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592-2A4A-8F85-E1A825583FE9}"/>
                </c:ext>
              </c:extLst>
            </c:dLbl>
            <c:dLbl>
              <c:idx val="1"/>
              <c:layout>
                <c:manualLayout>
                  <c:x val="-4.0579718377464519E-2"/>
                  <c:y val="7.2980047331678996E-2"/>
                </c:manualLayout>
              </c:layout>
              <c:tx>
                <c:rich>
                  <a:bodyPr/>
                  <a:lstStyle/>
                  <a:p>
                    <a:r>
                      <a:rPr lang="en-US" sz="900" b="0"/>
                      <a:t>Enterprise
4%</a:t>
                    </a:r>
                    <a:endParaRPr lang="en-US"/>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8592-2A4A-8F85-E1A825583FE9}"/>
                </c:ext>
              </c:extLst>
            </c:dLbl>
            <c:spPr>
              <a:noFill/>
              <a:ln>
                <a:noFill/>
              </a:ln>
              <a:effectLst/>
            </c:spPr>
            <c:txPr>
              <a:bodyPr/>
              <a:lstStyle/>
              <a:p>
                <a:pPr>
                  <a:defRPr sz="900" b="0"/>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'Figures in the Report'!$I$388:$I$390</c:f>
              <c:strCache>
                <c:ptCount val="3"/>
                <c:pt idx="0">
                  <c:v>Cloud</c:v>
                </c:pt>
                <c:pt idx="1">
                  <c:v>Enterprise</c:v>
                </c:pt>
                <c:pt idx="2">
                  <c:v>Telecom</c:v>
                </c:pt>
              </c:strCache>
            </c:strRef>
          </c:cat>
          <c:val>
            <c:numRef>
              <c:f>'Figures in the Report'!$J$388:$J$390</c:f>
              <c:numCache>
                <c:formatCode>0%</c:formatCode>
                <c:ptCount val="3"/>
                <c:pt idx="0">
                  <c:v>0.42</c:v>
                </c:pt>
                <c:pt idx="1">
                  <c:v>0.22</c:v>
                </c:pt>
                <c:pt idx="2">
                  <c:v>0.36</c:v>
                </c:pt>
              </c:numCache>
            </c:numRef>
          </c:val>
          <c:extLst>
            <c:ext xmlns:c16="http://schemas.microsoft.com/office/drawing/2014/chart" uri="{C3380CC4-5D6E-409C-BE32-E72D297353CC}">
              <c16:uniqueId val="{00000005-8592-2A4A-8F85-E1A825583FE9}"/>
            </c:ext>
          </c:extLst>
        </c:ser>
        <c:dLbls>
          <c:showLegendKey val="0"/>
          <c:showVal val="1"/>
          <c:showCatName val="0"/>
          <c:showSerName val="0"/>
          <c:showPercent val="0"/>
          <c:showBubbleSize val="0"/>
          <c:showLeaderLines val="0"/>
        </c:dLbls>
        <c:firstSliceAng val="79"/>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2022 DWDM transceiver sales by segment: $4.16 bn total</a:t>
            </a:r>
          </a:p>
        </c:rich>
      </c:tx>
      <c:layout>
        <c:manualLayout>
          <c:xMode val="edge"/>
          <c:yMode val="edge"/>
          <c:x val="0.20795596798782112"/>
          <c:y val="1.8245011832919749E-2"/>
        </c:manualLayout>
      </c:layout>
      <c:overlay val="1"/>
    </c:title>
    <c:autoTitleDeleted val="0"/>
    <c:plotArea>
      <c:layout>
        <c:manualLayout>
          <c:layoutTarget val="inner"/>
          <c:xMode val="edge"/>
          <c:yMode val="edge"/>
          <c:x val="0.28222927860408609"/>
          <c:y val="0.2393309779230568"/>
          <c:w val="0.50179218213796539"/>
          <c:h val="0.67683103778201947"/>
        </c:manualLayout>
      </c:layout>
      <c:pieChart>
        <c:varyColors val="1"/>
        <c:ser>
          <c:idx val="0"/>
          <c:order val="0"/>
          <c:spPr>
            <a:solidFill>
              <a:srgbClr val="C00000"/>
            </a:solidFill>
          </c:spPr>
          <c:dPt>
            <c:idx val="0"/>
            <c:bubble3D val="0"/>
            <c:extLst>
              <c:ext xmlns:c16="http://schemas.microsoft.com/office/drawing/2014/chart" uri="{C3380CC4-5D6E-409C-BE32-E72D297353CC}">
                <c16:uniqueId val="{00000000-264A-4D44-9A75-AAF390D4A3AA}"/>
              </c:ext>
            </c:extLst>
          </c:dPt>
          <c:dPt>
            <c:idx val="1"/>
            <c:bubble3D val="0"/>
            <c:spPr>
              <a:solidFill>
                <a:srgbClr val="92D050"/>
              </a:solidFill>
            </c:spPr>
            <c:extLst>
              <c:ext xmlns:c16="http://schemas.microsoft.com/office/drawing/2014/chart" uri="{C3380CC4-5D6E-409C-BE32-E72D297353CC}">
                <c16:uniqueId val="{00000002-264A-4D44-9A75-AAF390D4A3AA}"/>
              </c:ext>
            </c:extLst>
          </c:dPt>
          <c:dPt>
            <c:idx val="2"/>
            <c:bubble3D val="0"/>
            <c:spPr>
              <a:solidFill>
                <a:schemeClr val="accent1"/>
              </a:solidFill>
            </c:spPr>
            <c:extLst>
              <c:ext xmlns:c16="http://schemas.microsoft.com/office/drawing/2014/chart" uri="{C3380CC4-5D6E-409C-BE32-E72D297353CC}">
                <c16:uniqueId val="{00000004-264A-4D44-9A75-AAF390D4A3AA}"/>
              </c:ext>
            </c:extLst>
          </c:dPt>
          <c:dLbls>
            <c:dLbl>
              <c:idx val="0"/>
              <c:layout>
                <c:manualLayout>
                  <c:x val="-2.9574690411391082E-2"/>
                  <c:y val="-0.125894107698135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64A-4D44-9A75-AAF390D4A3AA}"/>
                </c:ext>
              </c:extLst>
            </c:dLbl>
            <c:dLbl>
              <c:idx val="1"/>
              <c:layout>
                <c:manualLayout>
                  <c:x val="4.432416811912661E-3"/>
                  <c:y val="4.894468864791536E-2"/>
                </c:manualLayout>
              </c:layout>
              <c:tx>
                <c:rich>
                  <a:bodyPr/>
                  <a:lstStyle/>
                  <a:p>
                    <a:r>
                      <a:rPr lang="en-US" sz="900" b="0"/>
                      <a:t>Enterprise
4%</a:t>
                    </a:r>
                    <a:endParaRPr lang="en-US"/>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264A-4D44-9A75-AAF390D4A3AA}"/>
                </c:ext>
              </c:extLst>
            </c:dLbl>
            <c:dLbl>
              <c:idx val="2"/>
              <c:layout>
                <c:manualLayout>
                  <c:x val="1.5818492880561374E-2"/>
                  <c:y val="1.28186635071925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64A-4D44-9A75-AAF390D4A3AA}"/>
                </c:ext>
              </c:extLst>
            </c:dLbl>
            <c:spPr>
              <a:noFill/>
              <a:ln>
                <a:noFill/>
              </a:ln>
              <a:effectLst/>
            </c:spPr>
            <c:txPr>
              <a:bodyPr/>
              <a:lstStyle/>
              <a:p>
                <a:pPr>
                  <a:defRPr sz="900" b="0"/>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'Figures in the Report'!$I$388:$I$390</c:f>
              <c:strCache>
                <c:ptCount val="3"/>
                <c:pt idx="0">
                  <c:v>Cloud</c:v>
                </c:pt>
                <c:pt idx="1">
                  <c:v>Enterprise</c:v>
                </c:pt>
                <c:pt idx="2">
                  <c:v>Telecom</c:v>
                </c:pt>
              </c:strCache>
            </c:strRef>
          </c:cat>
          <c:val>
            <c:numRef>
              <c:f>'Figures in the Report'!$K$388:$K$390</c:f>
              <c:numCache>
                <c:formatCode>0%</c:formatCode>
                <c:ptCount val="3"/>
                <c:pt idx="0">
                  <c:v>0</c:v>
                </c:pt>
                <c:pt idx="1">
                  <c:v>0</c:v>
                </c:pt>
                <c:pt idx="2">
                  <c:v>0</c:v>
                </c:pt>
              </c:numCache>
            </c:numRef>
          </c:val>
          <c:extLst>
            <c:ext xmlns:c16="http://schemas.microsoft.com/office/drawing/2014/chart" uri="{C3380CC4-5D6E-409C-BE32-E72D297353CC}">
              <c16:uniqueId val="{00000005-264A-4D44-9A75-AAF390D4A3AA}"/>
            </c:ext>
          </c:extLst>
        </c:ser>
        <c:dLbls>
          <c:showLegendKey val="0"/>
          <c:showVal val="1"/>
          <c:showCatName val="0"/>
          <c:showSerName val="0"/>
          <c:showPercent val="0"/>
          <c:showBubbleSize val="0"/>
          <c:showLeaderLines val="0"/>
        </c:dLbls>
        <c:firstSliceAng val="125"/>
      </c:pieChart>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61202507775526"/>
          <c:y val="3.75116652085156E-2"/>
          <c:w val="0.78883165551399492"/>
          <c:h val="0.82907662583843689"/>
        </c:manualLayout>
      </c:layout>
      <c:barChart>
        <c:barDir val="col"/>
        <c:grouping val="stacked"/>
        <c:varyColors val="0"/>
        <c:ser>
          <c:idx val="1"/>
          <c:order val="0"/>
          <c:tx>
            <c:strRef>
              <c:f>'Figures in the Report'!$I$285</c:f>
              <c:strCache>
                <c:ptCount val="1"/>
                <c:pt idx="0">
                  <c:v>Enterprise</c:v>
                </c:pt>
              </c:strCache>
            </c:strRef>
          </c:tx>
          <c:spPr>
            <a:solidFill>
              <a:schemeClr val="accent3"/>
            </a:solidFill>
            <a:ln>
              <a:solidFill>
                <a:schemeClr val="accent3"/>
              </a:solidFill>
            </a:ln>
          </c:spPr>
          <c:invertIfNegative val="0"/>
          <c:cat>
            <c:numRef>
              <c:f>'Figures in the Report'!$J$283:$T$283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Report'!$J$285:$T$285</c:f>
              <c:numCache>
                <c:formatCode>_("$"* #,##0_);_("$"* \(#,##0\);_("$"* "-"??_);_(@_)</c:formatCode>
                <c:ptCount val="11"/>
                <c:pt idx="0">
                  <c:v>293.19024989596261</c:v>
                </c:pt>
                <c:pt idx="1">
                  <c:v>181.98957506973485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40A-7B40-8CCB-A0E154651BA5}"/>
            </c:ext>
          </c:extLst>
        </c:ser>
        <c:ser>
          <c:idx val="2"/>
          <c:order val="1"/>
          <c:tx>
            <c:strRef>
              <c:f>'Figures in the Report'!$I$286</c:f>
              <c:strCache>
                <c:ptCount val="1"/>
                <c:pt idx="0">
                  <c:v>Telecom</c:v>
                </c:pt>
              </c:strCache>
            </c:strRef>
          </c:tx>
          <c:spPr>
            <a:solidFill>
              <a:schemeClr val="accent1"/>
            </a:solidFill>
            <a:ln>
              <a:solidFill>
                <a:schemeClr val="accent1"/>
              </a:solidFill>
            </a:ln>
          </c:spPr>
          <c:invertIfNegative val="0"/>
          <c:cat>
            <c:numRef>
              <c:f>'Figures in the Report'!$J$283:$T$283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Report'!$J$286:$T$286</c:f>
              <c:numCache>
                <c:formatCode>_("$"* #,##0_);_("$"* \(#,##0\);_("$"* "-"??_);_(@_)</c:formatCode>
                <c:ptCount val="11"/>
                <c:pt idx="0">
                  <c:v>2589.4655227485227</c:v>
                </c:pt>
                <c:pt idx="1">
                  <c:v>2625.3664227244099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40A-7B40-8CCB-A0E154651BA5}"/>
            </c:ext>
          </c:extLst>
        </c:ser>
        <c:ser>
          <c:idx val="0"/>
          <c:order val="2"/>
          <c:tx>
            <c:strRef>
              <c:f>'Figures in the Report'!$I$284</c:f>
              <c:strCache>
                <c:ptCount val="1"/>
                <c:pt idx="0">
                  <c:v>Cloud</c:v>
                </c:pt>
              </c:strCache>
            </c:strRef>
          </c:tx>
          <c:spPr>
            <a:solidFill>
              <a:schemeClr val="accent2"/>
            </a:solidFill>
            <a:ln>
              <a:solidFill>
                <a:schemeClr val="accent2"/>
              </a:solidFill>
            </a:ln>
          </c:spPr>
          <c:invertIfNegative val="0"/>
          <c:cat>
            <c:numRef>
              <c:f>'Figures in the Report'!$J$283:$T$283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Report'!$J$284:$T$284</c:f>
              <c:numCache>
                <c:formatCode>_("$"* #,##0_);_("$"* \(#,##0\);_("$"* "-"??_);_(@_)</c:formatCode>
                <c:ptCount val="11"/>
                <c:pt idx="0">
                  <c:v>874.67232262824155</c:v>
                </c:pt>
                <c:pt idx="1">
                  <c:v>933.53875846914013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9A5-C449-85B0-ECC689742AE6}"/>
            </c:ext>
          </c:extLst>
        </c:ser>
        <c:dLbls>
          <c:showLegendKey val="0"/>
          <c:showVal val="0"/>
          <c:showCatName val="0"/>
          <c:showSerName val="0"/>
          <c:showPercent val="0"/>
          <c:showBubbleSize val="0"/>
        </c:dLbls>
        <c:gapWidth val="150"/>
        <c:overlap val="100"/>
        <c:axId val="327898624"/>
        <c:axId val="327900160"/>
      </c:barChart>
      <c:catAx>
        <c:axId val="327898624"/>
        <c:scaling>
          <c:orientation val="minMax"/>
        </c:scaling>
        <c:delete val="0"/>
        <c:axPos val="b"/>
        <c:numFmt formatCode="General" sourceLinked="1"/>
        <c:majorTickMark val="out"/>
        <c:minorTickMark val="none"/>
        <c:tickLblPos val="nextTo"/>
        <c:crossAx val="327900160"/>
        <c:crosses val="autoZero"/>
        <c:auto val="1"/>
        <c:lblAlgn val="ctr"/>
        <c:lblOffset val="100"/>
        <c:noMultiLvlLbl val="0"/>
      </c:catAx>
      <c:valAx>
        <c:axId val="327900160"/>
        <c:scaling>
          <c:orientation val="minMax"/>
        </c:scaling>
        <c:delete val="0"/>
        <c:axPos val="l"/>
        <c:majorGridlines/>
        <c:title>
          <c:tx>
            <c:rich>
              <a:bodyPr rot="-5400000" vert="horz"/>
              <a:lstStyle/>
              <a:p>
                <a:pPr>
                  <a:defRPr/>
                </a:pPr>
                <a:r>
                  <a:rPr lang="en-US"/>
                  <a:t>Annual sales ($ mn)</a:t>
                </a:r>
              </a:p>
            </c:rich>
          </c:tx>
          <c:layout>
            <c:manualLayout>
              <c:xMode val="edge"/>
              <c:yMode val="edge"/>
              <c:x val="1.3778019554468312E-2"/>
              <c:y val="0.2494342373869933"/>
            </c:manualLayout>
          </c:layout>
          <c:overlay val="0"/>
        </c:title>
        <c:numFmt formatCode="_(&quot;$&quot;* #,##0_);_(&quot;$&quot;* \(#,##0\);_(&quot;$&quot;* &quot;-&quot;??_);_(@_)" sourceLinked="1"/>
        <c:majorTickMark val="out"/>
        <c:minorTickMark val="none"/>
        <c:tickLblPos val="nextTo"/>
        <c:crossAx val="327898624"/>
        <c:crosses val="autoZero"/>
        <c:crossBetween val="between"/>
      </c:valAx>
    </c:plotArea>
    <c:legend>
      <c:legendPos val="r"/>
      <c:layout>
        <c:manualLayout>
          <c:xMode val="edge"/>
          <c:yMode val="edge"/>
          <c:x val="0.25893772677571575"/>
          <c:y val="5.9538404271212902E-2"/>
          <c:w val="0.15036409163164471"/>
          <c:h val="0.2511515748031495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89829106740709"/>
          <c:y val="3.75116652085156E-2"/>
          <c:w val="0.80154548032645367"/>
          <c:h val="0.85709526639054923"/>
        </c:manualLayout>
      </c:layout>
      <c:barChart>
        <c:barDir val="col"/>
        <c:grouping val="clustered"/>
        <c:varyColors val="0"/>
        <c:ser>
          <c:idx val="0"/>
          <c:order val="0"/>
          <c:tx>
            <c:strRef>
              <c:f>'Figures in the Report'!$I$303</c:f>
              <c:strCache>
                <c:ptCount val="1"/>
                <c:pt idx="0">
                  <c:v>400 ZR</c:v>
                </c:pt>
              </c:strCache>
            </c:strRef>
          </c:tx>
          <c:spPr>
            <a:solidFill>
              <a:schemeClr val="accent2"/>
            </a:solidFill>
            <a:ln>
              <a:solidFill>
                <a:schemeClr val="accent2"/>
              </a:solidFill>
            </a:ln>
          </c:spPr>
          <c:invertIfNegative val="0"/>
          <c:cat>
            <c:numRef>
              <c:f>'Figures in the Report'!$M$302:$T$302</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Report'!$M$303:$T$303</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9A5-C449-85B0-ECC689742AE6}"/>
            </c:ext>
          </c:extLst>
        </c:ser>
        <c:ser>
          <c:idx val="2"/>
          <c:order val="1"/>
          <c:tx>
            <c:strRef>
              <c:f>'Figures in the Report'!$I$304</c:f>
              <c:strCache>
                <c:ptCount val="1"/>
                <c:pt idx="0">
                  <c:v>400 ZR+</c:v>
                </c:pt>
              </c:strCache>
            </c:strRef>
          </c:tx>
          <c:spPr>
            <a:solidFill>
              <a:schemeClr val="accent1"/>
            </a:solidFill>
            <a:ln>
              <a:solidFill>
                <a:schemeClr val="accent1"/>
              </a:solidFill>
            </a:ln>
          </c:spPr>
          <c:invertIfNegative val="0"/>
          <c:cat>
            <c:numRef>
              <c:f>'Figures in the Report'!$M$302:$T$302</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Report'!$M$304:$T$304</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F55-874B-8859-0732D41D2AC2}"/>
            </c:ext>
          </c:extLst>
        </c:ser>
        <c:ser>
          <c:idx val="3"/>
          <c:order val="2"/>
          <c:tx>
            <c:strRef>
              <c:f>'Figures in the Report'!$I$305</c:f>
              <c:strCache>
                <c:ptCount val="1"/>
                <c:pt idx="0">
                  <c:v>800 ZR/ZR+</c:v>
                </c:pt>
              </c:strCache>
            </c:strRef>
          </c:tx>
          <c:spPr>
            <a:solidFill>
              <a:schemeClr val="accent3"/>
            </a:solidFill>
          </c:spPr>
          <c:invertIfNegative val="0"/>
          <c:cat>
            <c:numRef>
              <c:f>'Figures in the Report'!$M$302:$T$302</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Report'!$M$305:$T$305</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1F55-874B-8859-0732D41D2AC2}"/>
            </c:ext>
          </c:extLst>
        </c:ser>
        <c:dLbls>
          <c:showLegendKey val="0"/>
          <c:showVal val="0"/>
          <c:showCatName val="0"/>
          <c:showSerName val="0"/>
          <c:showPercent val="0"/>
          <c:showBubbleSize val="0"/>
        </c:dLbls>
        <c:gapWidth val="150"/>
        <c:axId val="454652288"/>
        <c:axId val="454654208"/>
      </c:barChart>
      <c:catAx>
        <c:axId val="454652288"/>
        <c:scaling>
          <c:orientation val="minMax"/>
        </c:scaling>
        <c:delete val="0"/>
        <c:axPos val="b"/>
        <c:numFmt formatCode="General" sourceLinked="1"/>
        <c:majorTickMark val="out"/>
        <c:minorTickMark val="none"/>
        <c:tickLblPos val="nextTo"/>
        <c:crossAx val="454654208"/>
        <c:crosses val="autoZero"/>
        <c:auto val="1"/>
        <c:lblAlgn val="ctr"/>
        <c:lblOffset val="100"/>
        <c:noMultiLvlLbl val="0"/>
      </c:catAx>
      <c:valAx>
        <c:axId val="454654208"/>
        <c:scaling>
          <c:orientation val="minMax"/>
          <c:max val="500000"/>
        </c:scaling>
        <c:delete val="0"/>
        <c:axPos val="l"/>
        <c:majorGridlines/>
        <c:title>
          <c:tx>
            <c:rich>
              <a:bodyPr rot="-5400000" vert="horz"/>
              <a:lstStyle/>
              <a:p>
                <a:pPr>
                  <a:defRPr/>
                </a:pPr>
                <a:r>
                  <a:rPr lang="en-US"/>
                  <a:t>Shipments (units)</a:t>
                </a:r>
              </a:p>
            </c:rich>
          </c:tx>
          <c:layout>
            <c:manualLayout>
              <c:xMode val="edge"/>
              <c:yMode val="edge"/>
              <c:x val="1.3778019554468312E-2"/>
              <c:y val="0.2494342373869933"/>
            </c:manualLayout>
          </c:layout>
          <c:overlay val="0"/>
        </c:title>
        <c:numFmt formatCode="#,##0" sourceLinked="0"/>
        <c:majorTickMark val="out"/>
        <c:minorTickMark val="none"/>
        <c:tickLblPos val="nextTo"/>
        <c:crossAx val="454652288"/>
        <c:crosses val="autoZero"/>
        <c:crossBetween val="between"/>
        <c:majorUnit val="100000"/>
      </c:valAx>
    </c:plotArea>
    <c:legend>
      <c:legendPos val="r"/>
      <c:layout>
        <c:manualLayout>
          <c:xMode val="edge"/>
          <c:yMode val="edge"/>
          <c:x val="0.20574375410467266"/>
          <c:y val="8.1720135670923219E-2"/>
          <c:w val="0.2654814484772946"/>
          <c:h val="0.2511515748031495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0.12720530318666948"/>
          <c:w val="0.86351159230096242"/>
          <c:h val="0.75494281321761159"/>
        </c:manualLayout>
      </c:layout>
      <c:lineChart>
        <c:grouping val="standard"/>
        <c:varyColors val="0"/>
        <c:ser>
          <c:idx val="0"/>
          <c:order val="0"/>
          <c:tx>
            <c:strRef>
              <c:f>'Figures in the Report'!$I$177</c:f>
              <c:strCache>
                <c:ptCount val="1"/>
                <c:pt idx="0">
                  <c:v>Enterprise</c:v>
                </c:pt>
              </c:strCache>
            </c:strRef>
          </c:tx>
          <c:spPr>
            <a:ln>
              <a:solidFill>
                <a:srgbClr val="00B050"/>
              </a:solidFill>
            </a:ln>
          </c:spPr>
          <c:marker>
            <c:symbol val="none"/>
          </c:marker>
          <c:cat>
            <c:numRef>
              <c:f>'Figures in the Report'!$J$176:$S$176</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'Figures in the Report'!$J$177:$S$177</c:f>
              <c:numCache>
                <c:formatCode>0%</c:formatCode>
                <c:ptCount val="10"/>
                <c:pt idx="0">
                  <c:v>0.78573162996203627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A76D-3E43-A890-42449CD08CAF}"/>
            </c:ext>
          </c:extLst>
        </c:ser>
        <c:ser>
          <c:idx val="1"/>
          <c:order val="1"/>
          <c:tx>
            <c:strRef>
              <c:f>'Figures in the Report'!$I$178</c:f>
              <c:strCache>
                <c:ptCount val="1"/>
                <c:pt idx="0">
                  <c:v>Telecom</c:v>
                </c:pt>
              </c:strCache>
            </c:strRef>
          </c:tx>
          <c:spPr>
            <a:ln>
              <a:solidFill>
                <a:srgbClr val="C00000"/>
              </a:solidFill>
            </a:ln>
          </c:spPr>
          <c:marker>
            <c:symbol val="none"/>
          </c:marker>
          <c:cat>
            <c:numRef>
              <c:f>'Figures in the Report'!$J$176:$S$176</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'Figures in the Report'!$J$178:$S$178</c:f>
              <c:numCache>
                <c:formatCode>0%</c:formatCode>
                <c:ptCount val="10"/>
                <c:pt idx="0">
                  <c:v>0.90167831433563528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A76D-3E43-A890-42449CD08CAF}"/>
            </c:ext>
          </c:extLst>
        </c:ser>
        <c:ser>
          <c:idx val="2"/>
          <c:order val="2"/>
          <c:tx>
            <c:strRef>
              <c:f>'Figures in the Report'!$I$179</c:f>
              <c:strCache>
                <c:ptCount val="1"/>
                <c:pt idx="0">
                  <c:v>Cloud</c:v>
                </c:pt>
              </c:strCache>
            </c:strRef>
          </c:tx>
          <c:spPr>
            <a:ln w="25400">
              <a:solidFill>
                <a:schemeClr val="accent1"/>
              </a:solidFill>
            </a:ln>
          </c:spPr>
          <c:marker>
            <c:symbol val="none"/>
          </c:marker>
          <c:cat>
            <c:numRef>
              <c:f>'Figures in the Report'!$J$176:$S$176</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'Figures in the Report'!$J$179:$S$179</c:f>
              <c:numCache>
                <c:formatCode>0%</c:formatCode>
                <c:ptCount val="10"/>
                <c:pt idx="0">
                  <c:v>1.2351269500344495</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2-A76D-3E43-A890-42449CD08CAF}"/>
            </c:ext>
          </c:extLst>
        </c:ser>
        <c:dLbls>
          <c:showLegendKey val="0"/>
          <c:showVal val="0"/>
          <c:showCatName val="0"/>
          <c:showSerName val="0"/>
          <c:showPercent val="0"/>
          <c:showBubbleSize val="0"/>
        </c:dLbls>
        <c:smooth val="0"/>
        <c:axId val="62201216"/>
        <c:axId val="62302080"/>
      </c:lineChart>
      <c:catAx>
        <c:axId val="62201216"/>
        <c:scaling>
          <c:orientation val="minMax"/>
        </c:scaling>
        <c:delete val="0"/>
        <c:axPos val="b"/>
        <c:numFmt formatCode="General" sourceLinked="1"/>
        <c:majorTickMark val="out"/>
        <c:minorTickMark val="none"/>
        <c:tickLblPos val="nextTo"/>
        <c:crossAx val="62302080"/>
        <c:crosses val="autoZero"/>
        <c:auto val="1"/>
        <c:lblAlgn val="ctr"/>
        <c:lblOffset val="100"/>
        <c:noMultiLvlLbl val="0"/>
      </c:catAx>
      <c:valAx>
        <c:axId val="62302080"/>
        <c:scaling>
          <c:orientation val="minMax"/>
        </c:scaling>
        <c:delete val="0"/>
        <c:axPos val="l"/>
        <c:majorGridlines/>
        <c:numFmt formatCode="0%" sourceLinked="1"/>
        <c:majorTickMark val="out"/>
        <c:minorTickMark val="none"/>
        <c:tickLblPos val="nextTo"/>
        <c:crossAx val="62201216"/>
        <c:crosses val="autoZero"/>
        <c:crossBetween val="between"/>
      </c:valAx>
    </c:plotArea>
    <c:legend>
      <c:legendPos val="t"/>
      <c:layout>
        <c:manualLayout>
          <c:xMode val="edge"/>
          <c:yMode val="edge"/>
          <c:x val="0.20320172208689741"/>
          <c:y val="1.1754829430020354E-2"/>
          <c:w val="0.57930726112689035"/>
          <c:h val="0.10628078122411276"/>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167356293313253"/>
          <c:y val="5.1400554097404488E-2"/>
          <c:w val="0.80198207807188815"/>
          <c:h val="0.84385211242114821"/>
        </c:manualLayout>
      </c:layout>
      <c:lineChart>
        <c:grouping val="standard"/>
        <c:varyColors val="0"/>
        <c:ser>
          <c:idx val="0"/>
          <c:order val="0"/>
          <c:tx>
            <c:strRef>
              <c:f>'Figures in the Report'!$I$319</c:f>
              <c:strCache>
                <c:ptCount val="1"/>
                <c:pt idx="0">
                  <c:v>100G</c:v>
                </c:pt>
              </c:strCache>
            </c:strRef>
          </c:tx>
          <c:marker>
            <c:symbol val="none"/>
          </c:marker>
          <c:cat>
            <c:numRef>
              <c:f>'Figures in the Report'!$J$318:$T$318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Report'!$J$319:$T$319</c:f>
              <c:numCache>
                <c:formatCode>_-* #,##0_-;\-* #,##0_-;_-* "-"??_-;_-@_-</c:formatCode>
                <c:ptCount val="11"/>
                <c:pt idx="0">
                  <c:v>102610.31603816527</c:v>
                </c:pt>
                <c:pt idx="1">
                  <c:v>96823.604000000007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09E7-D141-AB42-E767CC83F5CA}"/>
            </c:ext>
          </c:extLst>
        </c:ser>
        <c:ser>
          <c:idx val="1"/>
          <c:order val="1"/>
          <c:tx>
            <c:strRef>
              <c:f>'Figures in the Report'!$I$320</c:f>
              <c:strCache>
                <c:ptCount val="1"/>
                <c:pt idx="0">
                  <c:v>200G</c:v>
                </c:pt>
              </c:strCache>
            </c:strRef>
          </c:tx>
          <c:spPr>
            <a:ln>
              <a:solidFill>
                <a:srgbClr val="F79646"/>
              </a:solidFill>
            </a:ln>
          </c:spPr>
          <c:marker>
            <c:symbol val="none"/>
          </c:marker>
          <c:cat>
            <c:numRef>
              <c:f>'Figures in the Report'!$J$318:$T$318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Report'!$J$320:$T$320</c:f>
              <c:numCache>
                <c:formatCode>_-* #,##0_-;\-* #,##0_-;_-* "-"??_-;_-@_-</c:formatCode>
                <c:ptCount val="11"/>
                <c:pt idx="0">
                  <c:v>25523.852459016394</c:v>
                </c:pt>
                <c:pt idx="1">
                  <c:v>54270.959999999992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09E7-D141-AB42-E767CC83F5CA}"/>
            </c:ext>
          </c:extLst>
        </c:ser>
        <c:ser>
          <c:idx val="4"/>
          <c:order val="2"/>
          <c:tx>
            <c:strRef>
              <c:f>'Figures in the Report'!$I$321</c:f>
              <c:strCache>
                <c:ptCount val="1"/>
                <c:pt idx="0">
                  <c:v>400G</c:v>
                </c:pt>
              </c:strCache>
            </c:strRef>
          </c:tx>
          <c:spPr>
            <a:ln>
              <a:solidFill>
                <a:srgbClr val="C0504D"/>
              </a:solidFill>
            </a:ln>
          </c:spPr>
          <c:marker>
            <c:symbol val="none"/>
          </c:marker>
          <c:cat>
            <c:numRef>
              <c:f>'Figures in the Report'!$J$318:$T$318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Report'!$J$321:$T$321</c:f>
              <c:numCache>
                <c:formatCode>_-* #,##0_-;\-* #,##0_-;_-* "-"??_-;_-@_-</c:formatCode>
                <c:ptCount val="11"/>
                <c:pt idx="0">
                  <c:v>8750</c:v>
                </c:pt>
                <c:pt idx="1">
                  <c:v>17715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09E7-D141-AB42-E767CC83F5CA}"/>
            </c:ext>
          </c:extLst>
        </c:ser>
        <c:ser>
          <c:idx val="2"/>
          <c:order val="3"/>
          <c:tx>
            <c:strRef>
              <c:f>'Figures in the Report'!$I$322</c:f>
              <c:strCache>
                <c:ptCount val="1"/>
                <c:pt idx="0">
                  <c:v>600/800G</c:v>
                </c:pt>
              </c:strCache>
            </c:strRef>
          </c:tx>
          <c:marker>
            <c:symbol val="none"/>
          </c:marker>
          <c:cat>
            <c:numRef>
              <c:f>'Figures in the Report'!$J$318:$T$318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Report'!$J$322:$T$322</c:f>
              <c:numCache>
                <c:formatCode>_-* #,##0_-;\-* #,##0_-;_-* "-"??_-;_-@_-</c:formatCode>
                <c:ptCount val="11"/>
                <c:pt idx="0">
                  <c:v>0</c:v>
                </c:pt>
                <c:pt idx="1">
                  <c:v>16.400000000000002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09E7-D141-AB42-E767CC83F5CA}"/>
            </c:ext>
          </c:extLst>
        </c:ser>
        <c:ser>
          <c:idx val="3"/>
          <c:order val="4"/>
          <c:tx>
            <c:strRef>
              <c:f>'Figures in the Report'!$I$323</c:f>
              <c:strCache>
                <c:ptCount val="1"/>
                <c:pt idx="0">
                  <c:v>1.2/1.6T</c:v>
                </c:pt>
              </c:strCache>
            </c:strRef>
          </c:tx>
          <c:marker>
            <c:symbol val="none"/>
          </c:marker>
          <c:cat>
            <c:numRef>
              <c:f>'Figures in the Report'!$J$318:$T$318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Report'!$J$323:$T$323</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09E7-D141-AB42-E767CC83F5CA}"/>
            </c:ext>
          </c:extLst>
        </c:ser>
        <c:dLbls>
          <c:showLegendKey val="0"/>
          <c:showVal val="0"/>
          <c:showCatName val="0"/>
          <c:showSerName val="0"/>
          <c:showPercent val="0"/>
          <c:showBubbleSize val="0"/>
        </c:dLbls>
        <c:smooth val="0"/>
        <c:axId val="6412544"/>
        <c:axId val="6414336"/>
      </c:lineChart>
      <c:catAx>
        <c:axId val="6412544"/>
        <c:scaling>
          <c:orientation val="minMax"/>
        </c:scaling>
        <c:delete val="0"/>
        <c:axPos val="b"/>
        <c:numFmt formatCode="General" sourceLinked="1"/>
        <c:majorTickMark val="out"/>
        <c:minorTickMark val="none"/>
        <c:tickLblPos val="nextTo"/>
        <c:crossAx val="6414336"/>
        <c:crosses val="autoZero"/>
        <c:auto val="1"/>
        <c:lblAlgn val="ctr"/>
        <c:lblOffset val="100"/>
        <c:noMultiLvlLbl val="0"/>
      </c:catAx>
      <c:valAx>
        <c:axId val="6414336"/>
        <c:scaling>
          <c:orientation val="minMax"/>
          <c:max val="600000"/>
          <c:min val="0"/>
        </c:scaling>
        <c:delete val="0"/>
        <c:axPos val="l"/>
        <c:majorGridlines/>
        <c:title>
          <c:tx>
            <c:rich>
              <a:bodyPr rot="-5400000" vert="horz"/>
              <a:lstStyle/>
              <a:p>
                <a:pPr>
                  <a:defRPr/>
                </a:pPr>
                <a:r>
                  <a:rPr lang="en-US"/>
                  <a:t>Annual shipments (units)</a:t>
                </a:r>
              </a:p>
            </c:rich>
          </c:tx>
          <c:layout>
            <c:manualLayout>
              <c:xMode val="edge"/>
              <c:yMode val="edge"/>
              <c:x val="1.7191196144681415E-2"/>
              <c:y val="0.17642650701318288"/>
            </c:manualLayout>
          </c:layout>
          <c:overlay val="0"/>
        </c:title>
        <c:numFmt formatCode="_-* #,##0_-;\-* #,##0_-;_-* &quot;-&quot;??_-;_-@_-" sourceLinked="1"/>
        <c:majorTickMark val="out"/>
        <c:minorTickMark val="none"/>
        <c:tickLblPos val="nextTo"/>
        <c:crossAx val="6412544"/>
        <c:crosses val="autoZero"/>
        <c:crossBetween val="between"/>
      </c:valAx>
    </c:plotArea>
    <c:legend>
      <c:legendPos val="r"/>
      <c:layout>
        <c:manualLayout>
          <c:xMode val="edge"/>
          <c:yMode val="edge"/>
          <c:x val="0.19682605107221943"/>
          <c:y val="6.8874159654878531E-2"/>
          <c:w val="0.21438028067729079"/>
          <c:h val="0.45250125447957867"/>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89343303697847"/>
          <c:y val="3.7511714123571405E-2"/>
          <c:w val="0.8137191601049869"/>
          <c:h val="0.82907662583843689"/>
        </c:manualLayout>
      </c:layout>
      <c:lineChart>
        <c:grouping val="standard"/>
        <c:varyColors val="0"/>
        <c:ser>
          <c:idx val="0"/>
          <c:order val="0"/>
          <c:tx>
            <c:strRef>
              <c:f>'Figures in the Report'!$I$337</c:f>
              <c:strCache>
                <c:ptCount val="1"/>
                <c:pt idx="0">
                  <c:v>100G</c:v>
                </c:pt>
              </c:strCache>
            </c:strRef>
          </c:tx>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Report'!$J$337:$T$337</c:f>
              <c:numCache>
                <c:formatCode>_("$"* #,##0_);_("$"* \(#,##0\);_("$"* "-"??_);_(@_)</c:formatCode>
                <c:ptCount val="11"/>
                <c:pt idx="0">
                  <c:v>652.78972686537111</c:v>
                </c:pt>
                <c:pt idx="1">
                  <c:v>440.56860426666674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9B7-6846-91E8-17AAB7945977}"/>
            </c:ext>
          </c:extLst>
        </c:ser>
        <c:ser>
          <c:idx val="1"/>
          <c:order val="1"/>
          <c:tx>
            <c:strRef>
              <c:f>'Figures in the Report'!$I$338</c:f>
              <c:strCache>
                <c:ptCount val="1"/>
                <c:pt idx="0">
                  <c:v>200G</c:v>
                </c:pt>
              </c:strCache>
            </c:strRef>
          </c:tx>
          <c:spPr>
            <a:ln>
              <a:solidFill>
                <a:schemeClr val="accent6"/>
              </a:solidFill>
            </a:ln>
          </c:spPr>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Report'!$J$338:$T$338</c:f>
              <c:numCache>
                <c:formatCode>_("$"* #,##0_);_("$"* \(#,##0\);_("$"* "-"??_);_(@_)</c:formatCode>
                <c:ptCount val="11"/>
                <c:pt idx="0">
                  <c:v>202.13476900149033</c:v>
                </c:pt>
                <c:pt idx="1">
                  <c:v>322.79382981818173</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9B7-6846-91E8-17AAB7945977}"/>
            </c:ext>
          </c:extLst>
        </c:ser>
        <c:ser>
          <c:idx val="2"/>
          <c:order val="2"/>
          <c:tx>
            <c:strRef>
              <c:f>'Figures in the Report'!$I$339</c:f>
              <c:strCache>
                <c:ptCount val="1"/>
                <c:pt idx="0">
                  <c:v>400G</c:v>
                </c:pt>
              </c:strCache>
            </c:strRef>
          </c:tx>
          <c:spPr>
            <a:ln>
              <a:solidFill>
                <a:schemeClr val="accent2"/>
              </a:solidFill>
            </a:ln>
          </c:spPr>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Report'!$J$339:$T$339</c:f>
              <c:numCache>
                <c:formatCode>_("$"* #,##0_);_("$"* \(#,##0\);_("$"* "-"??_);_(@_)</c:formatCode>
                <c:ptCount val="11"/>
                <c:pt idx="0">
                  <c:v>0</c:v>
                </c:pt>
                <c:pt idx="1">
                  <c:v>154.00545454545454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9B7-6846-91E8-17AAB7945977}"/>
            </c:ext>
          </c:extLst>
        </c:ser>
        <c:ser>
          <c:idx val="3"/>
          <c:order val="3"/>
          <c:tx>
            <c:strRef>
              <c:f>'Figures in the Report'!$I$340</c:f>
              <c:strCache>
                <c:ptCount val="1"/>
                <c:pt idx="0">
                  <c:v>600/800G</c:v>
                </c:pt>
              </c:strCache>
            </c:strRef>
          </c:tx>
          <c:spPr>
            <a:ln>
              <a:solidFill>
                <a:schemeClr val="accent3"/>
              </a:solidFill>
            </a:ln>
          </c:spPr>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Report'!$J$340:$T$340</c:f>
              <c:numCache>
                <c:formatCode>_("$"* #,##0_);_("$"* \(#,##0\);_("$"* "-"??_);_(@_)</c:formatCode>
                <c:ptCount val="11"/>
                <c:pt idx="0">
                  <c:v>0</c:v>
                </c:pt>
                <c:pt idx="1">
                  <c:v>0.16400000000000003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9B7-6846-91E8-17AAB7945977}"/>
            </c:ext>
          </c:extLst>
        </c:ser>
        <c:ser>
          <c:idx val="4"/>
          <c:order val="4"/>
          <c:tx>
            <c:strRef>
              <c:f>'Figures in the Report'!$I$341</c:f>
              <c:strCache>
                <c:ptCount val="1"/>
                <c:pt idx="0">
                  <c:v>1.2/1.6T</c:v>
                </c:pt>
              </c:strCache>
            </c:strRef>
          </c:tx>
          <c:spPr>
            <a:ln>
              <a:solidFill>
                <a:schemeClr val="accent4"/>
              </a:solidFill>
            </a:ln>
          </c:spPr>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Report'!$J$341:$T$341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A9B7-6846-91E8-17AAB7945977}"/>
            </c:ext>
          </c:extLst>
        </c:ser>
        <c:dLbls>
          <c:showLegendKey val="0"/>
          <c:showVal val="0"/>
          <c:showCatName val="0"/>
          <c:showSerName val="0"/>
          <c:showPercent val="0"/>
          <c:showBubbleSize val="0"/>
        </c:dLbls>
        <c:smooth val="0"/>
        <c:axId val="8488832"/>
        <c:axId val="8490368"/>
      </c:lineChart>
      <c:catAx>
        <c:axId val="8488832"/>
        <c:scaling>
          <c:orientation val="minMax"/>
        </c:scaling>
        <c:delete val="0"/>
        <c:axPos val="b"/>
        <c:numFmt formatCode="General" sourceLinked="1"/>
        <c:majorTickMark val="out"/>
        <c:minorTickMark val="none"/>
        <c:tickLblPos val="nextTo"/>
        <c:crossAx val="8490368"/>
        <c:crosses val="autoZero"/>
        <c:auto val="1"/>
        <c:lblAlgn val="ctr"/>
        <c:lblOffset val="100"/>
        <c:noMultiLvlLbl val="0"/>
      </c:catAx>
      <c:valAx>
        <c:axId val="8490368"/>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3796308001380314E-2"/>
              <c:y val="0.2252881460209106"/>
            </c:manualLayout>
          </c:layout>
          <c:overlay val="0"/>
        </c:title>
        <c:numFmt formatCode="_(&quot;$&quot;* #,##0_);_(&quot;$&quot;* \(#,##0\);_(&quot;$&quot;* &quot;-&quot;??_);_(@_)" sourceLinked="1"/>
        <c:majorTickMark val="out"/>
        <c:minorTickMark val="none"/>
        <c:tickLblPos val="nextTo"/>
        <c:crossAx val="8488832"/>
        <c:crosses val="autoZero"/>
        <c:crossBetween val="between"/>
      </c:valAx>
    </c:plotArea>
    <c:legend>
      <c:legendPos val="r"/>
      <c:layout>
        <c:manualLayout>
          <c:xMode val="edge"/>
          <c:yMode val="edge"/>
          <c:x val="0.19295176175787415"/>
          <c:y val="9.4739884207964573E-2"/>
          <c:w val="0.23878013318849706"/>
          <c:h val="0.46846925870017542"/>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3992173451156"/>
          <c:y val="5.276206914219108E-2"/>
          <c:w val="0.78051351444303374"/>
          <c:h val="0.84432719895992114"/>
        </c:manualLayout>
      </c:layout>
      <c:lineChart>
        <c:grouping val="standard"/>
        <c:varyColors val="0"/>
        <c:ser>
          <c:idx val="0"/>
          <c:order val="0"/>
          <c:tx>
            <c:strRef>
              <c:f>'Figures in the Report'!$I$358</c:f>
              <c:strCache>
                <c:ptCount val="1"/>
                <c:pt idx="0">
                  <c:v>400G SR4</c:v>
                </c:pt>
              </c:strCache>
            </c:strRef>
          </c:tx>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Report'!$J$358:$T$358</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6A41-B545-965A-F40C531FCB32}"/>
            </c:ext>
          </c:extLst>
        </c:ser>
        <c:ser>
          <c:idx val="1"/>
          <c:order val="1"/>
          <c:tx>
            <c:strRef>
              <c:f>'Figures in the Report'!$I$359</c:f>
              <c:strCache>
                <c:ptCount val="1"/>
                <c:pt idx="0">
                  <c:v>800G SR8</c:v>
                </c:pt>
              </c:strCache>
            </c:strRef>
          </c:tx>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Report'!$J$359:$T$359</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A41-B545-965A-F40C531FCB32}"/>
            </c:ext>
          </c:extLst>
        </c:ser>
        <c:ser>
          <c:idx val="2"/>
          <c:order val="2"/>
          <c:tx>
            <c:strRef>
              <c:f>'Figures in the Report'!$I$360</c:f>
              <c:strCache>
                <c:ptCount val="1"/>
                <c:pt idx="0">
                  <c:v>800G DR8</c:v>
                </c:pt>
              </c:strCache>
            </c:strRef>
          </c:tx>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Report'!$J$360:$T$360</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8-6A41-B545-965A-F40C531FCB32}"/>
            </c:ext>
          </c:extLst>
        </c:ser>
        <c:ser>
          <c:idx val="3"/>
          <c:order val="3"/>
          <c:tx>
            <c:strRef>
              <c:f>'Figures in the Report'!$I$361</c:f>
              <c:strCache>
                <c:ptCount val="1"/>
                <c:pt idx="0">
                  <c:v>800G 2xFR4/FR8</c:v>
                </c:pt>
              </c:strCache>
            </c:strRef>
          </c:tx>
          <c:marker>
            <c:symbol val="none"/>
          </c:marker>
          <c:cat>
            <c:numRef>
              <c:f>'Figures in the Report'!$J$336:$T$336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Report'!$J$361:$T$361</c:f>
              <c:numCache>
                <c:formatCode>_-* #,##0_-;\-* #,##0_-;_-*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19-6A41-B545-965A-F40C531FCB32}"/>
            </c:ext>
          </c:extLst>
        </c:ser>
        <c:dLbls>
          <c:showLegendKey val="0"/>
          <c:showVal val="0"/>
          <c:showCatName val="0"/>
          <c:showSerName val="0"/>
          <c:showPercent val="0"/>
          <c:showBubbleSize val="0"/>
        </c:dLbls>
        <c:smooth val="0"/>
        <c:axId val="8506368"/>
        <c:axId val="8508160"/>
      </c:lineChart>
      <c:catAx>
        <c:axId val="8506368"/>
        <c:scaling>
          <c:orientation val="minMax"/>
        </c:scaling>
        <c:delete val="0"/>
        <c:axPos val="b"/>
        <c:numFmt formatCode="General" sourceLinked="1"/>
        <c:majorTickMark val="out"/>
        <c:minorTickMark val="none"/>
        <c:tickLblPos val="nextTo"/>
        <c:crossAx val="8508160"/>
        <c:crosses val="autoZero"/>
        <c:auto val="1"/>
        <c:lblAlgn val="ctr"/>
        <c:lblOffset val="100"/>
        <c:noMultiLvlLbl val="0"/>
      </c:catAx>
      <c:valAx>
        <c:axId val="8508160"/>
        <c:scaling>
          <c:orientation val="minMax"/>
          <c:min val="0"/>
        </c:scaling>
        <c:delete val="0"/>
        <c:axPos val="l"/>
        <c:majorGridlines/>
        <c:title>
          <c:tx>
            <c:rich>
              <a:bodyPr rot="-5400000" vert="horz"/>
              <a:lstStyle/>
              <a:p>
                <a:pPr>
                  <a:defRPr/>
                </a:pPr>
                <a:r>
                  <a:rPr lang="en-US"/>
                  <a:t>Annual shipments (units)</a:t>
                </a:r>
              </a:p>
            </c:rich>
          </c:tx>
          <c:layout>
            <c:manualLayout>
              <c:xMode val="edge"/>
              <c:yMode val="edge"/>
              <c:x val="1.3796308001380314E-2"/>
              <c:y val="0.2252881460209106"/>
            </c:manualLayout>
          </c:layout>
          <c:overlay val="0"/>
        </c:title>
        <c:numFmt formatCode="_-* #,##0_-;\-* #,##0_-;_-* &quot;-&quot;??_-;_-@_-" sourceLinked="1"/>
        <c:majorTickMark val="out"/>
        <c:minorTickMark val="none"/>
        <c:tickLblPos val="nextTo"/>
        <c:crossAx val="8506368"/>
        <c:crosses val="autoZero"/>
        <c:crossBetween val="between"/>
      </c:valAx>
    </c:plotArea>
    <c:legend>
      <c:legendPos val="r"/>
      <c:layout>
        <c:manualLayout>
          <c:xMode val="edge"/>
          <c:yMode val="edge"/>
          <c:x val="0.22615737449193501"/>
          <c:y val="9.9823397932651048E-2"/>
          <c:w val="0.2483526415959933"/>
          <c:h val="0.34004128119780624"/>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400ZR QSFP-DD</a:t>
            </a:r>
          </a:p>
        </c:rich>
      </c:tx>
      <c:layout>
        <c:manualLayout>
          <c:xMode val="edge"/>
          <c:yMode val="edge"/>
          <c:x val="0.24419804986828353"/>
          <c:y val="6.8181818181818177E-2"/>
        </c:manualLayout>
      </c:layout>
      <c:overlay val="0"/>
    </c:title>
    <c:autoTitleDeleted val="0"/>
    <c:plotArea>
      <c:layout>
        <c:manualLayout>
          <c:layoutTarget val="inner"/>
          <c:xMode val="edge"/>
          <c:yMode val="edge"/>
          <c:x val="0.20725504067128225"/>
          <c:y val="3.75116652085156E-2"/>
          <c:w val="0.76518886871412595"/>
          <c:h val="0.85634931997136721"/>
        </c:manualLayout>
      </c:layout>
      <c:barChart>
        <c:barDir val="col"/>
        <c:grouping val="clustered"/>
        <c:varyColors val="0"/>
        <c:ser>
          <c:idx val="0"/>
          <c:order val="0"/>
          <c:tx>
            <c:strRef>
              <c:f>'Figures in the Report'!$M$248</c:f>
              <c:strCache>
                <c:ptCount val="1"/>
                <c:pt idx="0">
                  <c:v>Microsoft</c:v>
                </c:pt>
              </c:strCache>
            </c:strRef>
          </c:tx>
          <c:invertIfNegative val="0"/>
          <c:cat>
            <c:numRef>
              <c:f>'Figures in the Report'!$Q$247:$X$247</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Report'!$Q$248:$X$248</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273-C44E-B671-13AB33F4D7FA}"/>
            </c:ext>
          </c:extLst>
        </c:ser>
        <c:ser>
          <c:idx val="2"/>
          <c:order val="1"/>
          <c:tx>
            <c:strRef>
              <c:f>'Figures in the Report'!$M$249</c:f>
              <c:strCache>
                <c:ptCount val="1"/>
                <c:pt idx="0">
                  <c:v>All other </c:v>
                </c:pt>
              </c:strCache>
            </c:strRef>
          </c:tx>
          <c:invertIfNegative val="0"/>
          <c:cat>
            <c:numRef>
              <c:f>'Figures in the Report'!$Q$247:$X$247</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Report'!$Q$249:$X$249</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273-C44E-B671-13AB33F4D7FA}"/>
            </c:ext>
          </c:extLst>
        </c:ser>
        <c:dLbls>
          <c:showLegendKey val="0"/>
          <c:showVal val="0"/>
          <c:showCatName val="0"/>
          <c:showSerName val="0"/>
          <c:showPercent val="0"/>
          <c:showBubbleSize val="0"/>
        </c:dLbls>
        <c:gapWidth val="150"/>
        <c:axId val="8517888"/>
        <c:axId val="8527872"/>
      </c:barChart>
      <c:catAx>
        <c:axId val="8517888"/>
        <c:scaling>
          <c:orientation val="minMax"/>
        </c:scaling>
        <c:delete val="0"/>
        <c:axPos val="b"/>
        <c:numFmt formatCode="General" sourceLinked="1"/>
        <c:majorTickMark val="out"/>
        <c:minorTickMark val="none"/>
        <c:tickLblPos val="nextTo"/>
        <c:crossAx val="8527872"/>
        <c:crosses val="autoZero"/>
        <c:auto val="1"/>
        <c:lblAlgn val="ctr"/>
        <c:lblOffset val="100"/>
        <c:noMultiLvlLbl val="0"/>
      </c:catAx>
      <c:valAx>
        <c:axId val="8527872"/>
        <c:scaling>
          <c:orientation val="minMax"/>
        </c:scaling>
        <c:delete val="0"/>
        <c:axPos val="l"/>
        <c:majorGridlines/>
        <c:title>
          <c:tx>
            <c:rich>
              <a:bodyPr rot="-5400000" vert="horz"/>
              <a:lstStyle/>
              <a:p>
                <a:pPr>
                  <a:defRPr/>
                </a:pPr>
                <a:r>
                  <a:rPr lang="en-US"/>
                  <a:t>Shipments (units)</a:t>
                </a:r>
              </a:p>
            </c:rich>
          </c:tx>
          <c:layout>
            <c:manualLayout>
              <c:xMode val="edge"/>
              <c:yMode val="edge"/>
              <c:x val="1.3778019554468312E-2"/>
              <c:y val="0.2494342373869933"/>
            </c:manualLayout>
          </c:layout>
          <c:overlay val="0"/>
        </c:title>
        <c:numFmt formatCode="#,##0" sourceLinked="0"/>
        <c:majorTickMark val="out"/>
        <c:minorTickMark val="none"/>
        <c:tickLblPos val="nextTo"/>
        <c:crossAx val="8517888"/>
        <c:crosses val="autoZero"/>
        <c:crossBetween val="between"/>
        <c:majorUnit val="50000"/>
      </c:valAx>
    </c:plotArea>
    <c:legend>
      <c:legendPos val="r"/>
      <c:layout>
        <c:manualLayout>
          <c:xMode val="edge"/>
          <c:yMode val="edge"/>
          <c:x val="0.24680860862888343"/>
          <c:y val="0.2821682176091625"/>
          <c:w val="0.17992788574636515"/>
          <c:h val="0.25569720830350751"/>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400ZR+ QSFP-DD</a:t>
            </a:r>
          </a:p>
        </c:rich>
      </c:tx>
      <c:layout>
        <c:manualLayout>
          <c:xMode val="edge"/>
          <c:yMode val="edge"/>
          <c:x val="0.24419804986828353"/>
          <c:y val="6.8181818181818177E-2"/>
        </c:manualLayout>
      </c:layout>
      <c:overlay val="0"/>
    </c:title>
    <c:autoTitleDeleted val="0"/>
    <c:plotArea>
      <c:layout>
        <c:manualLayout>
          <c:layoutTarget val="inner"/>
          <c:xMode val="edge"/>
          <c:yMode val="edge"/>
          <c:x val="0.20725504067128225"/>
          <c:y val="3.75116652085156E-2"/>
          <c:w val="0.76518886871412595"/>
          <c:h val="0.85634931997136721"/>
        </c:manualLayout>
      </c:layout>
      <c:barChart>
        <c:barDir val="col"/>
        <c:grouping val="clustered"/>
        <c:varyColors val="0"/>
        <c:ser>
          <c:idx val="0"/>
          <c:order val="0"/>
          <c:tx>
            <c:strRef>
              <c:f>'Figures in the Report'!$M$250</c:f>
              <c:strCache>
                <c:ptCount val="1"/>
                <c:pt idx="0">
                  <c:v>Amazon </c:v>
                </c:pt>
              </c:strCache>
            </c:strRef>
          </c:tx>
          <c:invertIfNegative val="0"/>
          <c:cat>
            <c:numRef>
              <c:f>'Figures in the Report'!$Q$247:$X$247</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Report'!$Q$250:$X$250</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810-1C45-AB61-B4EB0CF1CF2E}"/>
            </c:ext>
          </c:extLst>
        </c:ser>
        <c:ser>
          <c:idx val="2"/>
          <c:order val="1"/>
          <c:tx>
            <c:strRef>
              <c:f>'Figures in the Report'!$M$251</c:f>
              <c:strCache>
                <c:ptCount val="1"/>
                <c:pt idx="0">
                  <c:v>All other </c:v>
                </c:pt>
              </c:strCache>
            </c:strRef>
          </c:tx>
          <c:invertIfNegative val="0"/>
          <c:cat>
            <c:numRef>
              <c:f>'Figures in the Report'!$Q$247:$X$247</c:f>
              <c:numCache>
                <c:formatCode>General</c:formatCode>
                <c:ptCount val="8"/>
                <c:pt idx="0">
                  <c:v>2021</c:v>
                </c:pt>
                <c:pt idx="1">
                  <c:v>2022</c:v>
                </c:pt>
                <c:pt idx="2">
                  <c:v>2023</c:v>
                </c:pt>
                <c:pt idx="3">
                  <c:v>2024</c:v>
                </c:pt>
                <c:pt idx="4">
                  <c:v>2025</c:v>
                </c:pt>
                <c:pt idx="5">
                  <c:v>2026</c:v>
                </c:pt>
                <c:pt idx="6">
                  <c:v>2027</c:v>
                </c:pt>
                <c:pt idx="7">
                  <c:v>2028</c:v>
                </c:pt>
              </c:numCache>
            </c:numRef>
          </c:cat>
          <c:val>
            <c:numRef>
              <c:f>'Figures in the Report'!$Q$251:$X$251</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2810-1C45-AB61-B4EB0CF1CF2E}"/>
            </c:ext>
          </c:extLst>
        </c:ser>
        <c:dLbls>
          <c:showLegendKey val="0"/>
          <c:showVal val="0"/>
          <c:showCatName val="0"/>
          <c:showSerName val="0"/>
          <c:showPercent val="0"/>
          <c:showBubbleSize val="0"/>
        </c:dLbls>
        <c:gapWidth val="150"/>
        <c:axId val="8537216"/>
        <c:axId val="8538752"/>
      </c:barChart>
      <c:catAx>
        <c:axId val="8537216"/>
        <c:scaling>
          <c:orientation val="minMax"/>
        </c:scaling>
        <c:delete val="0"/>
        <c:axPos val="b"/>
        <c:numFmt formatCode="General" sourceLinked="1"/>
        <c:majorTickMark val="out"/>
        <c:minorTickMark val="none"/>
        <c:tickLblPos val="nextTo"/>
        <c:crossAx val="8538752"/>
        <c:crosses val="autoZero"/>
        <c:auto val="1"/>
        <c:lblAlgn val="ctr"/>
        <c:lblOffset val="100"/>
        <c:noMultiLvlLbl val="0"/>
      </c:catAx>
      <c:valAx>
        <c:axId val="8538752"/>
        <c:scaling>
          <c:orientation val="minMax"/>
        </c:scaling>
        <c:delete val="0"/>
        <c:axPos val="l"/>
        <c:majorGridlines/>
        <c:title>
          <c:tx>
            <c:rich>
              <a:bodyPr rot="-5400000" vert="horz"/>
              <a:lstStyle/>
              <a:p>
                <a:pPr>
                  <a:defRPr/>
                </a:pPr>
                <a:r>
                  <a:rPr lang="en-US"/>
                  <a:t>Shipments (units)</a:t>
                </a:r>
              </a:p>
            </c:rich>
          </c:tx>
          <c:layout>
            <c:manualLayout>
              <c:xMode val="edge"/>
              <c:yMode val="edge"/>
              <c:x val="1.3778019554468312E-2"/>
              <c:y val="0.2494342373869933"/>
            </c:manualLayout>
          </c:layout>
          <c:overlay val="0"/>
        </c:title>
        <c:numFmt formatCode="#,##0" sourceLinked="0"/>
        <c:majorTickMark val="out"/>
        <c:minorTickMark val="none"/>
        <c:tickLblPos val="nextTo"/>
        <c:crossAx val="8537216"/>
        <c:crosses val="autoZero"/>
        <c:crossBetween val="between"/>
      </c:valAx>
    </c:plotArea>
    <c:legend>
      <c:legendPos val="r"/>
      <c:layout>
        <c:manualLayout>
          <c:xMode val="edge"/>
          <c:yMode val="edge"/>
          <c:x val="0.25309791836228351"/>
          <c:y val="0.25489549033643522"/>
          <c:w val="0.19938572757532996"/>
          <c:h val="0.26968933428775943"/>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38372981634413"/>
          <c:y val="5.1400554097404488E-2"/>
          <c:w val="0.76780751879699249"/>
          <c:h val="0.8326195683872849"/>
        </c:manualLayout>
      </c:layout>
      <c:barChart>
        <c:barDir val="col"/>
        <c:grouping val="stacked"/>
        <c:varyColors val="0"/>
        <c:ser>
          <c:idx val="1"/>
          <c:order val="0"/>
          <c:tx>
            <c:v>All Other</c:v>
          </c:tx>
          <c:spPr>
            <a:solidFill>
              <a:srgbClr val="FFC000"/>
            </a:solidFill>
          </c:spPr>
          <c:invertIfNegative val="0"/>
          <c:cat>
            <c:numRef>
              <c:f>TotalMarket!$O$171:$W$171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TotalMarket!$O$197:$W$197</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ECA5-4CD7-9217-F56208F0F077}"/>
            </c:ext>
          </c:extLst>
        </c:ser>
        <c:ser>
          <c:idx val="0"/>
          <c:order val="1"/>
          <c:tx>
            <c:v>AI Clusters</c:v>
          </c:tx>
          <c:invertIfNegative val="0"/>
          <c:cat>
            <c:numRef>
              <c:f>TotalMarket!$O$171:$W$171</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TotalMarket!$O$195:$W$195</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CA5-4CD7-9217-F56208F0F077}"/>
            </c:ext>
          </c:extLst>
        </c:ser>
        <c:dLbls>
          <c:showLegendKey val="0"/>
          <c:showVal val="0"/>
          <c:showCatName val="0"/>
          <c:showSerName val="0"/>
          <c:showPercent val="0"/>
          <c:showBubbleSize val="0"/>
        </c:dLbls>
        <c:gapWidth val="150"/>
        <c:overlap val="100"/>
        <c:axId val="8577024"/>
        <c:axId val="8578560"/>
      </c:barChart>
      <c:catAx>
        <c:axId val="8577024"/>
        <c:scaling>
          <c:orientation val="minMax"/>
        </c:scaling>
        <c:delete val="0"/>
        <c:axPos val="b"/>
        <c:numFmt formatCode="General" sourceLinked="1"/>
        <c:majorTickMark val="out"/>
        <c:minorTickMark val="none"/>
        <c:tickLblPos val="nextTo"/>
        <c:crossAx val="8578560"/>
        <c:crosses val="autoZero"/>
        <c:auto val="1"/>
        <c:lblAlgn val="ctr"/>
        <c:lblOffset val="100"/>
        <c:noMultiLvlLbl val="0"/>
      </c:catAx>
      <c:valAx>
        <c:axId val="8578560"/>
        <c:scaling>
          <c:orientation val="minMax"/>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8577024"/>
        <c:crosses val="autoZero"/>
        <c:crossBetween val="between"/>
      </c:valAx>
    </c:plotArea>
    <c:legend>
      <c:legendPos val="r"/>
      <c:layout>
        <c:manualLayout>
          <c:xMode val="edge"/>
          <c:yMode val="edge"/>
          <c:x val="0.21282307407863921"/>
          <c:y val="9.6838363954505693E-2"/>
          <c:w val="0.15042682115123876"/>
          <c:h val="0.16743438320209975"/>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3992173451156"/>
          <c:y val="5.276206914219108E-2"/>
          <c:w val="0.78051351444303374"/>
          <c:h val="0.84432719895992114"/>
        </c:manualLayout>
      </c:layout>
      <c:lineChart>
        <c:grouping val="standard"/>
        <c:varyColors val="0"/>
        <c:ser>
          <c:idx val="1"/>
          <c:order val="0"/>
          <c:tx>
            <c:strRef>
              <c:f>'Figures in the Report'!$I$358</c:f>
              <c:strCache>
                <c:ptCount val="1"/>
                <c:pt idx="0">
                  <c:v>400G SR4</c:v>
                </c:pt>
              </c:strCache>
            </c:strRef>
          </c:tx>
          <c:marker>
            <c:symbol val="none"/>
          </c:marker>
          <c:cat>
            <c:numRef>
              <c:f>'Figures in the Report'!$L$357:$T$357</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'Figures in the Report'!$L$358:$T$358</c:f>
              <c:numCache>
                <c:formatCode>_-* #,##0_-;\-* #,##0_-;_-*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6293-8147-8049-1C9CB96D49DE}"/>
            </c:ext>
          </c:extLst>
        </c:ser>
        <c:ser>
          <c:idx val="0"/>
          <c:order val="1"/>
          <c:tx>
            <c:strRef>
              <c:f>'Figures in the Report'!$I$359</c:f>
              <c:strCache>
                <c:ptCount val="1"/>
                <c:pt idx="0">
                  <c:v>800G SR8</c:v>
                </c:pt>
              </c:strCache>
            </c:strRef>
          </c:tx>
          <c:marker>
            <c:symbol val="none"/>
          </c:marker>
          <c:cat>
            <c:numRef>
              <c:f>'Figures in the Report'!$L$357:$T$357</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'Figures in the Report'!$L$359:$T$359</c:f>
              <c:numCache>
                <c:formatCode>_-* #,##0_-;\-* #,##0_-;_-*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19D8-4FFB-B022-AC26A90CEF39}"/>
            </c:ext>
          </c:extLst>
        </c:ser>
        <c:ser>
          <c:idx val="2"/>
          <c:order val="2"/>
          <c:tx>
            <c:strRef>
              <c:f>'Figures in the Report'!$I$361</c:f>
              <c:strCache>
                <c:ptCount val="1"/>
                <c:pt idx="0">
                  <c:v>800G 2xFR4/FR8</c:v>
                </c:pt>
              </c:strCache>
            </c:strRef>
          </c:tx>
          <c:marker>
            <c:symbol val="none"/>
          </c:marker>
          <c:cat>
            <c:numRef>
              <c:f>'Figures in the Report'!$L$357:$T$357</c:f>
              <c:numCache>
                <c:formatCode>General</c:formatCode>
                <c:ptCount val="9"/>
                <c:pt idx="0">
                  <c:v>2020</c:v>
                </c:pt>
                <c:pt idx="1">
                  <c:v>2021</c:v>
                </c:pt>
                <c:pt idx="2">
                  <c:v>2022</c:v>
                </c:pt>
                <c:pt idx="3">
                  <c:v>2023</c:v>
                </c:pt>
                <c:pt idx="4">
                  <c:v>2024</c:v>
                </c:pt>
                <c:pt idx="5">
                  <c:v>2025</c:v>
                </c:pt>
                <c:pt idx="6">
                  <c:v>2026</c:v>
                </c:pt>
                <c:pt idx="7">
                  <c:v>2027</c:v>
                </c:pt>
                <c:pt idx="8">
                  <c:v>2028</c:v>
                </c:pt>
              </c:numCache>
            </c:numRef>
          </c:cat>
          <c:val>
            <c:numRef>
              <c:f>'Figures in the Report'!$L$361:$T$361</c:f>
              <c:numCache>
                <c:formatCode>_-* #,##0_-;\-* #,##0_-;_-*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19D8-4FFB-B022-AC26A90CEF39}"/>
            </c:ext>
          </c:extLst>
        </c:ser>
        <c:dLbls>
          <c:showLegendKey val="0"/>
          <c:showVal val="0"/>
          <c:showCatName val="0"/>
          <c:showSerName val="0"/>
          <c:showPercent val="0"/>
          <c:showBubbleSize val="0"/>
        </c:dLbls>
        <c:smooth val="0"/>
        <c:axId val="8663040"/>
        <c:axId val="8664576"/>
      </c:lineChart>
      <c:catAx>
        <c:axId val="8663040"/>
        <c:scaling>
          <c:orientation val="minMax"/>
        </c:scaling>
        <c:delete val="0"/>
        <c:axPos val="b"/>
        <c:numFmt formatCode="General" sourceLinked="1"/>
        <c:majorTickMark val="out"/>
        <c:minorTickMark val="none"/>
        <c:tickLblPos val="nextTo"/>
        <c:crossAx val="8664576"/>
        <c:crosses val="autoZero"/>
        <c:auto val="1"/>
        <c:lblAlgn val="ctr"/>
        <c:lblOffset val="100"/>
        <c:noMultiLvlLbl val="0"/>
      </c:catAx>
      <c:valAx>
        <c:axId val="8664576"/>
        <c:scaling>
          <c:orientation val="minMax"/>
          <c:min val="0"/>
        </c:scaling>
        <c:delete val="0"/>
        <c:axPos val="l"/>
        <c:majorGridlines/>
        <c:title>
          <c:tx>
            <c:rich>
              <a:bodyPr rot="-5400000" vert="horz"/>
              <a:lstStyle/>
              <a:p>
                <a:pPr>
                  <a:defRPr/>
                </a:pPr>
                <a:r>
                  <a:rPr lang="en-US"/>
                  <a:t>Annual shipments (units)</a:t>
                </a:r>
              </a:p>
            </c:rich>
          </c:tx>
          <c:layout>
            <c:manualLayout>
              <c:xMode val="edge"/>
              <c:yMode val="edge"/>
              <c:x val="1.3796308001380314E-2"/>
              <c:y val="0.2252881460209106"/>
            </c:manualLayout>
          </c:layout>
          <c:overlay val="0"/>
        </c:title>
        <c:numFmt formatCode="_-* #,##0_-;\-* #,##0_-;_-* &quot;-&quot;??_-;_-@_-" sourceLinked="1"/>
        <c:majorTickMark val="out"/>
        <c:minorTickMark val="none"/>
        <c:tickLblPos val="nextTo"/>
        <c:crossAx val="8663040"/>
        <c:crosses val="autoZero"/>
        <c:crossBetween val="between"/>
      </c:valAx>
    </c:plotArea>
    <c:legend>
      <c:legendPos val="r"/>
      <c:layout>
        <c:manualLayout>
          <c:xMode val="edge"/>
          <c:yMode val="edge"/>
          <c:x val="0.23637448610241529"/>
          <c:y val="0.11862791840892668"/>
          <c:w val="0.24877628745680541"/>
          <c:h val="0.27537431552020464"/>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179418197725285"/>
          <c:y val="5.1400554097404488E-2"/>
          <c:w val="0.81186154855643033"/>
          <c:h val="0.8326195683872849"/>
        </c:manualLayout>
      </c:layout>
      <c:lineChart>
        <c:grouping val="standard"/>
        <c:varyColors val="0"/>
        <c:ser>
          <c:idx val="0"/>
          <c:order val="0"/>
          <c:tx>
            <c:strRef>
              <c:f>'Figures in the Report'!$J$44</c:f>
              <c:strCache>
                <c:ptCount val="1"/>
                <c:pt idx="0">
                  <c:v>July 2023 forecast</c:v>
                </c:pt>
              </c:strCache>
            </c:strRef>
          </c:tx>
          <c:spPr>
            <a:ln>
              <a:solidFill>
                <a:srgbClr val="9BBB59"/>
              </a:solidFill>
            </a:ln>
          </c:spPr>
          <c:marker>
            <c:spPr>
              <a:solidFill>
                <a:srgbClr val="9BBB59"/>
              </a:solidFill>
            </c:spPr>
          </c:marker>
          <c:cat>
            <c:numRef>
              <c:f>'Figures in the Report'!$K$43:$U$43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Report'!$K$44:$U$44</c:f>
              <c:numCache>
                <c:formatCode>_("$"* #,##0_);_("$"* \(#,##0\);_("$"* "-"??_);_(@_)</c:formatCode>
                <c:ptCount val="11"/>
                <c:pt idx="0">
                  <c:v>3345.278884424838</c:v>
                </c:pt>
                <c:pt idx="1">
                  <c:v>2782.470398871395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D372-43AB-91CD-36FF2EF85B45}"/>
            </c:ext>
          </c:extLst>
        </c:ser>
        <c:ser>
          <c:idx val="1"/>
          <c:order val="1"/>
          <c:tx>
            <c:strRef>
              <c:f>'Figures in the Report'!$J$45</c:f>
              <c:strCache>
                <c:ptCount val="1"/>
                <c:pt idx="0">
                  <c:v>March 2023 forecast</c:v>
                </c:pt>
              </c:strCache>
            </c:strRef>
          </c:tx>
          <c:cat>
            <c:numRef>
              <c:f>'Figures in the Report'!$K$43:$U$43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Report'!$K$45:$U$45</c:f>
              <c:numCache>
                <c:formatCode>_("$"* #,##0_);_("$"* \(#,##0\);_("$"* "-"??_);_(@_)</c:formatCode>
                <c:ptCount val="11"/>
                <c:pt idx="0">
                  <c:v>3388.0175278135284</c:v>
                </c:pt>
                <c:pt idx="1">
                  <c:v>2782.470398871395</c:v>
                </c:pt>
                <c:pt idx="2">
                  <c:v>3718.6251986410343</c:v>
                </c:pt>
                <c:pt idx="3">
                  <c:v>4653.6111440227305</c:v>
                </c:pt>
                <c:pt idx="4">
                  <c:v>5069.0600813211895</c:v>
                </c:pt>
                <c:pt idx="5">
                  <c:v>4638.1802546685867</c:v>
                </c:pt>
                <c:pt idx="6">
                  <c:v>5066.8437334255768</c:v>
                </c:pt>
                <c:pt idx="7">
                  <c:v>5809.4428679662988</c:v>
                </c:pt>
                <c:pt idx="8">
                  <c:v>6611.7444684010343</c:v>
                </c:pt>
                <c:pt idx="9">
                  <c:v>7371.8795553138862</c:v>
                </c:pt>
                <c:pt idx="10">
                  <c:v>8208.3191604524909</c:v>
                </c:pt>
              </c:numCache>
            </c:numRef>
          </c:val>
          <c:smooth val="1"/>
          <c:extLst>
            <c:ext xmlns:c16="http://schemas.microsoft.com/office/drawing/2014/chart" uri="{C3380CC4-5D6E-409C-BE32-E72D297353CC}">
              <c16:uniqueId val="{00000001-D372-43AB-91CD-36FF2EF85B45}"/>
            </c:ext>
          </c:extLst>
        </c:ser>
        <c:ser>
          <c:idx val="2"/>
          <c:order val="2"/>
          <c:tx>
            <c:strRef>
              <c:f>'Figures in the Report'!$J$46</c:f>
              <c:strCache>
                <c:ptCount val="1"/>
                <c:pt idx="0">
                  <c:v>September 2022 forecast</c:v>
                </c:pt>
              </c:strCache>
            </c:strRef>
          </c:tx>
          <c:spPr>
            <a:ln>
              <a:solidFill>
                <a:srgbClr val="4F81BD"/>
              </a:solidFill>
            </a:ln>
          </c:spPr>
          <c:marker>
            <c:spPr>
              <a:solidFill>
                <a:srgbClr val="4F81BD"/>
              </a:solidFill>
            </c:spPr>
          </c:marker>
          <c:cat>
            <c:numRef>
              <c:f>'Figures in the Report'!$K$43:$U$43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Report'!$K$46:$U$46</c:f>
              <c:numCache>
                <c:formatCode>_("$"* #,##0_);_("$"* \(#,##0\);_("$"* "-"??_);_(@_)</c:formatCode>
                <c:ptCount val="11"/>
                <c:pt idx="0">
                  <c:v>3388.0175278135284</c:v>
                </c:pt>
                <c:pt idx="1">
                  <c:v>2782.470398871395</c:v>
                </c:pt>
                <c:pt idx="2">
                  <c:v>3718.6251986410343</c:v>
                </c:pt>
                <c:pt idx="3">
                  <c:v>4653.6111440227305</c:v>
                </c:pt>
                <c:pt idx="4">
                  <c:v>5063.9137125495126</c:v>
                </c:pt>
                <c:pt idx="5">
                  <c:v>5162.1573687160253</c:v>
                </c:pt>
                <c:pt idx="6">
                  <c:v>5953.2948355322615</c:v>
                </c:pt>
                <c:pt idx="7">
                  <c:v>7205.3176949427143</c:v>
                </c:pt>
                <c:pt idx="8">
                  <c:v>8339.3197789420556</c:v>
                </c:pt>
                <c:pt idx="9">
                  <c:v>9195.04253511567</c:v>
                </c:pt>
                <c:pt idx="10">
                  <c:v>10055.31039159451</c:v>
                </c:pt>
              </c:numCache>
            </c:numRef>
          </c:val>
          <c:smooth val="1"/>
          <c:extLst>
            <c:ext xmlns:c16="http://schemas.microsoft.com/office/drawing/2014/chart" uri="{C3380CC4-5D6E-409C-BE32-E72D297353CC}">
              <c16:uniqueId val="{00000002-D372-43AB-91CD-36FF2EF85B45}"/>
            </c:ext>
          </c:extLst>
        </c:ser>
        <c:dLbls>
          <c:showLegendKey val="0"/>
          <c:showVal val="0"/>
          <c:showCatName val="0"/>
          <c:showSerName val="0"/>
          <c:showPercent val="0"/>
          <c:showBubbleSize val="0"/>
        </c:dLbls>
        <c:marker val="1"/>
        <c:smooth val="0"/>
        <c:axId val="8674304"/>
        <c:axId val="8676480"/>
      </c:lineChart>
      <c:catAx>
        <c:axId val="8674304"/>
        <c:scaling>
          <c:orientation val="minMax"/>
        </c:scaling>
        <c:delete val="0"/>
        <c:axPos val="b"/>
        <c:numFmt formatCode="General" sourceLinked="1"/>
        <c:majorTickMark val="out"/>
        <c:minorTickMark val="none"/>
        <c:tickLblPos val="nextTo"/>
        <c:crossAx val="8676480"/>
        <c:crosses val="autoZero"/>
        <c:auto val="1"/>
        <c:lblAlgn val="ctr"/>
        <c:lblOffset val="100"/>
        <c:noMultiLvlLbl val="0"/>
      </c:catAx>
      <c:valAx>
        <c:axId val="8676480"/>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9.7222222222222224E-3"/>
              <c:y val="0.24657589676290464"/>
            </c:manualLayout>
          </c:layout>
          <c:overlay val="0"/>
        </c:title>
        <c:numFmt formatCode="_(&quot;$&quot;* #,##0_);_(&quot;$&quot;* \(#,##0\);_(&quot;$&quot;* &quot;-&quot;??_);_(@_)" sourceLinked="1"/>
        <c:majorTickMark val="out"/>
        <c:minorTickMark val="none"/>
        <c:tickLblPos val="nextTo"/>
        <c:crossAx val="8674304"/>
        <c:crosses val="autoZero"/>
        <c:crossBetween val="between"/>
      </c:valAx>
    </c:plotArea>
    <c:legend>
      <c:legendPos val="r"/>
      <c:layout>
        <c:manualLayout>
          <c:xMode val="edge"/>
          <c:yMode val="edge"/>
          <c:x val="0.193"/>
          <c:y val="7.3114246135899674E-2"/>
          <c:w val="0.37088888888888893"/>
          <c:h val="0.24728966170895306"/>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3277312825106"/>
          <c:y val="5.4692844163939706E-2"/>
          <c:w val="0.82108005046409882"/>
          <c:h val="0.82932755952150472"/>
        </c:manualLayout>
      </c:layout>
      <c:lineChart>
        <c:grouping val="standard"/>
        <c:varyColors val="0"/>
        <c:ser>
          <c:idx val="0"/>
          <c:order val="0"/>
          <c:tx>
            <c:v>Ethernet</c:v>
          </c:tx>
          <c:cat>
            <c:numRef>
              <c:f>Google!$C$111:$L$111</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Google!$C$114:$L$114</c:f>
              <c:numCache>
                <c:formatCode>0%</c:formatCode>
                <c:ptCount val="10"/>
                <c:pt idx="0">
                  <c:v>0.53162838982199823</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v>DWDM</c:v>
          </c:tx>
          <c:marker>
            <c:symbol val="square"/>
            <c:size val="5"/>
          </c:marker>
          <c:cat>
            <c:numRef>
              <c:f>Google!$C$111:$L$111</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Google!$C$119:$L$119</c:f>
              <c:numCache>
                <c:formatCode>0%</c:formatCode>
                <c:ptCount val="10"/>
                <c:pt idx="0">
                  <c:v>0.46212877962626608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8915968"/>
        <c:axId val="8925952"/>
      </c:lineChart>
      <c:catAx>
        <c:axId val="8915968"/>
        <c:scaling>
          <c:orientation val="minMax"/>
        </c:scaling>
        <c:delete val="0"/>
        <c:axPos val="b"/>
        <c:numFmt formatCode="General" sourceLinked="1"/>
        <c:majorTickMark val="out"/>
        <c:minorTickMark val="none"/>
        <c:tickLblPos val="nextTo"/>
        <c:crossAx val="8925952"/>
        <c:crosses val="autoZero"/>
        <c:auto val="1"/>
        <c:lblAlgn val="ctr"/>
        <c:lblOffset val="100"/>
        <c:noMultiLvlLbl val="0"/>
      </c:catAx>
      <c:valAx>
        <c:axId val="8925952"/>
        <c:scaling>
          <c:orientation val="minMax"/>
        </c:scaling>
        <c:delete val="0"/>
        <c:axPos val="l"/>
        <c:majorGridlines/>
        <c:title>
          <c:tx>
            <c:rich>
              <a:bodyPr rot="-5400000" vert="horz"/>
              <a:lstStyle/>
              <a:p>
                <a:pPr>
                  <a:defRPr/>
                </a:pPr>
                <a:r>
                  <a:rPr lang="en-US"/>
                  <a:t>Growth in cumulative deployed bandwidth</a:t>
                </a:r>
              </a:p>
            </c:rich>
          </c:tx>
          <c:layout>
            <c:manualLayout>
              <c:xMode val="edge"/>
              <c:yMode val="edge"/>
              <c:x val="4.6430644225188625E-3"/>
              <c:y val="0.15049941673957423"/>
            </c:manualLayout>
          </c:layout>
          <c:overlay val="0"/>
        </c:title>
        <c:numFmt formatCode="0%" sourceLinked="1"/>
        <c:majorTickMark val="out"/>
        <c:minorTickMark val="none"/>
        <c:tickLblPos val="nextTo"/>
        <c:crossAx val="8915968"/>
        <c:crosses val="autoZero"/>
        <c:crossBetween val="between"/>
      </c:valAx>
    </c:plotArea>
    <c:legend>
      <c:legendPos val="t"/>
      <c:layout>
        <c:manualLayout>
          <c:xMode val="edge"/>
          <c:yMode val="edge"/>
          <c:x val="0.60770837426511704"/>
          <c:y val="8.1205216941770367E-2"/>
          <c:w val="0.31605572184408848"/>
          <c:h val="0.13214815310926672"/>
        </c:manualLayout>
      </c:layout>
      <c:overlay val="0"/>
      <c:spPr>
        <a:solidFill>
          <a:schemeClr val="bg1"/>
        </a:solidFill>
        <a:ln>
          <a:solidFill>
            <a:schemeClr val="bg1">
              <a:lumMod val="50000"/>
            </a:schemeClr>
          </a:solidFill>
        </a:ln>
      </c:sp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Google!$A$88</c:f>
              <c:strCache>
                <c:ptCount val="1"/>
                <c:pt idx="0">
                  <c:v> 100G </c:v>
                </c:pt>
              </c:strCache>
            </c:strRef>
          </c:tx>
          <c:marker>
            <c:symbol val="none"/>
          </c:marker>
          <c:cat>
            <c:numRef>
              <c:f>Google!$B$86:$L$86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Google!$B$88:$L$88</c:f>
              <c:numCache>
                <c:formatCode>_(* #,##0_);_(* \(#,##0\);_(* "-"??_);_(@_)</c:formatCode>
                <c:ptCount val="11"/>
                <c:pt idx="0">
                  <c:v>2005046.3303186274</c:v>
                </c:pt>
                <c:pt idx="1">
                  <c:v>1524483.6441500001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C677-B34D-B38B-160A8CC6E708}"/>
            </c:ext>
          </c:extLst>
        </c:ser>
        <c:ser>
          <c:idx val="1"/>
          <c:order val="1"/>
          <c:tx>
            <c:strRef>
              <c:f>Google!$A$90</c:f>
              <c:strCache>
                <c:ptCount val="1"/>
                <c:pt idx="0">
                  <c:v> 400G </c:v>
                </c:pt>
              </c:strCache>
            </c:strRef>
          </c:tx>
          <c:marker>
            <c:symbol val="none"/>
          </c:marker>
          <c:cat>
            <c:numRef>
              <c:f>Google!$B$86:$L$86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Google!$B$90:$L$90</c:f>
              <c:numCache>
                <c:formatCode>_(* #,##0_);_(* \(#,##0\);_(* "-"??_);_(@_)</c:formatCode>
                <c:ptCount val="11"/>
                <c:pt idx="0">
                  <c:v>35000</c:v>
                </c:pt>
                <c:pt idx="1">
                  <c:v>113000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C677-B34D-B38B-160A8CC6E708}"/>
            </c:ext>
          </c:extLst>
        </c:ser>
        <c:ser>
          <c:idx val="2"/>
          <c:order val="2"/>
          <c:tx>
            <c:strRef>
              <c:f>Google!$A$91</c:f>
              <c:strCache>
                <c:ptCount val="1"/>
                <c:pt idx="0">
                  <c:v> 800G </c:v>
                </c:pt>
              </c:strCache>
            </c:strRef>
          </c:tx>
          <c:marker>
            <c:symbol val="none"/>
          </c:marker>
          <c:cat>
            <c:numRef>
              <c:f>Google!$B$86:$L$86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Google!$B$91:$L$91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C677-B34D-B38B-160A8CC6E708}"/>
            </c:ext>
          </c:extLst>
        </c:ser>
        <c:ser>
          <c:idx val="3"/>
          <c:order val="3"/>
          <c:tx>
            <c:strRef>
              <c:f>Google!$A$92</c:f>
              <c:strCache>
                <c:ptCount val="1"/>
                <c:pt idx="0">
                  <c:v> 1.6T </c:v>
                </c:pt>
              </c:strCache>
            </c:strRef>
          </c:tx>
          <c:marker>
            <c:symbol val="none"/>
          </c:marker>
          <c:cat>
            <c:numRef>
              <c:f>Google!$B$86:$L$86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Google!$B$92:$L$92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C677-B34D-B38B-160A8CC6E708}"/>
            </c:ext>
          </c:extLst>
        </c:ser>
        <c:dLbls>
          <c:showLegendKey val="0"/>
          <c:showVal val="0"/>
          <c:showCatName val="0"/>
          <c:showSerName val="0"/>
          <c:showPercent val="0"/>
          <c:showBubbleSize val="0"/>
        </c:dLbls>
        <c:smooth val="0"/>
        <c:axId val="8946432"/>
        <c:axId val="8947968"/>
      </c:lineChart>
      <c:catAx>
        <c:axId val="8946432"/>
        <c:scaling>
          <c:orientation val="minMax"/>
        </c:scaling>
        <c:delete val="0"/>
        <c:axPos val="b"/>
        <c:numFmt formatCode="General" sourceLinked="1"/>
        <c:majorTickMark val="out"/>
        <c:minorTickMark val="none"/>
        <c:tickLblPos val="nextTo"/>
        <c:crossAx val="8947968"/>
        <c:crosses val="autoZero"/>
        <c:auto val="1"/>
        <c:lblAlgn val="ctr"/>
        <c:lblOffset val="100"/>
        <c:noMultiLvlLbl val="0"/>
      </c:catAx>
      <c:valAx>
        <c:axId val="8947968"/>
        <c:scaling>
          <c:orientation val="minMax"/>
          <c:min val="0"/>
        </c:scaling>
        <c:delete val="0"/>
        <c:axPos val="l"/>
        <c:majorGridlines/>
        <c:title>
          <c:tx>
            <c:rich>
              <a:bodyPr rot="-5400000" vert="horz"/>
              <a:lstStyle/>
              <a:p>
                <a:pPr>
                  <a:defRPr/>
                </a:pPr>
                <a:r>
                  <a:rPr lang="en-US"/>
                  <a:t>Annual</a:t>
                </a:r>
                <a:r>
                  <a:rPr lang="en-US" baseline="0"/>
                  <a:t> units consumed</a:t>
                </a:r>
                <a:endParaRPr lang="en-US"/>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8946432"/>
        <c:crosses val="autoZero"/>
        <c:crossBetween val="between"/>
      </c:valAx>
    </c:plotArea>
    <c:legend>
      <c:legendPos val="r"/>
      <c:layout>
        <c:manualLayout>
          <c:xMode val="edge"/>
          <c:yMode val="edge"/>
          <c:x val="0.26988306417290703"/>
          <c:y val="7.7476748022578715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0.13511774569845433"/>
          <c:w val="0.86351159230096242"/>
          <c:h val="0.74890237678623506"/>
        </c:manualLayout>
      </c:layout>
      <c:lineChart>
        <c:grouping val="standard"/>
        <c:varyColors val="0"/>
        <c:ser>
          <c:idx val="0"/>
          <c:order val="0"/>
          <c:tx>
            <c:strRef>
              <c:f>'Figures in the Report'!$I$191</c:f>
              <c:strCache>
                <c:ptCount val="1"/>
                <c:pt idx="0">
                  <c:v>Top 10 Cloud</c:v>
                </c:pt>
              </c:strCache>
            </c:strRef>
          </c:tx>
          <c:spPr>
            <a:ln w="31750"/>
          </c:spPr>
          <c:marker>
            <c:symbol val="none"/>
          </c:marker>
          <c:cat>
            <c:numRef>
              <c:f>'Figures in the Report'!$J$189:$S$189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'Figures in the Report'!$J$191:$S$191</c:f>
              <c:numCache>
                <c:formatCode>0%</c:formatCode>
                <c:ptCount val="10"/>
                <c:pt idx="0">
                  <c:v>1.27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F971-254D-B09A-16A0D16D0B52}"/>
            </c:ext>
          </c:extLst>
        </c:ser>
        <c:ser>
          <c:idx val="1"/>
          <c:order val="1"/>
          <c:tx>
            <c:strRef>
              <c:f>'Figures in the Report'!$I$192</c:f>
              <c:strCache>
                <c:ptCount val="1"/>
                <c:pt idx="0">
                  <c:v>All Other Cloud</c:v>
                </c:pt>
              </c:strCache>
            </c:strRef>
          </c:tx>
          <c:spPr>
            <a:ln w="31750">
              <a:solidFill>
                <a:srgbClr val="C00000"/>
              </a:solidFill>
            </a:ln>
          </c:spPr>
          <c:marker>
            <c:symbol val="none"/>
          </c:marker>
          <c:cat>
            <c:numRef>
              <c:f>'Figures in the Report'!$J$189:$S$189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'Figures in the Report'!$J$192:$S$192</c:f>
              <c:numCache>
                <c:formatCode>0%</c:formatCode>
                <c:ptCount val="10"/>
                <c:pt idx="0">
                  <c:v>1.1520954470827669</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F971-254D-B09A-16A0D16D0B52}"/>
            </c:ext>
          </c:extLst>
        </c:ser>
        <c:dLbls>
          <c:showLegendKey val="0"/>
          <c:showVal val="0"/>
          <c:showCatName val="0"/>
          <c:showSerName val="0"/>
          <c:showPercent val="0"/>
          <c:showBubbleSize val="0"/>
        </c:dLbls>
        <c:smooth val="0"/>
        <c:axId val="62832640"/>
        <c:axId val="62834560"/>
      </c:lineChart>
      <c:catAx>
        <c:axId val="62832640"/>
        <c:scaling>
          <c:orientation val="minMax"/>
        </c:scaling>
        <c:delete val="0"/>
        <c:axPos val="b"/>
        <c:numFmt formatCode="General" sourceLinked="1"/>
        <c:majorTickMark val="out"/>
        <c:minorTickMark val="none"/>
        <c:tickLblPos val="nextTo"/>
        <c:crossAx val="62834560"/>
        <c:crosses val="autoZero"/>
        <c:auto val="1"/>
        <c:lblAlgn val="ctr"/>
        <c:lblOffset val="100"/>
        <c:noMultiLvlLbl val="0"/>
      </c:catAx>
      <c:valAx>
        <c:axId val="62834560"/>
        <c:scaling>
          <c:orientation val="minMax"/>
        </c:scaling>
        <c:delete val="0"/>
        <c:axPos val="l"/>
        <c:majorGridlines/>
        <c:numFmt formatCode="0%" sourceLinked="1"/>
        <c:majorTickMark val="out"/>
        <c:minorTickMark val="none"/>
        <c:tickLblPos val="nextTo"/>
        <c:crossAx val="6283264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70306841106078"/>
          <c:y val="5.4191665901204229E-2"/>
          <c:w val="0.84179970208693111"/>
          <c:h val="0.82353060997812"/>
        </c:manualLayout>
      </c:layout>
      <c:lineChart>
        <c:grouping val="standard"/>
        <c:varyColors val="0"/>
        <c:ser>
          <c:idx val="3"/>
          <c:order val="0"/>
          <c:tx>
            <c:strRef>
              <c:f>Google!$A$88</c:f>
              <c:strCache>
                <c:ptCount val="1"/>
                <c:pt idx="0">
                  <c:v> 100G </c:v>
                </c:pt>
              </c:strCache>
            </c:strRef>
          </c:tx>
          <c:spPr>
            <a:ln w="25400">
              <a:solidFill>
                <a:srgbClr val="4F81BD"/>
              </a:solidFill>
            </a:ln>
          </c:spPr>
          <c:marker>
            <c:symbol val="none"/>
          </c:marker>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Google!$M$88:$W$88</c:f>
              <c:numCache>
                <c:formatCode>_("$"* #,##0_);_("$"* \(#,##0\);_("$"* "-"??_);_(@_)</c:formatCode>
                <c:ptCount val="11"/>
                <c:pt idx="0">
                  <c:v>699.57975999866846</c:v>
                </c:pt>
                <c:pt idx="1">
                  <c:v>282.50898070558628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DD6-FC4E-9E82-2124D06D99EA}"/>
            </c:ext>
          </c:extLst>
        </c:ser>
        <c:ser>
          <c:idx val="4"/>
          <c:order val="1"/>
          <c:tx>
            <c:strRef>
              <c:f>Google!$A$90</c:f>
              <c:strCache>
                <c:ptCount val="1"/>
                <c:pt idx="0">
                  <c:v> 400G </c:v>
                </c:pt>
              </c:strCache>
            </c:strRef>
          </c:tx>
          <c:spPr>
            <a:ln w="25400">
              <a:solidFill>
                <a:srgbClr val="C0504D"/>
              </a:solidFill>
            </a:ln>
          </c:spPr>
          <c:marker>
            <c:symbol val="none"/>
          </c:marker>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Google!$M$90:$W$90</c:f>
              <c:numCache>
                <c:formatCode>_("$"* #,##0_);_("$"* \(#,##0\);_("$"* "-"??_);_(@_)</c:formatCode>
                <c:ptCount val="11"/>
                <c:pt idx="0">
                  <c:v>37.012</c:v>
                </c:pt>
                <c:pt idx="1">
                  <c:v>84.2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ser>
          <c:idx val="0"/>
          <c:order val="2"/>
          <c:tx>
            <c:strRef>
              <c:f>Google!$A$91</c:f>
              <c:strCache>
                <c:ptCount val="1"/>
                <c:pt idx="0">
                  <c:v> 800G </c:v>
                </c:pt>
              </c:strCache>
            </c:strRef>
          </c:tx>
          <c:spPr>
            <a:ln>
              <a:solidFill>
                <a:srgbClr val="9BBB59"/>
              </a:solidFill>
            </a:ln>
          </c:spPr>
          <c:marker>
            <c:symbol val="none"/>
          </c:marker>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Google!$M$91:$W$91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1F7-C647-8842-1817CE0894AE}"/>
            </c:ext>
          </c:extLst>
        </c:ser>
        <c:ser>
          <c:idx val="2"/>
          <c:order val="3"/>
          <c:tx>
            <c:strRef>
              <c:f>Google!$A$92</c:f>
              <c:strCache>
                <c:ptCount val="1"/>
                <c:pt idx="0">
                  <c:v> 1.6T </c:v>
                </c:pt>
              </c:strCache>
            </c:strRef>
          </c:tx>
          <c:spPr>
            <a:ln>
              <a:solidFill>
                <a:srgbClr val="8064A2"/>
              </a:solidFill>
            </a:ln>
          </c:spPr>
          <c:marker>
            <c:symbol val="none"/>
          </c:marker>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Google!$M$92:$W$92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B1F7-C647-8842-1817CE0894AE}"/>
            </c:ext>
          </c:extLst>
        </c:ser>
        <c:dLbls>
          <c:showLegendKey val="0"/>
          <c:showVal val="0"/>
          <c:showCatName val="0"/>
          <c:showSerName val="0"/>
          <c:showPercent val="0"/>
          <c:showBubbleSize val="0"/>
        </c:dLbls>
        <c:smooth val="0"/>
        <c:axId val="8968448"/>
        <c:axId val="8970240"/>
      </c:lineChart>
      <c:catAx>
        <c:axId val="8968448"/>
        <c:scaling>
          <c:orientation val="minMax"/>
        </c:scaling>
        <c:delete val="0"/>
        <c:axPos val="b"/>
        <c:numFmt formatCode="General" sourceLinked="1"/>
        <c:majorTickMark val="out"/>
        <c:minorTickMark val="none"/>
        <c:tickLblPos val="nextTo"/>
        <c:crossAx val="8970240"/>
        <c:crosses val="autoZero"/>
        <c:auto val="1"/>
        <c:lblAlgn val="ctr"/>
        <c:lblOffset val="100"/>
        <c:noMultiLvlLbl val="0"/>
      </c:catAx>
      <c:valAx>
        <c:axId val="8970240"/>
        <c:scaling>
          <c:orientation val="minMax"/>
          <c:min val="0"/>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8968448"/>
        <c:crosses val="autoZero"/>
        <c:crossBetween val="between"/>
      </c:valAx>
    </c:plotArea>
    <c:legend>
      <c:legendPos val="r"/>
      <c:layout>
        <c:manualLayout>
          <c:xMode val="edge"/>
          <c:yMode val="edge"/>
          <c:x val="0.18058738735537272"/>
          <c:y val="7.3445239373745141E-2"/>
          <c:w val="0.14244471564720393"/>
          <c:h val="0.26829450816917783"/>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25693521101828"/>
          <c:y val="5.1400554097404488E-2"/>
          <c:w val="0.81939887797528654"/>
          <c:h val="0.8326195683872849"/>
        </c:manualLayout>
      </c:layout>
      <c:lineChart>
        <c:grouping val="standard"/>
        <c:varyColors val="0"/>
        <c:ser>
          <c:idx val="0"/>
          <c:order val="0"/>
          <c:tx>
            <c:strRef>
              <c:f>Google!$A$96</c:f>
              <c:strCache>
                <c:ptCount val="1"/>
                <c:pt idx="0">
                  <c:v> 100G </c:v>
                </c:pt>
              </c:strCache>
            </c:strRef>
          </c:tx>
          <c:marker>
            <c:symbol val="none"/>
          </c:marker>
          <c:cat>
            <c:numRef>
              <c:f>Google!$B$95:$L$95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Google!$B$96:$L$96</c:f>
              <c:numCache>
                <c:formatCode>_(* #,##0_);_(* \(#,##0\);_(* "-"??_);_(@_)</c:formatCode>
                <c:ptCount val="11"/>
                <c:pt idx="0">
                  <c:v>10928.631674229695</c:v>
                </c:pt>
                <c:pt idx="1">
                  <c:v>5826.4980000000023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0FA5-434F-8031-B9709D5806B4}"/>
            </c:ext>
          </c:extLst>
        </c:ser>
        <c:ser>
          <c:idx val="1"/>
          <c:order val="1"/>
          <c:tx>
            <c:strRef>
              <c:f>Google!$A$97</c:f>
              <c:strCache>
                <c:ptCount val="1"/>
                <c:pt idx="0">
                  <c:v> 200G </c:v>
                </c:pt>
              </c:strCache>
            </c:strRef>
          </c:tx>
          <c:spPr>
            <a:ln>
              <a:solidFill>
                <a:srgbClr val="F79646"/>
              </a:solidFill>
            </a:ln>
          </c:spPr>
          <c:marker>
            <c:symbol val="none"/>
          </c:marker>
          <c:cat>
            <c:numRef>
              <c:f>Google!$B$95:$L$95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Google!$B$97:$L$97</c:f>
              <c:numCache>
                <c:formatCode>_(* #,##0_);_(* \(#,##0\);_(* "-"??_);_(@_)</c:formatCode>
                <c:ptCount val="11"/>
                <c:pt idx="0">
                  <c:v>6891.440163934426</c:v>
                </c:pt>
                <c:pt idx="1">
                  <c:v>13025.030399999996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0FA5-434F-8031-B9709D5806B4}"/>
            </c:ext>
          </c:extLst>
        </c:ser>
        <c:ser>
          <c:idx val="4"/>
          <c:order val="2"/>
          <c:tx>
            <c:strRef>
              <c:f>Google!$A$98</c:f>
              <c:strCache>
                <c:ptCount val="1"/>
                <c:pt idx="0">
                  <c:v> 400G </c:v>
                </c:pt>
              </c:strCache>
            </c:strRef>
          </c:tx>
          <c:spPr>
            <a:ln>
              <a:solidFill>
                <a:srgbClr val="C0504D"/>
              </a:solidFill>
            </a:ln>
          </c:spPr>
          <c:marker>
            <c:symbol val="none"/>
          </c:marker>
          <c:cat>
            <c:numRef>
              <c:f>Google!$B$95:$L$95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Google!$B$98:$L$98</c:f>
              <c:numCache>
                <c:formatCode>_(* #,##0_);_(* \(#,##0\);_(* "-"??_);_(@_)</c:formatCode>
                <c:ptCount val="11"/>
                <c:pt idx="0">
                  <c:v>1750</c:v>
                </c:pt>
                <c:pt idx="1">
                  <c:v>3523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0FA5-434F-8031-B9709D5806B4}"/>
            </c:ext>
          </c:extLst>
        </c:ser>
        <c:ser>
          <c:idx val="2"/>
          <c:order val="3"/>
          <c:tx>
            <c:strRef>
              <c:f>Google!$A$99</c:f>
              <c:strCache>
                <c:ptCount val="1"/>
                <c:pt idx="0">
                  <c:v> 600/800G </c:v>
                </c:pt>
              </c:strCache>
            </c:strRef>
          </c:tx>
          <c:marker>
            <c:symbol val="none"/>
          </c:marker>
          <c:cat>
            <c:numRef>
              <c:f>Google!$B$95:$L$95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Google!$B$99:$L$99</c:f>
              <c:numCache>
                <c:formatCode>_(* #,##0_);_(* \(#,##0\);_(* "-"??_);_(@_)</c:formatCode>
                <c:ptCount val="11"/>
                <c:pt idx="0">
                  <c:v>0</c:v>
                </c:pt>
                <c:pt idx="1">
                  <c:v>1.6400000000000003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0FA5-434F-8031-B9709D5806B4}"/>
            </c:ext>
          </c:extLst>
        </c:ser>
        <c:ser>
          <c:idx val="3"/>
          <c:order val="4"/>
          <c:tx>
            <c:strRef>
              <c:f>Google!$A$100</c:f>
              <c:strCache>
                <c:ptCount val="1"/>
                <c:pt idx="0">
                  <c:v> 1.2/1.6T </c:v>
                </c:pt>
              </c:strCache>
            </c:strRef>
          </c:tx>
          <c:marker>
            <c:symbol val="none"/>
          </c:marker>
          <c:cat>
            <c:numRef>
              <c:f>Google!$B$95:$L$95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Google!$B$100:$L$100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0FA5-434F-8031-B9709D5806B4}"/>
            </c:ext>
          </c:extLst>
        </c:ser>
        <c:dLbls>
          <c:showLegendKey val="0"/>
          <c:showVal val="0"/>
          <c:showCatName val="0"/>
          <c:showSerName val="0"/>
          <c:showPercent val="0"/>
          <c:showBubbleSize val="0"/>
        </c:dLbls>
        <c:smooth val="0"/>
        <c:axId val="8983680"/>
        <c:axId val="8985216"/>
      </c:lineChart>
      <c:catAx>
        <c:axId val="8983680"/>
        <c:scaling>
          <c:orientation val="minMax"/>
        </c:scaling>
        <c:delete val="0"/>
        <c:axPos val="b"/>
        <c:numFmt formatCode="General" sourceLinked="1"/>
        <c:majorTickMark val="out"/>
        <c:minorTickMark val="none"/>
        <c:tickLblPos val="nextTo"/>
        <c:crossAx val="8985216"/>
        <c:crosses val="autoZero"/>
        <c:auto val="1"/>
        <c:lblAlgn val="ctr"/>
        <c:lblOffset val="100"/>
        <c:noMultiLvlLbl val="0"/>
      </c:catAx>
      <c:valAx>
        <c:axId val="8985216"/>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1.775949084457604E-2"/>
              <c:y val="0.22945951088680083"/>
            </c:manualLayout>
          </c:layout>
          <c:overlay val="0"/>
        </c:title>
        <c:numFmt formatCode="_(* #,##0_);_(* \(#,##0\);_(* &quot;-&quot;??_);_(@_)" sourceLinked="1"/>
        <c:majorTickMark val="out"/>
        <c:minorTickMark val="none"/>
        <c:tickLblPos val="nextTo"/>
        <c:crossAx val="8983680"/>
        <c:crosses val="autoZero"/>
        <c:crossBetween val="between"/>
      </c:valAx>
    </c:plotArea>
    <c:legend>
      <c:legendPos val="r"/>
      <c:layout>
        <c:manualLayout>
          <c:xMode val="edge"/>
          <c:yMode val="edge"/>
          <c:x val="0.18030281391246275"/>
          <c:y val="6.8489983055915485E-2"/>
          <c:w val="0.19116159127162133"/>
          <c:h val="0.33874867482761428"/>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957460986178698"/>
          <c:y val="5.1400559970279897E-2"/>
          <c:w val="0.78618869767505806"/>
          <c:h val="0.8326195683872849"/>
        </c:manualLayout>
      </c:layout>
      <c:lineChart>
        <c:grouping val="standard"/>
        <c:varyColors val="0"/>
        <c:ser>
          <c:idx val="0"/>
          <c:order val="0"/>
          <c:tx>
            <c:strRef>
              <c:f>Google!$A$96</c:f>
              <c:strCache>
                <c:ptCount val="1"/>
                <c:pt idx="0">
                  <c:v> 100G </c:v>
                </c:pt>
              </c:strCache>
            </c:strRef>
          </c:tx>
          <c:marker>
            <c:symbol val="none"/>
          </c:marker>
          <c:cat>
            <c:numRef>
              <c:f>Google!$M$95:$W$95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Google!$M$96:$W$96</c:f>
              <c:numCache>
                <c:formatCode>_("$"* #,##0_);_("$"* \(#,##0\);_("$"* "-"??_);_(@_)</c:formatCode>
                <c:ptCount val="11"/>
                <c:pt idx="0">
                  <c:v>83.29133262002803</c:v>
                </c:pt>
                <c:pt idx="1">
                  <c:v>33.586118400000018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6B8-1040-908C-997FA00A9F93}"/>
            </c:ext>
          </c:extLst>
        </c:ser>
        <c:ser>
          <c:idx val="1"/>
          <c:order val="1"/>
          <c:tx>
            <c:strRef>
              <c:f>Google!$A$97</c:f>
              <c:strCache>
                <c:ptCount val="1"/>
                <c:pt idx="0">
                  <c:v> 200G </c:v>
                </c:pt>
              </c:strCache>
            </c:strRef>
          </c:tx>
          <c:spPr>
            <a:ln>
              <a:solidFill>
                <a:srgbClr val="F79646"/>
              </a:solidFill>
            </a:ln>
          </c:spPr>
          <c:marker>
            <c:symbol val="none"/>
          </c:marker>
          <c:cat>
            <c:numRef>
              <c:f>Google!$M$95:$W$95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Google!$M$97:$W$97</c:f>
              <c:numCache>
                <c:formatCode>_("$"* #,##0_);_("$"* \(#,##0\);_("$"* "-"??_);_(@_)</c:formatCode>
                <c:ptCount val="11"/>
                <c:pt idx="0">
                  <c:v>54.57638763040238</c:v>
                </c:pt>
                <c:pt idx="1">
                  <c:v>77.470519156363622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6B8-1040-908C-997FA00A9F93}"/>
            </c:ext>
          </c:extLst>
        </c:ser>
        <c:ser>
          <c:idx val="4"/>
          <c:order val="2"/>
          <c:tx>
            <c:strRef>
              <c:f>Google!$A$98</c:f>
              <c:strCache>
                <c:ptCount val="1"/>
                <c:pt idx="0">
                  <c:v> 400G </c:v>
                </c:pt>
              </c:strCache>
            </c:strRef>
          </c:tx>
          <c:spPr>
            <a:ln>
              <a:solidFill>
                <a:srgbClr val="C0504D"/>
              </a:solidFill>
            </a:ln>
          </c:spPr>
          <c:marker>
            <c:symbol val="none"/>
          </c:marker>
          <c:cat>
            <c:numRef>
              <c:f>Google!$M$95:$W$95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Google!$M$98:$W$98</c:f>
              <c:numCache>
                <c:formatCode>_("$"* #,##0_);_("$"* \(#,##0\);_("$"* "-"??_);_(@_)</c:formatCode>
                <c:ptCount val="11"/>
                <c:pt idx="0">
                  <c:v>0</c:v>
                </c:pt>
                <c:pt idx="1">
                  <c:v>30.637090909090908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6B8-1040-908C-997FA00A9F93}"/>
            </c:ext>
          </c:extLst>
        </c:ser>
        <c:ser>
          <c:idx val="2"/>
          <c:order val="3"/>
          <c:tx>
            <c:strRef>
              <c:f>Google!$A$99</c:f>
              <c:strCache>
                <c:ptCount val="1"/>
                <c:pt idx="0">
                  <c:v> 600/800G </c:v>
                </c:pt>
              </c:strCache>
            </c:strRef>
          </c:tx>
          <c:marker>
            <c:symbol val="none"/>
          </c:marker>
          <c:cat>
            <c:numRef>
              <c:f>Google!$M$95:$W$95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Google!$M$99:$W$99</c:f>
              <c:numCache>
                <c:formatCode>_("$"* #,##0_);_("$"* \(#,##0\);_("$"* "-"??_);_(@_)</c:formatCode>
                <c:ptCount val="11"/>
                <c:pt idx="0">
                  <c:v>0</c:v>
                </c:pt>
                <c:pt idx="1">
                  <c:v>1.6400000000000005E-2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6B8-1040-908C-997FA00A9F93}"/>
            </c:ext>
          </c:extLst>
        </c:ser>
        <c:ser>
          <c:idx val="3"/>
          <c:order val="4"/>
          <c:tx>
            <c:strRef>
              <c:f>Google!$A$100</c:f>
              <c:strCache>
                <c:ptCount val="1"/>
                <c:pt idx="0">
                  <c:v> 1.2/1.6T </c:v>
                </c:pt>
              </c:strCache>
            </c:strRef>
          </c:tx>
          <c:marker>
            <c:symbol val="none"/>
          </c:marker>
          <c:cat>
            <c:numRef>
              <c:f>Google!$M$95:$W$95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Google!$M$100:$W$100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6B8-1040-908C-997FA00A9F93}"/>
            </c:ext>
          </c:extLst>
        </c:ser>
        <c:dLbls>
          <c:showLegendKey val="0"/>
          <c:showVal val="0"/>
          <c:showCatName val="0"/>
          <c:showSerName val="0"/>
          <c:showPercent val="0"/>
          <c:showBubbleSize val="0"/>
        </c:dLbls>
        <c:smooth val="0"/>
        <c:axId val="8998912"/>
        <c:axId val="9000448"/>
      </c:lineChart>
      <c:catAx>
        <c:axId val="8998912"/>
        <c:scaling>
          <c:orientation val="minMax"/>
        </c:scaling>
        <c:delete val="0"/>
        <c:axPos val="b"/>
        <c:numFmt formatCode="General" sourceLinked="1"/>
        <c:majorTickMark val="out"/>
        <c:minorTickMark val="none"/>
        <c:tickLblPos val="nextTo"/>
        <c:crossAx val="9000448"/>
        <c:crosses val="autoZero"/>
        <c:auto val="1"/>
        <c:lblAlgn val="ctr"/>
        <c:lblOffset val="100"/>
        <c:noMultiLvlLbl val="0"/>
      </c:catAx>
      <c:valAx>
        <c:axId val="9000448"/>
        <c:scaling>
          <c:orientation val="minMax"/>
          <c:min val="0"/>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8998912"/>
        <c:crosses val="autoZero"/>
        <c:crossBetween val="between"/>
      </c:valAx>
    </c:plotArea>
    <c:legend>
      <c:legendPos val="r"/>
      <c:layout>
        <c:manualLayout>
          <c:xMode val="edge"/>
          <c:yMode val="edge"/>
          <c:x val="0.20840364706938277"/>
          <c:y val="6.3886875732228968E-2"/>
          <c:w val="0.19334624262912031"/>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Google!$A$106</c:f>
          <c:strCache>
            <c:ptCount val="1"/>
            <c:pt idx="0">
              <c:v>Ethernet transceivers % of total capex: Google</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spPr>
            <a:solidFill>
              <a:srgbClr val="0070C0"/>
            </a:solidFill>
          </c:spPr>
          <c:invertIfNegative val="0"/>
          <c:cat>
            <c:numRef>
              <c:f>Google!$M$103:$W$103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Google!$M$106:$W$106</c:f>
              <c:numCache>
                <c:formatCode>0.0%</c:formatCode>
                <c:ptCount val="11"/>
                <c:pt idx="0">
                  <c:v>2.9853803382144307E-2</c:v>
                </c:pt>
                <c:pt idx="1">
                  <c:v>1.4685862622825145E-2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dLbls>
          <c:showLegendKey val="0"/>
          <c:showVal val="0"/>
          <c:showCatName val="0"/>
          <c:showSerName val="0"/>
          <c:showPercent val="0"/>
          <c:showBubbleSize val="0"/>
        </c:dLbls>
        <c:gapWidth val="150"/>
        <c:overlap val="100"/>
        <c:axId val="9021312"/>
        <c:axId val="9022848"/>
      </c:barChart>
      <c:catAx>
        <c:axId val="9021312"/>
        <c:scaling>
          <c:orientation val="minMax"/>
        </c:scaling>
        <c:delete val="0"/>
        <c:axPos val="b"/>
        <c:numFmt formatCode="General" sourceLinked="1"/>
        <c:majorTickMark val="out"/>
        <c:minorTickMark val="none"/>
        <c:tickLblPos val="nextTo"/>
        <c:crossAx val="9022848"/>
        <c:crosses val="autoZero"/>
        <c:auto val="1"/>
        <c:lblAlgn val="ctr"/>
        <c:lblOffset val="100"/>
        <c:noMultiLvlLbl val="0"/>
      </c:catAx>
      <c:valAx>
        <c:axId val="9022848"/>
        <c:scaling>
          <c:orientation val="minMax"/>
        </c:scaling>
        <c:delete val="0"/>
        <c:axPos val="l"/>
        <c:majorGridlines/>
        <c:numFmt formatCode="0.0%" sourceLinked="1"/>
        <c:majorTickMark val="out"/>
        <c:minorTickMark val="none"/>
        <c:tickLblPos val="nextTo"/>
        <c:crossAx val="9021312"/>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Google!$A$108</c:f>
          <c:strCache>
            <c:ptCount val="1"/>
            <c:pt idx="0">
              <c:v>Ethernet&amp;DWDM transceivers % of total capex: Google</c:v>
            </c:pt>
          </c:strCache>
        </c:strRef>
      </c:tx>
      <c:layout>
        <c:manualLayout>
          <c:xMode val="edge"/>
          <c:yMode val="edge"/>
          <c:x val="0.14771415537793292"/>
          <c:y val="0"/>
        </c:manualLayout>
      </c:layout>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v>Ethernet</c:v>
          </c:tx>
          <c:spPr>
            <a:solidFill>
              <a:srgbClr val="0070C0"/>
            </a:solidFill>
          </c:spPr>
          <c:invertIfNegative val="0"/>
          <c:cat>
            <c:numRef>
              <c:f>Google!$M$103:$W$103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Google!$M$106:$W$106</c:f>
              <c:numCache>
                <c:formatCode>0.0%</c:formatCode>
                <c:ptCount val="11"/>
                <c:pt idx="0">
                  <c:v>2.9853803382144307E-2</c:v>
                </c:pt>
                <c:pt idx="1">
                  <c:v>1.4685862622825145E-2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Google!$M$103:$W$103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Google!$M$107:$W$107</c:f>
              <c:numCache>
                <c:formatCode>0.0%</c:formatCode>
                <c:ptCount val="11"/>
                <c:pt idx="0">
                  <c:v>5.5537641575319338E-3</c:v>
                </c:pt>
                <c:pt idx="1">
                  <c:v>5.6443004002424847E-3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981-6B4C-8512-EDC63F146A53}"/>
            </c:ext>
          </c:extLst>
        </c:ser>
        <c:dLbls>
          <c:showLegendKey val="0"/>
          <c:showVal val="0"/>
          <c:showCatName val="0"/>
          <c:showSerName val="0"/>
          <c:showPercent val="0"/>
          <c:showBubbleSize val="0"/>
        </c:dLbls>
        <c:gapWidth val="150"/>
        <c:overlap val="100"/>
        <c:axId val="9036544"/>
        <c:axId val="9038080"/>
      </c:barChart>
      <c:catAx>
        <c:axId val="9036544"/>
        <c:scaling>
          <c:orientation val="minMax"/>
        </c:scaling>
        <c:delete val="0"/>
        <c:axPos val="b"/>
        <c:numFmt formatCode="General" sourceLinked="1"/>
        <c:majorTickMark val="out"/>
        <c:minorTickMark val="none"/>
        <c:tickLblPos val="nextTo"/>
        <c:crossAx val="9038080"/>
        <c:crosses val="autoZero"/>
        <c:auto val="1"/>
        <c:lblAlgn val="ctr"/>
        <c:lblOffset val="100"/>
        <c:noMultiLvlLbl val="0"/>
      </c:catAx>
      <c:valAx>
        <c:axId val="9038080"/>
        <c:scaling>
          <c:orientation val="minMax"/>
        </c:scaling>
        <c:delete val="0"/>
        <c:axPos val="l"/>
        <c:majorGridlines/>
        <c:numFmt formatCode="0.0%" sourceLinked="1"/>
        <c:majorTickMark val="out"/>
        <c:minorTickMark val="none"/>
        <c:tickLblPos val="nextTo"/>
        <c:crossAx val="9036544"/>
        <c:crosses val="autoZero"/>
        <c:crossBetween val="between"/>
      </c:valAx>
    </c:plotArea>
    <c:legend>
      <c:legendPos val="t"/>
      <c:layout>
        <c:manualLayout>
          <c:xMode val="edge"/>
          <c:yMode val="edge"/>
          <c:x val="0.39081477220888949"/>
          <c:y val="0.12655367231638417"/>
          <c:w val="0.26371050596005474"/>
          <c:h val="8.1730681969838515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98669984904737"/>
          <c:y val="5.3512161412456336E-2"/>
          <c:w val="0.82359981232915835"/>
          <c:h val="0.85100374953130864"/>
        </c:manualLayout>
      </c:layout>
      <c:barChart>
        <c:barDir val="col"/>
        <c:grouping val="stacked"/>
        <c:varyColors val="0"/>
        <c:ser>
          <c:idx val="2"/>
          <c:order val="0"/>
          <c:tx>
            <c:v>Ethernet</c:v>
          </c:tx>
          <c:spPr>
            <a:solidFill>
              <a:srgbClr val="0070C0"/>
            </a:solidFill>
            <a:ln>
              <a:solidFill>
                <a:schemeClr val="accent1"/>
              </a:solidFill>
            </a:ln>
          </c:spPr>
          <c:invertIfNegative val="0"/>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Google!$M$93:$W$93</c:f>
              <c:numCache>
                <c:formatCode>_("$"* #,##0_);_("$"* \(#,##0\);_("$"* "-"??_);_(@_)</c:formatCode>
                <c:ptCount val="11"/>
                <c:pt idx="0">
                  <c:v>755.95800924265814</c:v>
                </c:pt>
                <c:pt idx="1">
                  <c:v>372.46284784009134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E29-BF4F-8071-E75492A04F2C}"/>
            </c:ext>
          </c:extLst>
        </c:ser>
        <c:ser>
          <c:idx val="0"/>
          <c:order val="1"/>
          <c:tx>
            <c:v>DWDM</c:v>
          </c:tx>
          <c:spPr>
            <a:solidFill>
              <a:srgbClr val="C00000"/>
            </a:solidFill>
            <a:ln>
              <a:solidFill>
                <a:srgbClr val="C00000"/>
              </a:solidFill>
            </a:ln>
          </c:spPr>
          <c:invertIfNegative val="0"/>
          <c:cat>
            <c:numRef>
              <c:f>Google!$M$86:$W$86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Google!$M$101:$W$101</c:f>
              <c:numCache>
                <c:formatCode>_("$"* #,##0_);_("$"* \(#,##0\);_("$"* "-"??_);_(@_)</c:formatCode>
                <c:ptCount val="11"/>
                <c:pt idx="0">
                  <c:v>140.63241599702363</c:v>
                </c:pt>
                <c:pt idx="1">
                  <c:v>143.15074675094991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E29-BF4F-8071-E75492A04F2C}"/>
            </c:ext>
          </c:extLst>
        </c:ser>
        <c:dLbls>
          <c:showLegendKey val="0"/>
          <c:showVal val="0"/>
          <c:showCatName val="0"/>
          <c:showSerName val="0"/>
          <c:showPercent val="0"/>
          <c:showBubbleSize val="0"/>
        </c:dLbls>
        <c:gapWidth val="150"/>
        <c:overlap val="100"/>
        <c:axId val="9056256"/>
        <c:axId val="9057792"/>
      </c:barChart>
      <c:catAx>
        <c:axId val="9056256"/>
        <c:scaling>
          <c:orientation val="minMax"/>
        </c:scaling>
        <c:delete val="0"/>
        <c:axPos val="b"/>
        <c:numFmt formatCode="General" sourceLinked="1"/>
        <c:majorTickMark val="out"/>
        <c:minorTickMark val="none"/>
        <c:tickLblPos val="nextTo"/>
        <c:crossAx val="9057792"/>
        <c:crosses val="autoZero"/>
        <c:auto val="1"/>
        <c:lblAlgn val="ctr"/>
        <c:lblOffset val="100"/>
        <c:noMultiLvlLbl val="0"/>
      </c:catAx>
      <c:valAx>
        <c:axId val="9057792"/>
        <c:scaling>
          <c:orientation val="minMax"/>
        </c:scaling>
        <c:delete val="0"/>
        <c:axPos val="l"/>
        <c:majorGridlines/>
        <c:title>
          <c:tx>
            <c:rich>
              <a:bodyPr/>
              <a:lstStyle/>
              <a:p>
                <a:pPr>
                  <a:defRPr/>
                </a:pPr>
                <a:r>
                  <a:rPr lang="en-US"/>
                  <a:t>Sales ($</a:t>
                </a:r>
                <a:r>
                  <a:rPr lang="en-US" baseline="0"/>
                  <a:t> mn</a:t>
                </a:r>
                <a:r>
                  <a:rPr lang="en-US"/>
                  <a:t>)</a:t>
                </a:r>
              </a:p>
            </c:rich>
          </c:tx>
          <c:overlay val="0"/>
        </c:title>
        <c:numFmt formatCode="_(&quot;$&quot;* #,##0_);_(&quot;$&quot;* \(#,##0\);_(&quot;$&quot;* &quot;-&quot;??_);_(@_)" sourceLinked="1"/>
        <c:majorTickMark val="out"/>
        <c:minorTickMark val="none"/>
        <c:tickLblPos val="nextTo"/>
        <c:crossAx val="9056256"/>
        <c:crosses val="autoZero"/>
        <c:crossBetween val="between"/>
      </c:valAx>
    </c:plotArea>
    <c:legend>
      <c:legendPos val="t"/>
      <c:layout>
        <c:manualLayout>
          <c:xMode val="edge"/>
          <c:yMode val="edge"/>
          <c:x val="0.20687691240667452"/>
          <c:y val="9.5442869641294836E-2"/>
          <c:w val="0.35697482762841176"/>
          <c:h val="0.12374945497790384"/>
        </c:manualLayout>
      </c:layout>
      <c:overlay val="0"/>
      <c:spPr>
        <a:solidFill>
          <a:schemeClr val="bg1"/>
        </a:solidFill>
        <a:ln>
          <a:solidFill>
            <a:schemeClr val="bg1">
              <a:lumMod val="50000"/>
            </a:schemeClr>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3277312825106"/>
          <c:y val="5.6986350510286443E-2"/>
          <c:w val="0.82108005046409882"/>
          <c:h val="0.82703424030993844"/>
        </c:manualLayout>
      </c:layout>
      <c:lineChart>
        <c:grouping val="standard"/>
        <c:varyColors val="0"/>
        <c:ser>
          <c:idx val="0"/>
          <c:order val="0"/>
          <c:tx>
            <c:strRef>
              <c:f>Meta!$A$107</c:f>
              <c:strCache>
                <c:ptCount val="1"/>
                <c:pt idx="0">
                  <c:v>Ethernet</c:v>
                </c:pt>
              </c:strCache>
            </c:strRef>
          </c:tx>
          <c:cat>
            <c:numRef>
              <c:f>Meta!$C$107:$L$107</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Meta!$C$110:$L$110</c:f>
              <c:numCache>
                <c:formatCode>0%</c:formatCode>
                <c:ptCount val="10"/>
                <c:pt idx="0">
                  <c:v>0.68886852410313137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Meta!$A$112</c:f>
              <c:strCache>
                <c:ptCount val="1"/>
                <c:pt idx="0">
                  <c:v>DWDM</c:v>
                </c:pt>
              </c:strCache>
            </c:strRef>
          </c:tx>
          <c:marker>
            <c:symbol val="square"/>
            <c:size val="5"/>
          </c:marker>
          <c:cat>
            <c:numRef>
              <c:f>Meta!$C$107:$L$107</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Meta!$C$115:$L$115</c:f>
              <c:numCache>
                <c:formatCode>0%</c:formatCode>
                <c:ptCount val="10"/>
                <c:pt idx="0">
                  <c:v>0.55542660192607274</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9121792"/>
        <c:axId val="9123328"/>
      </c:lineChart>
      <c:catAx>
        <c:axId val="9121792"/>
        <c:scaling>
          <c:orientation val="minMax"/>
        </c:scaling>
        <c:delete val="0"/>
        <c:axPos val="b"/>
        <c:numFmt formatCode="General" sourceLinked="1"/>
        <c:majorTickMark val="out"/>
        <c:minorTickMark val="none"/>
        <c:tickLblPos val="nextTo"/>
        <c:crossAx val="9123328"/>
        <c:crosses val="autoZero"/>
        <c:auto val="1"/>
        <c:lblAlgn val="ctr"/>
        <c:lblOffset val="100"/>
        <c:noMultiLvlLbl val="0"/>
      </c:catAx>
      <c:valAx>
        <c:axId val="912332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1" i="0" baseline="0">
                    <a:effectLst/>
                  </a:rPr>
                  <a:t>Growth in cumulative deployed bandwidth</a:t>
                </a:r>
                <a:endParaRPr lang="en-U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sz="1000"/>
              </a:p>
            </c:rich>
          </c:tx>
          <c:layout>
            <c:manualLayout>
              <c:xMode val="edge"/>
              <c:yMode val="edge"/>
              <c:x val="2.1674062566092826E-3"/>
              <c:y val="0.14596367568833979"/>
            </c:manualLayout>
          </c:layout>
          <c:overlay val="0"/>
        </c:title>
        <c:numFmt formatCode="0%" sourceLinked="1"/>
        <c:majorTickMark val="out"/>
        <c:minorTickMark val="none"/>
        <c:tickLblPos val="nextTo"/>
        <c:crossAx val="9121792"/>
        <c:crosses val="autoZero"/>
        <c:crossBetween val="between"/>
      </c:valAx>
    </c:plotArea>
    <c:legend>
      <c:legendPos val="t"/>
      <c:layout>
        <c:manualLayout>
          <c:xMode val="edge"/>
          <c:yMode val="edge"/>
          <c:x val="0.61908710301688197"/>
          <c:y val="0.10524133230498807"/>
          <c:w val="0.31605572184408848"/>
          <c:h val="0.14264236902050115"/>
        </c:manualLayout>
      </c:layout>
      <c:overlay val="0"/>
      <c:spPr>
        <a:solidFill>
          <a:sysClr val="window" lastClr="FFFFFF"/>
        </a:solidFill>
        <a:ln>
          <a:solidFill>
            <a:sysClr val="window" lastClr="FFFFFF">
              <a:lumMod val="50000"/>
            </a:sysClr>
          </a:solidFill>
        </a:ln>
      </c:sp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Meta!$A$82</c:f>
              <c:strCache>
                <c:ptCount val="1"/>
                <c:pt idx="0">
                  <c:v> 100G </c:v>
                </c:pt>
              </c:strCache>
            </c:strRef>
          </c:tx>
          <c:marker>
            <c:symbol val="none"/>
          </c:marker>
          <c:cat>
            <c:numRef>
              <c:f>Meta!$B$80:$L$80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Meta!$B$82:$L$82</c:f>
              <c:numCache>
                <c:formatCode>_(* #,##0_);_(* \(#,##0\);_(* "-"??_);_(@_)</c:formatCode>
                <c:ptCount val="11"/>
                <c:pt idx="0">
                  <c:v>1115565.4033565826</c:v>
                </c:pt>
                <c:pt idx="1">
                  <c:v>1708476.3403999999</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7FF-5B42-962C-AAA200A28402}"/>
            </c:ext>
          </c:extLst>
        </c:ser>
        <c:ser>
          <c:idx val="1"/>
          <c:order val="1"/>
          <c:tx>
            <c:strRef>
              <c:f>Meta!$A$83</c:f>
              <c:strCache>
                <c:ptCount val="1"/>
                <c:pt idx="0">
                  <c:v> 200G </c:v>
                </c:pt>
              </c:strCache>
            </c:strRef>
          </c:tx>
          <c:spPr>
            <a:ln>
              <a:solidFill>
                <a:srgbClr val="F79646"/>
              </a:solidFill>
            </a:ln>
          </c:spPr>
          <c:marker>
            <c:symbol val="none"/>
          </c:marker>
          <c:cat>
            <c:numRef>
              <c:f>Meta!$B$80:$L$80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Meta!$B$83:$L$83</c:f>
              <c:numCache>
                <c:formatCode>_(* #,##0_);_(* \(#,##0\);_(* "-"??_);_(@_)</c:formatCode>
                <c:ptCount val="11"/>
                <c:pt idx="0">
                  <c:v>7391.440163934426</c:v>
                </c:pt>
                <c:pt idx="1">
                  <c:v>19097.030399999996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7FF-5B42-962C-AAA200A28402}"/>
            </c:ext>
          </c:extLst>
        </c:ser>
        <c:ser>
          <c:idx val="4"/>
          <c:order val="2"/>
          <c:tx>
            <c:strRef>
              <c:f>Meta!$A$84</c:f>
              <c:strCache>
                <c:ptCount val="1"/>
                <c:pt idx="0">
                  <c:v> 400G </c:v>
                </c:pt>
              </c:strCache>
            </c:strRef>
          </c:tx>
          <c:spPr>
            <a:ln>
              <a:solidFill>
                <a:srgbClr val="C0504D"/>
              </a:solidFill>
            </a:ln>
          </c:spPr>
          <c:marker>
            <c:symbol val="none"/>
          </c:marker>
          <c:cat>
            <c:numRef>
              <c:f>Meta!$B$80:$L$80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Meta!$B$84:$L$84</c:f>
              <c:numCache>
                <c:formatCode>_(* #,##0_);_(* \(#,##0\);_(* "-"??_);_(@_)</c:formatCode>
                <c:ptCount val="11"/>
                <c:pt idx="0">
                  <c:v>2750</c:v>
                </c:pt>
                <c:pt idx="1">
                  <c:v>6038</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A7FF-5B42-962C-AAA200A28402}"/>
            </c:ext>
          </c:extLst>
        </c:ser>
        <c:ser>
          <c:idx val="2"/>
          <c:order val="3"/>
          <c:tx>
            <c:strRef>
              <c:f>Meta!$A$85</c:f>
              <c:strCache>
                <c:ptCount val="1"/>
                <c:pt idx="0">
                  <c:v> 800G </c:v>
                </c:pt>
              </c:strCache>
            </c:strRef>
          </c:tx>
          <c:marker>
            <c:symbol val="none"/>
          </c:marker>
          <c:cat>
            <c:numRef>
              <c:f>Meta!$B$80:$L$80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Meta!$B$85:$L$85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7FF-5B42-962C-AAA200A28402}"/>
            </c:ext>
          </c:extLst>
        </c:ser>
        <c:ser>
          <c:idx val="3"/>
          <c:order val="4"/>
          <c:tx>
            <c:strRef>
              <c:f>Meta!$A$86</c:f>
              <c:strCache>
                <c:ptCount val="1"/>
                <c:pt idx="0">
                  <c:v> 1.6T </c:v>
                </c:pt>
              </c:strCache>
            </c:strRef>
          </c:tx>
          <c:marker>
            <c:symbol val="none"/>
          </c:marker>
          <c:cat>
            <c:numRef>
              <c:f>Meta!$B$80:$L$80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Meta!$B$86:$L$86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7FF-5B42-962C-AAA200A28402}"/>
            </c:ext>
          </c:extLst>
        </c:ser>
        <c:dLbls>
          <c:showLegendKey val="0"/>
          <c:showVal val="0"/>
          <c:showCatName val="0"/>
          <c:showSerName val="0"/>
          <c:showPercent val="0"/>
          <c:showBubbleSize val="0"/>
        </c:dLbls>
        <c:smooth val="0"/>
        <c:axId val="9153152"/>
        <c:axId val="9154944"/>
      </c:lineChart>
      <c:catAx>
        <c:axId val="9153152"/>
        <c:scaling>
          <c:orientation val="minMax"/>
        </c:scaling>
        <c:delete val="0"/>
        <c:axPos val="b"/>
        <c:numFmt formatCode="General" sourceLinked="1"/>
        <c:majorTickMark val="out"/>
        <c:minorTickMark val="none"/>
        <c:tickLblPos val="nextTo"/>
        <c:crossAx val="9154944"/>
        <c:crosses val="autoZero"/>
        <c:auto val="1"/>
        <c:lblAlgn val="ctr"/>
        <c:lblOffset val="100"/>
        <c:noMultiLvlLbl val="0"/>
      </c:catAx>
      <c:valAx>
        <c:axId val="9154944"/>
        <c:scaling>
          <c:orientation val="minMax"/>
          <c:max val="6000000"/>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9153152"/>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047222640896914"/>
          <c:y val="5.1400554097404488E-2"/>
          <c:w val="0.81318361526243177"/>
          <c:h val="0.8326195683872849"/>
        </c:manualLayout>
      </c:layout>
      <c:lineChart>
        <c:grouping val="standard"/>
        <c:varyColors val="0"/>
        <c:ser>
          <c:idx val="0"/>
          <c:order val="0"/>
          <c:tx>
            <c:strRef>
              <c:f>Meta!$A$90</c:f>
              <c:strCache>
                <c:ptCount val="1"/>
                <c:pt idx="0">
                  <c:v> 100G </c:v>
                </c:pt>
              </c:strCache>
            </c:strRef>
          </c:tx>
          <c:marker>
            <c:symbol val="none"/>
          </c:marker>
          <c:cat>
            <c:numRef>
              <c:f>Meta!$B$89:$L$89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Meta!$B$90:$L$90</c:f>
              <c:numCache>
                <c:formatCode>_(* #,##0_);_(* \(#,##0\);_(* "-"??_);_(@_)</c:formatCode>
                <c:ptCount val="11"/>
                <c:pt idx="0">
                  <c:v>15565.403356582636</c:v>
                </c:pt>
                <c:pt idx="1">
                  <c:v>8476.3404000000028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D61E-594C-986A-1C78B44D7DA9}"/>
            </c:ext>
          </c:extLst>
        </c:ser>
        <c:ser>
          <c:idx val="1"/>
          <c:order val="1"/>
          <c:tx>
            <c:strRef>
              <c:f>Meta!$A$91</c:f>
              <c:strCache>
                <c:ptCount val="1"/>
                <c:pt idx="0">
                  <c:v> 200G </c:v>
                </c:pt>
              </c:strCache>
            </c:strRef>
          </c:tx>
          <c:spPr>
            <a:ln>
              <a:solidFill>
                <a:srgbClr val="F79646"/>
              </a:solidFill>
            </a:ln>
          </c:spPr>
          <c:marker>
            <c:symbol val="none"/>
          </c:marker>
          <c:cat>
            <c:numRef>
              <c:f>Meta!$B$89:$L$89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Meta!$B$91:$L$91</c:f>
              <c:numCache>
                <c:formatCode>_(* #,##0_);_(* \(#,##0\);_(* "-"??_);_(@_)</c:formatCode>
                <c:ptCount val="11"/>
                <c:pt idx="0">
                  <c:v>6891.440163934426</c:v>
                </c:pt>
                <c:pt idx="1">
                  <c:v>13025.030399999996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D61E-594C-986A-1C78B44D7DA9}"/>
            </c:ext>
          </c:extLst>
        </c:ser>
        <c:ser>
          <c:idx val="4"/>
          <c:order val="2"/>
          <c:tx>
            <c:strRef>
              <c:f>Meta!$A$92</c:f>
              <c:strCache>
                <c:ptCount val="1"/>
                <c:pt idx="0">
                  <c:v> 400G </c:v>
                </c:pt>
              </c:strCache>
            </c:strRef>
          </c:tx>
          <c:spPr>
            <a:ln>
              <a:solidFill>
                <a:srgbClr val="C0504D"/>
              </a:solidFill>
            </a:ln>
          </c:spPr>
          <c:marker>
            <c:symbol val="none"/>
          </c:marker>
          <c:cat>
            <c:numRef>
              <c:f>Meta!$B$89:$L$89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Meta!$B$92:$L$92</c:f>
              <c:numCache>
                <c:formatCode>_(* #,##0_);_(* \(#,##0\);_(* "-"??_);_(@_)</c:formatCode>
                <c:ptCount val="11"/>
                <c:pt idx="0">
                  <c:v>1750</c:v>
                </c:pt>
                <c:pt idx="1">
                  <c:v>3483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D61E-594C-986A-1C78B44D7DA9}"/>
            </c:ext>
          </c:extLst>
        </c:ser>
        <c:ser>
          <c:idx val="2"/>
          <c:order val="3"/>
          <c:tx>
            <c:strRef>
              <c:f>Meta!$A$93</c:f>
              <c:strCache>
                <c:ptCount val="1"/>
                <c:pt idx="0">
                  <c:v> 600/800G </c:v>
                </c:pt>
              </c:strCache>
            </c:strRef>
          </c:tx>
          <c:marker>
            <c:symbol val="none"/>
          </c:marker>
          <c:cat>
            <c:numRef>
              <c:f>Meta!$B$89:$L$89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Meta!$B$93:$L$93</c:f>
              <c:numCache>
                <c:formatCode>_(* #,##0_);_(* \(#,##0\);_(* "-"??_);_(@_)</c:formatCode>
                <c:ptCount val="11"/>
                <c:pt idx="0">
                  <c:v>0</c:v>
                </c:pt>
                <c:pt idx="1">
                  <c:v>1.6400000000000003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D61E-594C-986A-1C78B44D7DA9}"/>
            </c:ext>
          </c:extLst>
        </c:ser>
        <c:ser>
          <c:idx val="3"/>
          <c:order val="4"/>
          <c:tx>
            <c:strRef>
              <c:f>Meta!$A$94</c:f>
              <c:strCache>
                <c:ptCount val="1"/>
                <c:pt idx="0">
                  <c:v> 1.2/1.6T </c:v>
                </c:pt>
              </c:strCache>
            </c:strRef>
          </c:tx>
          <c:marker>
            <c:symbol val="none"/>
          </c:marker>
          <c:cat>
            <c:numRef>
              <c:f>Meta!$B$89:$L$89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Meta!$B$94:$L$94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D61E-594C-986A-1C78B44D7DA9}"/>
            </c:ext>
          </c:extLst>
        </c:ser>
        <c:dLbls>
          <c:showLegendKey val="0"/>
          <c:showVal val="0"/>
          <c:showCatName val="0"/>
          <c:showSerName val="0"/>
          <c:showPercent val="0"/>
          <c:showBubbleSize val="0"/>
        </c:dLbls>
        <c:smooth val="0"/>
        <c:axId val="9192960"/>
        <c:axId val="9194496"/>
      </c:lineChart>
      <c:catAx>
        <c:axId val="9192960"/>
        <c:scaling>
          <c:orientation val="minMax"/>
        </c:scaling>
        <c:delete val="0"/>
        <c:axPos val="b"/>
        <c:numFmt formatCode="General" sourceLinked="1"/>
        <c:majorTickMark val="out"/>
        <c:minorTickMark val="none"/>
        <c:tickLblPos val="nextTo"/>
        <c:crossAx val="9194496"/>
        <c:crosses val="autoZero"/>
        <c:auto val="1"/>
        <c:lblAlgn val="ctr"/>
        <c:lblOffset val="100"/>
        <c:noMultiLvlLbl val="0"/>
      </c:catAx>
      <c:valAx>
        <c:axId val="9194496"/>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1.2562366426669448E-2"/>
              <c:y val="0.24280644412778357"/>
            </c:manualLayout>
          </c:layout>
          <c:overlay val="0"/>
        </c:title>
        <c:numFmt formatCode="_(* #,##0_);_(* \(#,##0\);_(* &quot;-&quot;??_);_(@_)" sourceLinked="1"/>
        <c:majorTickMark val="out"/>
        <c:minorTickMark val="none"/>
        <c:tickLblPos val="nextTo"/>
        <c:crossAx val="9192960"/>
        <c:crosses val="autoZero"/>
        <c:crossBetween val="between"/>
      </c:valAx>
    </c:plotArea>
    <c:legend>
      <c:legendPos val="r"/>
      <c:layout>
        <c:manualLayout>
          <c:xMode val="edge"/>
          <c:yMode val="edge"/>
          <c:x val="0.20840364706938277"/>
          <c:y val="6.3886875732228968E-2"/>
          <c:w val="0.19977140361657642"/>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38163386564741"/>
          <c:y val="6.0440033652730582E-2"/>
          <c:w val="0.78618869767505806"/>
          <c:h val="0.8326195683872849"/>
        </c:manualLayout>
      </c:layout>
      <c:lineChart>
        <c:grouping val="standard"/>
        <c:varyColors val="0"/>
        <c:ser>
          <c:idx val="0"/>
          <c:order val="0"/>
          <c:tx>
            <c:strRef>
              <c:f>Meta!$A$82</c:f>
              <c:strCache>
                <c:ptCount val="1"/>
                <c:pt idx="0">
                  <c:v> 100G </c:v>
                </c:pt>
              </c:strCache>
            </c:strRef>
          </c:tx>
          <c:marker>
            <c:symbol val="none"/>
          </c:marker>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Meta!$M$82:$W$82</c:f>
              <c:numCache>
                <c:formatCode>_("$"* #,##0_);_("$"* \(#,##0\);_("$"* "-"??_);_(@_)</c:formatCode>
                <c:ptCount val="11"/>
                <c:pt idx="0">
                  <c:v>428.38550607885162</c:v>
                </c:pt>
                <c:pt idx="1">
                  <c:v>356.54510976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676A-5240-AA6A-A6FB4D65AAB9}"/>
            </c:ext>
          </c:extLst>
        </c:ser>
        <c:ser>
          <c:idx val="1"/>
          <c:order val="1"/>
          <c:tx>
            <c:strRef>
              <c:f>Meta!$A$83</c:f>
              <c:strCache>
                <c:ptCount val="1"/>
                <c:pt idx="0">
                  <c:v> 200G </c:v>
                </c:pt>
              </c:strCache>
            </c:strRef>
          </c:tx>
          <c:spPr>
            <a:ln>
              <a:solidFill>
                <a:srgbClr val="F79646"/>
              </a:solidFill>
            </a:ln>
          </c:spPr>
          <c:marker>
            <c:symbol val="none"/>
          </c:marker>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Meta!$M$83:$W$83</c:f>
              <c:numCache>
                <c:formatCode>_("$"* #,##0_);_("$"* \(#,##0\);_("$"* "-"??_);_(@_)</c:formatCode>
                <c:ptCount val="11"/>
                <c:pt idx="0">
                  <c:v>55.32638763040238</c:v>
                </c:pt>
                <c:pt idx="1">
                  <c:v>80.565019156363618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676A-5240-AA6A-A6FB4D65AAB9}"/>
            </c:ext>
          </c:extLst>
        </c:ser>
        <c:ser>
          <c:idx val="4"/>
          <c:order val="2"/>
          <c:tx>
            <c:strRef>
              <c:f>Meta!$A$84</c:f>
              <c:strCache>
                <c:ptCount val="1"/>
                <c:pt idx="0">
                  <c:v> 400G </c:v>
                </c:pt>
              </c:strCache>
            </c:strRef>
          </c:tx>
          <c:spPr>
            <a:ln>
              <a:solidFill>
                <a:srgbClr val="C0504D"/>
              </a:solidFill>
            </a:ln>
          </c:spPr>
          <c:marker>
            <c:symbol val="none"/>
          </c:marker>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Meta!$M$84:$W$84</c:f>
              <c:numCache>
                <c:formatCode>_("$"* #,##0_);_("$"* \(#,##0\);_("$"* "-"??_);_(@_)</c:formatCode>
                <c:ptCount val="11"/>
                <c:pt idx="0">
                  <c:v>2</c:v>
                </c:pt>
                <c:pt idx="1">
                  <c:v>34.269761588272793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676A-5240-AA6A-A6FB4D65AAB9}"/>
            </c:ext>
          </c:extLst>
        </c:ser>
        <c:ser>
          <c:idx val="2"/>
          <c:order val="3"/>
          <c:tx>
            <c:strRef>
              <c:f>Meta!$A$85</c:f>
              <c:strCache>
                <c:ptCount val="1"/>
                <c:pt idx="0">
                  <c:v> 800G </c:v>
                </c:pt>
              </c:strCache>
            </c:strRef>
          </c:tx>
          <c:marker>
            <c:symbol val="none"/>
          </c:marker>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Meta!$M$85:$W$85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676A-5240-AA6A-A6FB4D65AAB9}"/>
            </c:ext>
          </c:extLst>
        </c:ser>
        <c:ser>
          <c:idx val="3"/>
          <c:order val="4"/>
          <c:tx>
            <c:strRef>
              <c:f>Meta!$A$86</c:f>
              <c:strCache>
                <c:ptCount val="1"/>
                <c:pt idx="0">
                  <c:v> 1.6T </c:v>
                </c:pt>
              </c:strCache>
            </c:strRef>
          </c:tx>
          <c:marker>
            <c:symbol val="none"/>
          </c:marker>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Meta!$M$86:$W$86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676A-5240-AA6A-A6FB4D65AAB9}"/>
            </c:ext>
          </c:extLst>
        </c:ser>
        <c:dLbls>
          <c:showLegendKey val="0"/>
          <c:showVal val="0"/>
          <c:showCatName val="0"/>
          <c:showSerName val="0"/>
          <c:showPercent val="0"/>
          <c:showBubbleSize val="0"/>
        </c:dLbls>
        <c:smooth val="0"/>
        <c:axId val="9216384"/>
        <c:axId val="9217920"/>
      </c:lineChart>
      <c:catAx>
        <c:axId val="9216384"/>
        <c:scaling>
          <c:orientation val="minMax"/>
        </c:scaling>
        <c:delete val="0"/>
        <c:axPos val="b"/>
        <c:numFmt formatCode="General" sourceLinked="1"/>
        <c:majorTickMark val="out"/>
        <c:minorTickMark val="none"/>
        <c:tickLblPos val="nextTo"/>
        <c:crossAx val="9217920"/>
        <c:crosses val="autoZero"/>
        <c:auto val="1"/>
        <c:lblAlgn val="ctr"/>
        <c:lblOffset val="100"/>
        <c:noMultiLvlLbl val="0"/>
      </c:catAx>
      <c:valAx>
        <c:axId val="9217920"/>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8294926611979175E-2"/>
              <c:y val="0.24730343972474231"/>
            </c:manualLayout>
          </c:layout>
          <c:overlay val="0"/>
        </c:title>
        <c:numFmt formatCode="_(&quot;$&quot;* #,##0_);_(&quot;$&quot;* \(#,##0\);_(&quot;$&quot;* &quot;-&quot;??_);_(@_)" sourceLinked="1"/>
        <c:majorTickMark val="out"/>
        <c:minorTickMark val="none"/>
        <c:tickLblPos val="nextTo"/>
        <c:crossAx val="9216384"/>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0.12720530318666948"/>
          <c:w val="0.86351159230096242"/>
          <c:h val="0.75494281321761159"/>
        </c:manualLayout>
      </c:layout>
      <c:lineChart>
        <c:grouping val="standard"/>
        <c:varyColors val="0"/>
        <c:ser>
          <c:idx val="0"/>
          <c:order val="0"/>
          <c:tx>
            <c:strRef>
              <c:f>'Figures in the Report'!$I$218</c:f>
              <c:strCache>
                <c:ptCount val="1"/>
                <c:pt idx="0">
                  <c:v>Enterprise</c:v>
                </c:pt>
              </c:strCache>
            </c:strRef>
          </c:tx>
          <c:spPr>
            <a:ln>
              <a:solidFill>
                <a:srgbClr val="00B050"/>
              </a:solidFill>
            </a:ln>
          </c:spPr>
          <c:marker>
            <c:symbol val="none"/>
          </c:marker>
          <c:cat>
            <c:numRef>
              <c:f>'Figures in the Report'!$J$176:$R$176</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'Figures in the Report'!$J$218:$R$218</c:f>
              <c:numCache>
                <c:formatCode>0%</c:formatCode>
                <c:ptCount val="9"/>
                <c:pt idx="1">
                  <c:v>1.0242784738320898</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43AC-0844-B9D6-A89FDDAB2873}"/>
            </c:ext>
          </c:extLst>
        </c:ser>
        <c:ser>
          <c:idx val="1"/>
          <c:order val="1"/>
          <c:tx>
            <c:strRef>
              <c:f>'Figures in the Report'!$I$219</c:f>
              <c:strCache>
                <c:ptCount val="1"/>
                <c:pt idx="0">
                  <c:v>Telecom</c:v>
                </c:pt>
              </c:strCache>
            </c:strRef>
          </c:tx>
          <c:spPr>
            <a:ln>
              <a:solidFill>
                <a:srgbClr val="C00000"/>
              </a:solidFill>
            </a:ln>
          </c:spPr>
          <c:marker>
            <c:symbol val="none"/>
          </c:marker>
          <c:cat>
            <c:numRef>
              <c:f>'Figures in the Report'!$J$176:$R$176</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'Figures in the Report'!$J$219:$R$219</c:f>
              <c:numCache>
                <c:formatCode>0%</c:formatCode>
                <c:ptCount val="9"/>
                <c:pt idx="1">
                  <c:v>1.3788154418121574</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3AC-0844-B9D6-A89FDDAB2873}"/>
            </c:ext>
          </c:extLst>
        </c:ser>
        <c:ser>
          <c:idx val="2"/>
          <c:order val="2"/>
          <c:tx>
            <c:strRef>
              <c:f>'Figures in the Report'!$I$220</c:f>
              <c:strCache>
                <c:ptCount val="1"/>
                <c:pt idx="0">
                  <c:v>Cloud</c:v>
                </c:pt>
              </c:strCache>
            </c:strRef>
          </c:tx>
          <c:spPr>
            <a:ln w="25400">
              <a:solidFill>
                <a:schemeClr val="accent1"/>
              </a:solidFill>
            </a:ln>
          </c:spPr>
          <c:marker>
            <c:symbol val="none"/>
          </c:marker>
          <c:cat>
            <c:numRef>
              <c:f>'Figures in the Report'!$J$176:$R$176</c:f>
              <c:numCache>
                <c:formatCode>General</c:formatCode>
                <c:ptCount val="9"/>
                <c:pt idx="0">
                  <c:v>2019</c:v>
                </c:pt>
                <c:pt idx="1">
                  <c:v>2020</c:v>
                </c:pt>
                <c:pt idx="2">
                  <c:v>2021</c:v>
                </c:pt>
                <c:pt idx="3">
                  <c:v>2022</c:v>
                </c:pt>
                <c:pt idx="4">
                  <c:v>2023</c:v>
                </c:pt>
                <c:pt idx="5">
                  <c:v>2024</c:v>
                </c:pt>
                <c:pt idx="6">
                  <c:v>2025</c:v>
                </c:pt>
                <c:pt idx="7">
                  <c:v>2026</c:v>
                </c:pt>
                <c:pt idx="8">
                  <c:v>2027</c:v>
                </c:pt>
              </c:numCache>
            </c:numRef>
          </c:cat>
          <c:val>
            <c:numRef>
              <c:f>'Figures in the Report'!$J$220:$R$220</c:f>
              <c:numCache>
                <c:formatCode>0%</c:formatCode>
                <c:ptCount val="9"/>
                <c:pt idx="1">
                  <c:v>1.4545648399289686</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3AC-0844-B9D6-A89FDDAB2873}"/>
            </c:ext>
          </c:extLst>
        </c:ser>
        <c:dLbls>
          <c:showLegendKey val="0"/>
          <c:showVal val="0"/>
          <c:showCatName val="0"/>
          <c:showSerName val="0"/>
          <c:showPercent val="0"/>
          <c:showBubbleSize val="0"/>
        </c:dLbls>
        <c:smooth val="0"/>
        <c:axId val="62859136"/>
        <c:axId val="64547840"/>
      </c:lineChart>
      <c:catAx>
        <c:axId val="62859136"/>
        <c:scaling>
          <c:orientation val="minMax"/>
        </c:scaling>
        <c:delete val="0"/>
        <c:axPos val="b"/>
        <c:numFmt formatCode="General" sourceLinked="1"/>
        <c:majorTickMark val="out"/>
        <c:minorTickMark val="none"/>
        <c:tickLblPos val="nextTo"/>
        <c:crossAx val="64547840"/>
        <c:crosses val="autoZero"/>
        <c:auto val="1"/>
        <c:lblAlgn val="ctr"/>
        <c:lblOffset val="100"/>
        <c:noMultiLvlLbl val="0"/>
      </c:catAx>
      <c:valAx>
        <c:axId val="64547840"/>
        <c:scaling>
          <c:orientation val="minMax"/>
        </c:scaling>
        <c:delete val="0"/>
        <c:axPos val="l"/>
        <c:majorGridlines/>
        <c:numFmt formatCode="0%" sourceLinked="1"/>
        <c:majorTickMark val="out"/>
        <c:minorTickMark val="none"/>
        <c:tickLblPos val="nextTo"/>
        <c:crossAx val="62859136"/>
        <c:crosses val="autoZero"/>
        <c:crossBetween val="between"/>
      </c:valAx>
    </c:plotArea>
    <c:legend>
      <c:legendPos val="t"/>
      <c:layout>
        <c:manualLayout>
          <c:xMode val="edge"/>
          <c:yMode val="edge"/>
          <c:x val="0.20320172208689741"/>
          <c:y val="1.1754829430020354E-2"/>
          <c:w val="0.57930726112689035"/>
          <c:h val="0.10628078122411276"/>
        </c:manualLayout>
      </c:layou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964727708685856"/>
          <c:y val="5.1400554097404488E-2"/>
          <c:w val="0.798012832243012"/>
          <c:h val="0.8326195683872849"/>
        </c:manualLayout>
      </c:layout>
      <c:lineChart>
        <c:grouping val="standard"/>
        <c:varyColors val="0"/>
        <c:ser>
          <c:idx val="0"/>
          <c:order val="0"/>
          <c:tx>
            <c:strRef>
              <c:f>Meta!$A$90</c:f>
              <c:strCache>
                <c:ptCount val="1"/>
                <c:pt idx="0">
                  <c:v> 100G </c:v>
                </c:pt>
              </c:strCache>
            </c:strRef>
          </c:tx>
          <c:marker>
            <c:symbol val="none"/>
          </c:marker>
          <c:cat>
            <c:numRef>
              <c:f>Meta!$M$89:$W$89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Meta!$M$90:$W$90</c:f>
              <c:numCache>
                <c:formatCode>_("$"* #,##0_);_("$"* \(#,##0\);_("$"* "-"??_);_(@_)</c:formatCode>
                <c:ptCount val="11"/>
                <c:pt idx="0">
                  <c:v>120.38550607885156</c:v>
                </c:pt>
                <c:pt idx="1">
                  <c:v>50.545109760000017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B8D2-D04D-8846-C7621237A0F8}"/>
            </c:ext>
          </c:extLst>
        </c:ser>
        <c:ser>
          <c:idx val="1"/>
          <c:order val="1"/>
          <c:tx>
            <c:strRef>
              <c:f>Meta!$A$91</c:f>
              <c:strCache>
                <c:ptCount val="1"/>
                <c:pt idx="0">
                  <c:v> 200G </c:v>
                </c:pt>
              </c:strCache>
            </c:strRef>
          </c:tx>
          <c:spPr>
            <a:ln>
              <a:solidFill>
                <a:srgbClr val="F79646"/>
              </a:solidFill>
            </a:ln>
          </c:spPr>
          <c:marker>
            <c:symbol val="none"/>
          </c:marker>
          <c:cat>
            <c:numRef>
              <c:f>Meta!$M$89:$W$89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Meta!$M$91:$W$91</c:f>
              <c:numCache>
                <c:formatCode>_("$"* #,##0_);_("$"* \(#,##0\);_("$"* "-"??_);_(@_)</c:formatCode>
                <c:ptCount val="11"/>
                <c:pt idx="0">
                  <c:v>54.57638763040238</c:v>
                </c:pt>
                <c:pt idx="1">
                  <c:v>77.470519156363622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B8D2-D04D-8846-C7621237A0F8}"/>
            </c:ext>
          </c:extLst>
        </c:ser>
        <c:ser>
          <c:idx val="4"/>
          <c:order val="2"/>
          <c:tx>
            <c:strRef>
              <c:f>Meta!$A$92</c:f>
              <c:strCache>
                <c:ptCount val="1"/>
                <c:pt idx="0">
                  <c:v> 400G </c:v>
                </c:pt>
              </c:strCache>
            </c:strRef>
          </c:tx>
          <c:spPr>
            <a:ln>
              <a:solidFill>
                <a:srgbClr val="C0504D"/>
              </a:solidFill>
            </a:ln>
          </c:spPr>
          <c:marker>
            <c:symbol val="none"/>
          </c:marker>
          <c:cat>
            <c:numRef>
              <c:f>Meta!$M$89:$W$89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Meta!$M$92:$W$92</c:f>
              <c:numCache>
                <c:formatCode>_("$"* #,##0_);_("$"* \(#,##0\);_("$"* "-"??_);_(@_)</c:formatCode>
                <c:ptCount val="11"/>
                <c:pt idx="0">
                  <c:v>0</c:v>
                </c:pt>
                <c:pt idx="1">
                  <c:v>30.39709090909091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B8D2-D04D-8846-C7621237A0F8}"/>
            </c:ext>
          </c:extLst>
        </c:ser>
        <c:ser>
          <c:idx val="2"/>
          <c:order val="3"/>
          <c:tx>
            <c:strRef>
              <c:f>Meta!$A$93</c:f>
              <c:strCache>
                <c:ptCount val="1"/>
                <c:pt idx="0">
                  <c:v> 600/800G </c:v>
                </c:pt>
              </c:strCache>
            </c:strRef>
          </c:tx>
          <c:marker>
            <c:symbol val="none"/>
          </c:marker>
          <c:cat>
            <c:numRef>
              <c:f>Meta!$M$89:$W$89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Meta!$M$93:$W$93</c:f>
              <c:numCache>
                <c:formatCode>_("$"* #,##0_);_("$"* \(#,##0\);_("$"* "-"??_);_(@_)</c:formatCode>
                <c:ptCount val="11"/>
                <c:pt idx="0">
                  <c:v>0</c:v>
                </c:pt>
                <c:pt idx="1">
                  <c:v>1.6400000000000005E-2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B8D2-D04D-8846-C7621237A0F8}"/>
            </c:ext>
          </c:extLst>
        </c:ser>
        <c:ser>
          <c:idx val="3"/>
          <c:order val="4"/>
          <c:tx>
            <c:strRef>
              <c:f>Meta!$A$94</c:f>
              <c:strCache>
                <c:ptCount val="1"/>
                <c:pt idx="0">
                  <c:v> 1.2/1.6T </c:v>
                </c:pt>
              </c:strCache>
            </c:strRef>
          </c:tx>
          <c:marker>
            <c:symbol val="none"/>
          </c:marker>
          <c:cat>
            <c:numRef>
              <c:f>Meta!$M$89:$W$89</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Meta!$M$94:$W$94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B8D2-D04D-8846-C7621237A0F8}"/>
            </c:ext>
          </c:extLst>
        </c:ser>
        <c:dLbls>
          <c:showLegendKey val="0"/>
          <c:showVal val="0"/>
          <c:showCatName val="0"/>
          <c:showSerName val="0"/>
          <c:showPercent val="0"/>
          <c:showBubbleSize val="0"/>
        </c:dLbls>
        <c:smooth val="0"/>
        <c:axId val="9235456"/>
        <c:axId val="9237248"/>
      </c:lineChart>
      <c:catAx>
        <c:axId val="9235456"/>
        <c:scaling>
          <c:orientation val="minMax"/>
        </c:scaling>
        <c:delete val="0"/>
        <c:axPos val="b"/>
        <c:numFmt formatCode="General" sourceLinked="1"/>
        <c:majorTickMark val="out"/>
        <c:minorTickMark val="none"/>
        <c:tickLblPos val="nextTo"/>
        <c:crossAx val="9237248"/>
        <c:crosses val="autoZero"/>
        <c:auto val="1"/>
        <c:lblAlgn val="ctr"/>
        <c:lblOffset val="100"/>
        <c:noMultiLvlLbl val="0"/>
      </c:catAx>
      <c:valAx>
        <c:axId val="9237248"/>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9717502978245528E-2"/>
              <c:y val="0.30780124989217972"/>
            </c:manualLayout>
          </c:layout>
          <c:overlay val="0"/>
        </c:title>
        <c:numFmt formatCode="_(&quot;$&quot;* #,##0_);_(&quot;$&quot;* \(#,##0\);_(&quot;$&quot;* &quot;-&quot;??_);_(@_)" sourceLinked="1"/>
        <c:majorTickMark val="out"/>
        <c:minorTickMark val="none"/>
        <c:tickLblPos val="nextTo"/>
        <c:crossAx val="9235456"/>
        <c:crosses val="autoZero"/>
        <c:crossBetween val="between"/>
      </c:valAx>
    </c:plotArea>
    <c:legend>
      <c:legendPos val="r"/>
      <c:layout>
        <c:manualLayout>
          <c:xMode val="edge"/>
          <c:yMode val="edge"/>
          <c:x val="0.15058388788138616"/>
          <c:y val="6.8432330553926071E-2"/>
          <c:w val="0.19458622093518049"/>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Meta!$A$101</c:f>
          <c:strCache>
            <c:ptCount val="1"/>
            <c:pt idx="0">
              <c:v>Ethernet transceivers % of total capex: Meta</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spPr>
            <a:solidFill>
              <a:srgbClr val="0070C0"/>
            </a:solidFill>
          </c:spPr>
          <c:invertIfNegative val="0"/>
          <c:cat>
            <c:numRef>
              <c:f>Meta!$M$98:$W$98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Meta!$M$101:$W$101</c:f>
              <c:numCache>
                <c:formatCode>0.0%</c:formatCode>
                <c:ptCount val="11"/>
                <c:pt idx="0">
                  <c:v>2.378836692911921E-2</c:v>
                </c:pt>
                <c:pt idx="1">
                  <c:v>2.1009552847003083E-2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A23-3A4C-8BA8-3E2563AA90A8}"/>
            </c:ext>
          </c:extLst>
        </c:ser>
        <c:dLbls>
          <c:showLegendKey val="0"/>
          <c:showVal val="0"/>
          <c:showCatName val="0"/>
          <c:showSerName val="0"/>
          <c:showPercent val="0"/>
          <c:showBubbleSize val="0"/>
        </c:dLbls>
        <c:gapWidth val="150"/>
        <c:overlap val="100"/>
        <c:axId val="9286784"/>
        <c:axId val="9288320"/>
      </c:barChart>
      <c:catAx>
        <c:axId val="9286784"/>
        <c:scaling>
          <c:orientation val="minMax"/>
        </c:scaling>
        <c:delete val="0"/>
        <c:axPos val="b"/>
        <c:numFmt formatCode="General" sourceLinked="1"/>
        <c:majorTickMark val="out"/>
        <c:minorTickMark val="none"/>
        <c:tickLblPos val="nextTo"/>
        <c:crossAx val="9288320"/>
        <c:crosses val="autoZero"/>
        <c:auto val="1"/>
        <c:lblAlgn val="ctr"/>
        <c:lblOffset val="100"/>
        <c:noMultiLvlLbl val="0"/>
      </c:catAx>
      <c:valAx>
        <c:axId val="9288320"/>
        <c:scaling>
          <c:orientation val="minMax"/>
        </c:scaling>
        <c:delete val="0"/>
        <c:axPos val="l"/>
        <c:majorGridlines/>
        <c:numFmt formatCode="0.0%" sourceLinked="1"/>
        <c:majorTickMark val="out"/>
        <c:minorTickMark val="none"/>
        <c:tickLblPos val="nextTo"/>
        <c:crossAx val="9286784"/>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Meta!$A$103</c:f>
          <c:strCache>
            <c:ptCount val="1"/>
            <c:pt idx="0">
              <c:v>Ethernet&amp;DWDM transceivers % of total capex: Meta</c:v>
            </c:pt>
          </c:strCache>
        </c:strRef>
      </c:tx>
      <c:layout>
        <c:manualLayout>
          <c:xMode val="edge"/>
          <c:yMode val="edge"/>
          <c:x val="0.15879727880362562"/>
          <c:y val="1.8079096045197741E-2"/>
        </c:manualLayout>
      </c:layout>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v>Ethernet</c:v>
          </c:tx>
          <c:spPr>
            <a:solidFill>
              <a:srgbClr val="0070C0"/>
            </a:solidFill>
          </c:spPr>
          <c:invertIfNegative val="0"/>
          <c:cat>
            <c:numRef>
              <c:f>Meta!$M$98:$W$98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Meta!$M$101:$W$101</c:f>
              <c:numCache>
                <c:formatCode>0.0%</c:formatCode>
                <c:ptCount val="11"/>
                <c:pt idx="0">
                  <c:v>2.378836692911921E-2</c:v>
                </c:pt>
                <c:pt idx="1">
                  <c:v>2.1009552847003083E-2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Meta!$M$98:$W$98</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Meta!$M$102:$W$102</c:f>
              <c:numCache>
                <c:formatCode>0.0%</c:formatCode>
                <c:ptCount val="11"/>
                <c:pt idx="0">
                  <c:v>1.2712917700704374E-2</c:v>
                </c:pt>
                <c:pt idx="1">
                  <c:v>1.0300885187561204E-2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040-F94F-BC3E-48EF0F9B32B7}"/>
            </c:ext>
          </c:extLst>
        </c:ser>
        <c:dLbls>
          <c:showLegendKey val="0"/>
          <c:showVal val="0"/>
          <c:showCatName val="0"/>
          <c:showSerName val="0"/>
          <c:showPercent val="0"/>
          <c:showBubbleSize val="0"/>
        </c:dLbls>
        <c:gapWidth val="150"/>
        <c:overlap val="100"/>
        <c:axId val="9318400"/>
        <c:axId val="9319936"/>
      </c:barChart>
      <c:catAx>
        <c:axId val="9318400"/>
        <c:scaling>
          <c:orientation val="minMax"/>
        </c:scaling>
        <c:delete val="0"/>
        <c:axPos val="b"/>
        <c:numFmt formatCode="General" sourceLinked="1"/>
        <c:majorTickMark val="out"/>
        <c:minorTickMark val="none"/>
        <c:tickLblPos val="nextTo"/>
        <c:crossAx val="9319936"/>
        <c:crosses val="autoZero"/>
        <c:auto val="1"/>
        <c:lblAlgn val="ctr"/>
        <c:lblOffset val="100"/>
        <c:noMultiLvlLbl val="0"/>
      </c:catAx>
      <c:valAx>
        <c:axId val="9319936"/>
        <c:scaling>
          <c:orientation val="minMax"/>
        </c:scaling>
        <c:delete val="0"/>
        <c:axPos val="l"/>
        <c:majorGridlines/>
        <c:numFmt formatCode="0.0%" sourceLinked="1"/>
        <c:majorTickMark val="out"/>
        <c:minorTickMark val="none"/>
        <c:tickLblPos val="nextTo"/>
        <c:crossAx val="9318400"/>
        <c:crosses val="autoZero"/>
        <c:crossBetween val="between"/>
      </c:valAx>
    </c:plotArea>
    <c:legend>
      <c:legendPos val="t"/>
      <c:layout>
        <c:manualLayout>
          <c:xMode val="edge"/>
          <c:yMode val="edge"/>
          <c:x val="0.48304906561127314"/>
          <c:y val="9.5156830577247165E-2"/>
          <c:w val="0.26371050596005474"/>
          <c:h val="8.1730681969838515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4596428396333"/>
          <c:y val="5.3512161412456336E-2"/>
          <c:w val="0.8108405541539444"/>
          <c:h val="0.85100374953130864"/>
        </c:manualLayout>
      </c:layout>
      <c:barChart>
        <c:barDir val="col"/>
        <c:grouping val="stacked"/>
        <c:varyColors val="0"/>
        <c:ser>
          <c:idx val="2"/>
          <c:order val="0"/>
          <c:tx>
            <c:v>Ethernet</c:v>
          </c:tx>
          <c:spPr>
            <a:solidFill>
              <a:srgbClr val="0070C0"/>
            </a:solidFill>
            <a:ln>
              <a:solidFill>
                <a:schemeClr val="accent1"/>
              </a:solidFill>
            </a:ln>
          </c:spPr>
          <c:invertIfNegative val="0"/>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Meta!$M$87:$W$87</c:f>
              <c:numCache>
                <c:formatCode>_("$"* #,##0_);_("$"* \(#,##0\);_("$"* "-"??_);_(@_)</c:formatCode>
                <c:ptCount val="11"/>
                <c:pt idx="0">
                  <c:v>332.56136966908656</c:v>
                </c:pt>
                <c:pt idx="1">
                  <c:v>326.06826018548787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E29-BF4F-8071-E75492A04F2C}"/>
            </c:ext>
          </c:extLst>
        </c:ser>
        <c:ser>
          <c:idx val="0"/>
          <c:order val="1"/>
          <c:tx>
            <c:v>DWDM</c:v>
          </c:tx>
          <c:spPr>
            <a:solidFill>
              <a:srgbClr val="C00000"/>
            </a:solidFill>
            <a:ln>
              <a:solidFill>
                <a:srgbClr val="C00000"/>
              </a:solidFill>
            </a:ln>
          </c:spPr>
          <c:invertIfNegative val="0"/>
          <c:cat>
            <c:numRef>
              <c:f>Meta!$M$80:$W$80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Meta!$M$95:$W$95</c:f>
              <c:numCache>
                <c:formatCode>_("$"* #,##0_);_("$"* \(#,##0\);_("$"* "-"??_);_(@_)</c:formatCode>
                <c:ptCount val="11"/>
                <c:pt idx="0">
                  <c:v>177.72658945584715</c:v>
                </c:pt>
                <c:pt idx="1">
                  <c:v>159.86973811094987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E29-BF4F-8071-E75492A04F2C}"/>
            </c:ext>
          </c:extLst>
        </c:ser>
        <c:dLbls>
          <c:showLegendKey val="0"/>
          <c:showVal val="0"/>
          <c:showCatName val="0"/>
          <c:showSerName val="0"/>
          <c:showPercent val="0"/>
          <c:showBubbleSize val="0"/>
        </c:dLbls>
        <c:gapWidth val="150"/>
        <c:overlap val="100"/>
        <c:axId val="9337856"/>
        <c:axId val="9343744"/>
      </c:barChart>
      <c:catAx>
        <c:axId val="9337856"/>
        <c:scaling>
          <c:orientation val="minMax"/>
        </c:scaling>
        <c:delete val="0"/>
        <c:axPos val="b"/>
        <c:numFmt formatCode="General" sourceLinked="1"/>
        <c:majorTickMark val="out"/>
        <c:minorTickMark val="none"/>
        <c:tickLblPos val="nextTo"/>
        <c:crossAx val="9343744"/>
        <c:crosses val="autoZero"/>
        <c:auto val="1"/>
        <c:lblAlgn val="ctr"/>
        <c:lblOffset val="100"/>
        <c:noMultiLvlLbl val="0"/>
      </c:catAx>
      <c:valAx>
        <c:axId val="9343744"/>
        <c:scaling>
          <c:orientation val="minMax"/>
        </c:scaling>
        <c:delete val="0"/>
        <c:axPos val="l"/>
        <c:majorGridlines/>
        <c:title>
          <c:tx>
            <c:rich>
              <a:bodyPr/>
              <a:lstStyle/>
              <a:p>
                <a:pPr>
                  <a:defRPr/>
                </a:pPr>
                <a:r>
                  <a:rPr lang="en-US"/>
                  <a:t>Sales ($</a:t>
                </a:r>
                <a:r>
                  <a:rPr lang="en-US" baseline="0"/>
                  <a:t> mn</a:t>
                </a:r>
                <a:r>
                  <a:rPr lang="en-US"/>
                  <a:t>)</a:t>
                </a:r>
              </a:p>
            </c:rich>
          </c:tx>
          <c:layout>
            <c:manualLayout>
              <c:xMode val="edge"/>
              <c:yMode val="edge"/>
              <c:x val="8.4266137683946304E-3"/>
              <c:y val="0.40451169907079149"/>
            </c:manualLayout>
          </c:layout>
          <c:overlay val="0"/>
        </c:title>
        <c:numFmt formatCode="_(&quot;$&quot;* #,##0_);_(&quot;$&quot;* \(#,##0\);_(&quot;$&quot;* &quot;-&quot;??_);_(@_)" sourceLinked="1"/>
        <c:majorTickMark val="out"/>
        <c:minorTickMark val="none"/>
        <c:tickLblPos val="nextTo"/>
        <c:crossAx val="9337856"/>
        <c:crosses val="autoZero"/>
        <c:crossBetween val="between"/>
      </c:valAx>
    </c:plotArea>
    <c:legend>
      <c:legendPos val="t"/>
      <c:layout>
        <c:manualLayout>
          <c:xMode val="edge"/>
          <c:yMode val="edge"/>
          <c:x val="0.36368924964071009"/>
          <c:y val="5.7528081501660645E-2"/>
          <c:w val="0.29784891605772928"/>
          <c:h val="9.5583087659066299E-2"/>
        </c:manualLayout>
      </c:layout>
      <c:overlay val="0"/>
      <c:spPr>
        <a:solidFill>
          <a:schemeClr val="bg1"/>
        </a:solidFill>
        <a:ln>
          <a:solidFill>
            <a:schemeClr val="bg1">
              <a:lumMod val="50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3277312825106"/>
          <c:y val="5.3037087256193938E-2"/>
          <c:w val="0.82108005046409882"/>
          <c:h val="0.8309832073495842"/>
        </c:manualLayout>
      </c:layout>
      <c:lineChart>
        <c:grouping val="standard"/>
        <c:varyColors val="0"/>
        <c:ser>
          <c:idx val="0"/>
          <c:order val="0"/>
          <c:tx>
            <c:strRef>
              <c:f>Amazon!$A$112</c:f>
              <c:strCache>
                <c:ptCount val="1"/>
                <c:pt idx="0">
                  <c:v>Ethernet</c:v>
                </c:pt>
              </c:strCache>
            </c:strRef>
          </c:tx>
          <c:cat>
            <c:numRef>
              <c:f>Amazon!$C$117:$L$117</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Amazon!$C$115:$L$115</c:f>
              <c:numCache>
                <c:formatCode>0%</c:formatCode>
                <c:ptCount val="10"/>
                <c:pt idx="0">
                  <c:v>0.45812798927613607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Amazon!$A$117</c:f>
              <c:strCache>
                <c:ptCount val="1"/>
                <c:pt idx="0">
                  <c:v>DWDM</c:v>
                </c:pt>
              </c:strCache>
            </c:strRef>
          </c:tx>
          <c:marker>
            <c:symbol val="square"/>
            <c:size val="5"/>
          </c:marker>
          <c:cat>
            <c:numRef>
              <c:f>Amazon!$C$117:$L$117</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Amazon!$C$120:$L$120</c:f>
              <c:numCache>
                <c:formatCode>0%</c:formatCode>
                <c:ptCount val="10"/>
                <c:pt idx="0">
                  <c:v>0.56713733237054953</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34540544"/>
        <c:axId val="34583296"/>
      </c:lineChart>
      <c:catAx>
        <c:axId val="34540544"/>
        <c:scaling>
          <c:orientation val="minMax"/>
        </c:scaling>
        <c:delete val="0"/>
        <c:axPos val="b"/>
        <c:numFmt formatCode="General" sourceLinked="1"/>
        <c:majorTickMark val="out"/>
        <c:minorTickMark val="none"/>
        <c:tickLblPos val="nextTo"/>
        <c:crossAx val="34583296"/>
        <c:crosses val="autoZero"/>
        <c:auto val="1"/>
        <c:lblAlgn val="ctr"/>
        <c:lblOffset val="100"/>
        <c:noMultiLvlLbl val="0"/>
      </c:catAx>
      <c:valAx>
        <c:axId val="34583296"/>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2.2011748443862829E-3"/>
              <c:y val="0.17404143245149051"/>
            </c:manualLayout>
          </c:layout>
          <c:overlay val="0"/>
        </c:title>
        <c:numFmt formatCode="0%" sourceLinked="1"/>
        <c:majorTickMark val="out"/>
        <c:minorTickMark val="none"/>
        <c:tickLblPos val="nextTo"/>
        <c:crossAx val="34540544"/>
        <c:crosses val="autoZero"/>
        <c:crossBetween val="between"/>
      </c:valAx>
    </c:plotArea>
    <c:legend>
      <c:legendPos val="t"/>
      <c:layout>
        <c:manualLayout>
          <c:xMode val="edge"/>
          <c:yMode val="edge"/>
          <c:x val="0.60752695261579837"/>
          <c:y val="0.10925780266632863"/>
          <c:w val="0.31605572184408848"/>
          <c:h val="0.14220395658643564"/>
        </c:manualLayout>
      </c:layout>
      <c:overlay val="0"/>
      <c:spPr>
        <a:solidFill>
          <a:sysClr val="window" lastClr="FFFFFF"/>
        </a:solidFill>
        <a:ln>
          <a:solidFill>
            <a:sysClr val="window" lastClr="FFFFFF">
              <a:lumMod val="50000"/>
            </a:sysClr>
          </a:solidFill>
        </a:ln>
      </c:sp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Amazon!$A$88</c:f>
              <c:strCache>
                <c:ptCount val="1"/>
                <c:pt idx="0">
                  <c:v> 100G </c:v>
                </c:pt>
              </c:strCache>
            </c:strRef>
          </c:tx>
          <c:marker>
            <c:symbol val="none"/>
          </c:marker>
          <c:cat>
            <c:numRef>
              <c:f>Amazon!$B$86:$L$86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Amazon!$B$88:$L$88</c:f>
              <c:numCache>
                <c:formatCode>_(* #,##0_);_(* \(#,##0\);_(* "-"??_);_(@_)</c:formatCode>
                <c:ptCount val="11"/>
                <c:pt idx="0">
                  <c:v>549585.36423599441</c:v>
                </c:pt>
                <c:pt idx="1">
                  <c:v>751778.49230000004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3CBC-C547-A2BB-7080F96DCF2E}"/>
            </c:ext>
          </c:extLst>
        </c:ser>
        <c:ser>
          <c:idx val="1"/>
          <c:order val="1"/>
          <c:tx>
            <c:v>200G</c:v>
          </c:tx>
          <c:marker>
            <c:symbol val="none"/>
          </c:marker>
          <c:val>
            <c:numLit>
              <c:formatCode>General</c:formatCode>
              <c:ptCount val="1"/>
              <c:pt idx="0">
                <c:v>1</c:v>
              </c:pt>
            </c:numLit>
          </c:val>
          <c:smooth val="1"/>
          <c:extLst>
            <c:ext xmlns:c16="http://schemas.microsoft.com/office/drawing/2014/chart" uri="{C3380CC4-5D6E-409C-BE32-E72D297353CC}">
              <c16:uniqueId val="{00000001-3CBC-C547-A2BB-7080F96DCF2E}"/>
            </c:ext>
          </c:extLst>
        </c:ser>
        <c:ser>
          <c:idx val="4"/>
          <c:order val="2"/>
          <c:tx>
            <c:strRef>
              <c:f>Amazon!$A$90</c:f>
              <c:strCache>
                <c:ptCount val="1"/>
                <c:pt idx="0">
                  <c:v> 400G </c:v>
                </c:pt>
              </c:strCache>
            </c:strRef>
          </c:tx>
          <c:spPr>
            <a:ln>
              <a:solidFill>
                <a:srgbClr val="C0504D"/>
              </a:solidFill>
            </a:ln>
          </c:spPr>
          <c:marker>
            <c:symbol val="none"/>
          </c:marker>
          <c:cat>
            <c:numRef>
              <c:f>Amazon!$B$86:$L$86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Amazon!$B$90:$L$90</c:f>
              <c:numCache>
                <c:formatCode>_(* #,##0_);_(* \(#,##0\);_(* "-"??_);_(@_)</c:formatCode>
                <c:ptCount val="11"/>
                <c:pt idx="0">
                  <c:v>2100</c:v>
                </c:pt>
                <c:pt idx="1">
                  <c:v>29639.254769230771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3CBC-C547-A2BB-7080F96DCF2E}"/>
            </c:ext>
          </c:extLst>
        </c:ser>
        <c:ser>
          <c:idx val="2"/>
          <c:order val="3"/>
          <c:tx>
            <c:strRef>
              <c:f>Amazon!$A$91</c:f>
              <c:strCache>
                <c:ptCount val="1"/>
                <c:pt idx="0">
                  <c:v> 800G </c:v>
                </c:pt>
              </c:strCache>
            </c:strRef>
          </c:tx>
          <c:marker>
            <c:symbol val="none"/>
          </c:marker>
          <c:cat>
            <c:numRef>
              <c:f>Amazon!$B$86:$L$86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Amazon!$B$91:$L$91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3CBC-C547-A2BB-7080F96DCF2E}"/>
            </c:ext>
          </c:extLst>
        </c:ser>
        <c:ser>
          <c:idx val="3"/>
          <c:order val="4"/>
          <c:tx>
            <c:strRef>
              <c:f>Amazon!$A$92</c:f>
              <c:strCache>
                <c:ptCount val="1"/>
                <c:pt idx="0">
                  <c:v> 1.6T </c:v>
                </c:pt>
              </c:strCache>
            </c:strRef>
          </c:tx>
          <c:marker>
            <c:symbol val="none"/>
          </c:marker>
          <c:cat>
            <c:numRef>
              <c:f>Amazon!$B$86:$L$86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Amazon!$B$92:$L$92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3CBC-C547-A2BB-7080F96DCF2E}"/>
            </c:ext>
          </c:extLst>
        </c:ser>
        <c:dLbls>
          <c:showLegendKey val="0"/>
          <c:showVal val="0"/>
          <c:showCatName val="0"/>
          <c:showSerName val="0"/>
          <c:showPercent val="0"/>
          <c:showBubbleSize val="0"/>
        </c:dLbls>
        <c:smooth val="0"/>
        <c:axId val="34600832"/>
        <c:axId val="34602368"/>
      </c:lineChart>
      <c:catAx>
        <c:axId val="34600832"/>
        <c:scaling>
          <c:orientation val="minMax"/>
        </c:scaling>
        <c:delete val="0"/>
        <c:axPos val="b"/>
        <c:numFmt formatCode="General" sourceLinked="1"/>
        <c:majorTickMark val="out"/>
        <c:minorTickMark val="none"/>
        <c:tickLblPos val="nextTo"/>
        <c:crossAx val="34602368"/>
        <c:crosses val="autoZero"/>
        <c:auto val="1"/>
        <c:lblAlgn val="ctr"/>
        <c:lblOffset val="100"/>
        <c:noMultiLvlLbl val="0"/>
      </c:catAx>
      <c:valAx>
        <c:axId val="34602368"/>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34600832"/>
        <c:crosses val="autoZero"/>
        <c:crossBetween val="between"/>
      </c:valAx>
    </c:plotArea>
    <c:legend>
      <c:legendPos val="r"/>
      <c:legendEntry>
        <c:idx val="1"/>
        <c:delete val="1"/>
      </c:legendEntry>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027694077632227"/>
          <c:y val="5.1400659920032496E-2"/>
          <c:w val="0.84089238647812892"/>
          <c:h val="0.8326195683872849"/>
        </c:manualLayout>
      </c:layout>
      <c:lineChart>
        <c:grouping val="standard"/>
        <c:varyColors val="0"/>
        <c:ser>
          <c:idx val="0"/>
          <c:order val="0"/>
          <c:tx>
            <c:strRef>
              <c:f>Amazon!$A$88</c:f>
              <c:strCache>
                <c:ptCount val="1"/>
                <c:pt idx="0">
                  <c:v> 100G </c:v>
                </c:pt>
              </c:strCache>
            </c:strRef>
          </c:tx>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Amazon!$M$88:$W$88</c:f>
              <c:numCache>
                <c:formatCode>_("$"* #,##0_);_("$"* \(#,##0\);_("$"* "-"??_);_(@_)</c:formatCode>
                <c:ptCount val="11"/>
                <c:pt idx="0">
                  <c:v>135.83671097071553</c:v>
                </c:pt>
                <c:pt idx="1">
                  <c:v>139.52835403860735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CC25-AE47-9611-966676AFEC87}"/>
            </c:ext>
          </c:extLst>
        </c:ser>
        <c:ser>
          <c:idx val="1"/>
          <c:order val="1"/>
          <c:tx>
            <c:strRef>
              <c:f>Amazon!$A$90</c:f>
              <c:strCache>
                <c:ptCount val="1"/>
                <c:pt idx="0">
                  <c:v> 400G </c:v>
                </c:pt>
              </c:strCache>
            </c:strRef>
          </c:tx>
          <c:spPr>
            <a:ln>
              <a:solidFill>
                <a:srgbClr val="C0504D"/>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Amazon!$M$90:$W$90</c:f>
              <c:numCache>
                <c:formatCode>_("$"* #,##0_);_("$"* \(#,##0\);_("$"* "-"??_);_(@_)</c:formatCode>
                <c:ptCount val="11"/>
                <c:pt idx="0">
                  <c:v>3</c:v>
                </c:pt>
                <c:pt idx="1">
                  <c:v>26.229305086048001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CC25-AE47-9611-966676AFEC87}"/>
            </c:ext>
          </c:extLst>
        </c:ser>
        <c:ser>
          <c:idx val="4"/>
          <c:order val="2"/>
          <c:tx>
            <c:strRef>
              <c:f>Amazon!$A$91</c:f>
              <c:strCache>
                <c:ptCount val="1"/>
                <c:pt idx="0">
                  <c:v> 800G </c:v>
                </c:pt>
              </c:strCache>
            </c:strRef>
          </c:tx>
          <c:spPr>
            <a:ln>
              <a:solidFill>
                <a:srgbClr val="9BBB59"/>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Amazon!$M$91:$W$91</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CC25-AE47-9611-966676AFEC87}"/>
            </c:ext>
          </c:extLst>
        </c:ser>
        <c:ser>
          <c:idx val="2"/>
          <c:order val="3"/>
          <c:tx>
            <c:strRef>
              <c:f>Amazon!$A$92</c:f>
              <c:strCache>
                <c:ptCount val="1"/>
                <c:pt idx="0">
                  <c:v> 1.6T </c:v>
                </c:pt>
              </c:strCache>
            </c:strRef>
          </c:tx>
          <c:spPr>
            <a:ln>
              <a:solidFill>
                <a:srgbClr val="8064A2"/>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Amazon!$M$92:$W$92</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CC25-AE47-9611-966676AFEC87}"/>
            </c:ext>
          </c:extLst>
        </c:ser>
        <c:dLbls>
          <c:showLegendKey val="0"/>
          <c:showVal val="0"/>
          <c:showCatName val="0"/>
          <c:showSerName val="0"/>
          <c:showPercent val="0"/>
          <c:showBubbleSize val="0"/>
        </c:dLbls>
        <c:smooth val="0"/>
        <c:axId val="34689024"/>
        <c:axId val="34690560"/>
      </c:lineChart>
      <c:catAx>
        <c:axId val="34689024"/>
        <c:scaling>
          <c:orientation val="minMax"/>
        </c:scaling>
        <c:delete val="0"/>
        <c:axPos val="b"/>
        <c:numFmt formatCode="General" sourceLinked="1"/>
        <c:majorTickMark val="out"/>
        <c:minorTickMark val="none"/>
        <c:tickLblPos val="nextTo"/>
        <c:crossAx val="34690560"/>
        <c:crosses val="autoZero"/>
        <c:auto val="1"/>
        <c:lblAlgn val="ctr"/>
        <c:lblOffset val="100"/>
        <c:noMultiLvlLbl val="0"/>
      </c:catAx>
      <c:valAx>
        <c:axId val="34690560"/>
        <c:scaling>
          <c:orientation val="minMax"/>
          <c:min val="0"/>
        </c:scaling>
        <c:delete val="0"/>
        <c:axPos val="l"/>
        <c:majorGridlines/>
        <c:title>
          <c:tx>
            <c:rich>
              <a:bodyPr rot="-5400000" vert="horz"/>
              <a:lstStyle/>
              <a:p>
                <a:pPr>
                  <a:defRPr/>
                </a:pPr>
                <a:r>
                  <a:rPr lang="en-US"/>
                  <a:t>Annual</a:t>
                </a:r>
                <a:r>
                  <a:rPr lang="en-US" baseline="0"/>
                  <a:t> sales ($ mn)</a:t>
                </a:r>
                <a:endParaRPr lang="en-US"/>
              </a:p>
            </c:rich>
          </c:tx>
          <c:layout>
            <c:manualLayout>
              <c:xMode val="edge"/>
              <c:yMode val="edge"/>
              <c:x val="1.8981822482074466E-2"/>
              <c:y val="0.24943310918781614"/>
            </c:manualLayout>
          </c:layout>
          <c:overlay val="0"/>
        </c:title>
        <c:numFmt formatCode="_(&quot;$&quot;* #,##0_);_(&quot;$&quot;* \(#,##0\);_(&quot;$&quot;* &quot;-&quot;??_);_(@_)" sourceLinked="1"/>
        <c:majorTickMark val="out"/>
        <c:minorTickMark val="none"/>
        <c:tickLblPos val="nextTo"/>
        <c:crossAx val="34689024"/>
        <c:crosses val="autoZero"/>
        <c:crossBetween val="between"/>
      </c:valAx>
    </c:plotArea>
    <c:legend>
      <c:legendPos val="r"/>
      <c:layout>
        <c:manualLayout>
          <c:xMode val="edge"/>
          <c:yMode val="edge"/>
          <c:x val="0.15618642949471739"/>
          <c:y val="6.3886847595638105E-2"/>
          <c:w val="0.15056001760542009"/>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384468085792144"/>
          <c:y val="5.4191665901204229E-2"/>
          <c:w val="0.8196580546781107"/>
          <c:h val="0.82353060997812"/>
        </c:manualLayout>
      </c:layout>
      <c:lineChart>
        <c:grouping val="standard"/>
        <c:varyColors val="0"/>
        <c:ser>
          <c:idx val="4"/>
          <c:order val="0"/>
          <c:tx>
            <c:strRef>
              <c:f>Amazon!$A$98</c:f>
              <c:strCache>
                <c:ptCount val="1"/>
                <c:pt idx="0">
                  <c:v> 400G </c:v>
                </c:pt>
              </c:strCache>
            </c:strRef>
          </c:tx>
          <c:spPr>
            <a:ln w="25400">
              <a:solidFill>
                <a:srgbClr val="C0504D"/>
              </a:solidFill>
            </a:ln>
          </c:spPr>
          <c:marker>
            <c:symbol val="none"/>
          </c:marker>
          <c:cat>
            <c:numRef>
              <c:f>Amazon!$B$95:$L$95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Amazon!$B$98:$L$98</c:f>
              <c:numCache>
                <c:formatCode>_(* #,##0_);_(* \(#,##0\);_(* "-"??_);_(@_)</c:formatCode>
                <c:ptCount val="11"/>
                <c:pt idx="0">
                  <c:v>5250</c:v>
                </c:pt>
                <c:pt idx="1">
                  <c:v>10549</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ser>
          <c:idx val="0"/>
          <c:order val="1"/>
          <c:tx>
            <c:strRef>
              <c:f>Amazon!$A$99</c:f>
              <c:strCache>
                <c:ptCount val="1"/>
                <c:pt idx="0">
                  <c:v> 600/800G </c:v>
                </c:pt>
              </c:strCache>
            </c:strRef>
          </c:tx>
          <c:spPr>
            <a:ln>
              <a:solidFill>
                <a:srgbClr val="9BBB59"/>
              </a:solidFill>
            </a:ln>
          </c:spPr>
          <c:marker>
            <c:symbol val="none"/>
          </c:marker>
          <c:cat>
            <c:numRef>
              <c:f>Amazon!$B$95:$L$95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Amazon!$B$99:$L$99</c:f>
              <c:numCache>
                <c:formatCode>_(* #,##0_);_(* \(#,##0\);_(* "-"??_);_(@_)</c:formatCode>
                <c:ptCount val="11"/>
                <c:pt idx="0">
                  <c:v>0</c:v>
                </c:pt>
                <c:pt idx="1">
                  <c:v>13.120000000000003</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41A-B749-9056-0F62072C7A08}"/>
            </c:ext>
          </c:extLst>
        </c:ser>
        <c:ser>
          <c:idx val="2"/>
          <c:order val="2"/>
          <c:tx>
            <c:strRef>
              <c:f>Amazon!$A$100</c:f>
              <c:strCache>
                <c:ptCount val="1"/>
                <c:pt idx="0">
                  <c:v> 1.2/1.6T </c:v>
                </c:pt>
              </c:strCache>
            </c:strRef>
          </c:tx>
          <c:spPr>
            <a:ln>
              <a:solidFill>
                <a:srgbClr val="8064A2"/>
              </a:solidFill>
            </a:ln>
          </c:spPr>
          <c:marker>
            <c:symbol val="none"/>
          </c:marker>
          <c:cat>
            <c:numRef>
              <c:f>Amazon!$B$95:$L$95</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Amazon!$B$100:$L$100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C41A-B749-9056-0F62072C7A08}"/>
            </c:ext>
          </c:extLst>
        </c:ser>
        <c:dLbls>
          <c:showLegendKey val="0"/>
          <c:showVal val="0"/>
          <c:showCatName val="0"/>
          <c:showSerName val="0"/>
          <c:showPercent val="0"/>
          <c:showBubbleSize val="0"/>
        </c:dLbls>
        <c:smooth val="0"/>
        <c:axId val="34709888"/>
        <c:axId val="34711424"/>
      </c:lineChart>
      <c:catAx>
        <c:axId val="34709888"/>
        <c:scaling>
          <c:orientation val="minMax"/>
        </c:scaling>
        <c:delete val="0"/>
        <c:axPos val="b"/>
        <c:numFmt formatCode="General" sourceLinked="1"/>
        <c:majorTickMark val="out"/>
        <c:minorTickMark val="none"/>
        <c:tickLblPos val="nextTo"/>
        <c:crossAx val="34711424"/>
        <c:crosses val="autoZero"/>
        <c:auto val="1"/>
        <c:lblAlgn val="ctr"/>
        <c:lblOffset val="100"/>
        <c:noMultiLvlLbl val="0"/>
      </c:catAx>
      <c:valAx>
        <c:axId val="34711424"/>
        <c:scaling>
          <c:orientation val="minMax"/>
          <c:min val="0"/>
        </c:scaling>
        <c:delete val="0"/>
        <c:axPos val="l"/>
        <c:majorGridlines/>
        <c:title>
          <c:tx>
            <c:rich>
              <a:bodyPr rot="-5400000" vert="horz"/>
              <a:lstStyle/>
              <a:p>
                <a:pPr>
                  <a:defRPr/>
                </a:pPr>
                <a:r>
                  <a:rPr lang="en-US"/>
                  <a:t>Annual units consumed</a:t>
                </a:r>
              </a:p>
            </c:rich>
          </c:tx>
          <c:overlay val="0"/>
        </c:title>
        <c:numFmt formatCode="_(* #,##0_);_(* \(#,##0\);_(* &quot;-&quot;??_);_(@_)" sourceLinked="1"/>
        <c:majorTickMark val="out"/>
        <c:minorTickMark val="none"/>
        <c:tickLblPos val="nextTo"/>
        <c:crossAx val="34709888"/>
        <c:crosses val="autoZero"/>
        <c:crossBetween val="between"/>
      </c:valAx>
    </c:plotArea>
    <c:legend>
      <c:legendPos val="r"/>
      <c:layout>
        <c:manualLayout>
          <c:xMode val="edge"/>
          <c:yMode val="edge"/>
          <c:x val="0.18058738735537272"/>
          <c:y val="7.3445239373745141E-2"/>
          <c:w val="0.18337770114868432"/>
          <c:h val="0.25010232062407517"/>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90226624761364"/>
          <c:y val="6.3943671056662973E-2"/>
          <c:w val="0.83725465924769704"/>
          <c:h val="0.82353060997812"/>
        </c:manualLayout>
      </c:layout>
      <c:lineChart>
        <c:grouping val="standard"/>
        <c:varyColors val="0"/>
        <c:ser>
          <c:idx val="4"/>
          <c:order val="0"/>
          <c:tx>
            <c:strRef>
              <c:f>Amazon!$A$98</c:f>
              <c:strCache>
                <c:ptCount val="1"/>
                <c:pt idx="0">
                  <c:v> 400G </c:v>
                </c:pt>
              </c:strCache>
            </c:strRef>
          </c:tx>
          <c:spPr>
            <a:ln w="25400">
              <a:solidFill>
                <a:srgbClr val="C0504D"/>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Amazon!$M$98:$W$98</c:f>
              <c:numCache>
                <c:formatCode>_("$"* #,##0_);_("$"* \(#,##0\);_("$"* "-"??_);_(@_)</c:formatCode>
                <c:ptCount val="11"/>
                <c:pt idx="0">
                  <c:v>0</c:v>
                </c:pt>
                <c:pt idx="1">
                  <c:v>92.011272727272726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ser>
          <c:idx val="0"/>
          <c:order val="1"/>
          <c:tx>
            <c:strRef>
              <c:f>Amazon!$A$99</c:f>
              <c:strCache>
                <c:ptCount val="1"/>
                <c:pt idx="0">
                  <c:v> 600/800G </c:v>
                </c:pt>
              </c:strCache>
            </c:strRef>
          </c:tx>
          <c:spPr>
            <a:ln>
              <a:solidFill>
                <a:srgbClr val="9BBB59"/>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Amazon!$M$99:$W$99</c:f>
              <c:numCache>
                <c:formatCode>_("$"* #,##0_);_("$"* \(#,##0\);_("$"* "-"??_);_(@_)</c:formatCode>
                <c:ptCount val="11"/>
                <c:pt idx="0">
                  <c:v>0</c:v>
                </c:pt>
                <c:pt idx="1">
                  <c:v>0.13120000000000004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5E-E54C-90CD-71993B8EADF3}"/>
            </c:ext>
          </c:extLst>
        </c:ser>
        <c:ser>
          <c:idx val="2"/>
          <c:order val="2"/>
          <c:tx>
            <c:strRef>
              <c:f>Amazon!$A$100</c:f>
              <c:strCache>
                <c:ptCount val="1"/>
                <c:pt idx="0">
                  <c:v> 1.2/1.6T </c:v>
                </c:pt>
              </c:strCache>
            </c:strRef>
          </c:tx>
          <c:spPr>
            <a:ln>
              <a:solidFill>
                <a:srgbClr val="8064A2"/>
              </a:solidFill>
            </a:ln>
          </c:spPr>
          <c:marker>
            <c:symbol val="none"/>
          </c:marker>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Amazon!$M$100:$W$100</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05E-E54C-90CD-71993B8EADF3}"/>
            </c:ext>
          </c:extLst>
        </c:ser>
        <c:dLbls>
          <c:showLegendKey val="0"/>
          <c:showVal val="0"/>
          <c:showCatName val="0"/>
          <c:showSerName val="0"/>
          <c:showPercent val="0"/>
          <c:showBubbleSize val="0"/>
        </c:dLbls>
        <c:smooth val="0"/>
        <c:axId val="34730752"/>
        <c:axId val="34732288"/>
      </c:lineChart>
      <c:catAx>
        <c:axId val="34730752"/>
        <c:scaling>
          <c:orientation val="minMax"/>
        </c:scaling>
        <c:delete val="0"/>
        <c:axPos val="b"/>
        <c:numFmt formatCode="General" sourceLinked="1"/>
        <c:majorTickMark val="out"/>
        <c:minorTickMark val="none"/>
        <c:tickLblPos val="nextTo"/>
        <c:crossAx val="34732288"/>
        <c:crosses val="autoZero"/>
        <c:auto val="1"/>
        <c:lblAlgn val="ctr"/>
        <c:lblOffset val="100"/>
        <c:noMultiLvlLbl val="0"/>
      </c:catAx>
      <c:valAx>
        <c:axId val="34732288"/>
        <c:scaling>
          <c:orientation val="minMax"/>
          <c:min val="0"/>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34730752"/>
        <c:crosses val="autoZero"/>
        <c:crossBetween val="between"/>
      </c:valAx>
    </c:plotArea>
    <c:legend>
      <c:legendPos val="r"/>
      <c:layout>
        <c:manualLayout>
          <c:xMode val="edge"/>
          <c:yMode val="edge"/>
          <c:x val="0.14708741039521209"/>
          <c:y val="8.8073293050106777E-2"/>
          <c:w val="0.17096656891737089"/>
          <c:h val="0.2598544551513155"/>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Amazon!$A$107</c:f>
          <c:strCache>
            <c:ptCount val="1"/>
            <c:pt idx="0">
              <c:v>Ethernet transceivers % of total capex: Amazon</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spPr>
            <a:solidFill>
              <a:srgbClr val="0070C0"/>
            </a:solidFill>
          </c:spPr>
          <c:invertIfNegative val="0"/>
          <c:cat>
            <c:numRef>
              <c:f>Amazon!$M$104:$W$104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Amazon!$M$107:$W$107</c:f>
              <c:numCache>
                <c:formatCode>0.0%</c:formatCode>
                <c:ptCount val="11"/>
                <c:pt idx="0">
                  <c:v>1.1227639431595564E-2</c:v>
                </c:pt>
                <c:pt idx="1">
                  <c:v>1.0312682159908359E-2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164D-A240-9222-F1228379CEE9}"/>
            </c:ext>
          </c:extLst>
        </c:ser>
        <c:dLbls>
          <c:showLegendKey val="0"/>
          <c:showVal val="0"/>
          <c:showCatName val="0"/>
          <c:showSerName val="0"/>
          <c:showPercent val="0"/>
          <c:showBubbleSize val="0"/>
        </c:dLbls>
        <c:gapWidth val="150"/>
        <c:overlap val="100"/>
        <c:axId val="34749056"/>
        <c:axId val="34754944"/>
      </c:barChart>
      <c:catAx>
        <c:axId val="34749056"/>
        <c:scaling>
          <c:orientation val="minMax"/>
        </c:scaling>
        <c:delete val="0"/>
        <c:axPos val="b"/>
        <c:numFmt formatCode="General" sourceLinked="1"/>
        <c:majorTickMark val="out"/>
        <c:minorTickMark val="none"/>
        <c:tickLblPos val="nextTo"/>
        <c:crossAx val="34754944"/>
        <c:crosses val="autoZero"/>
        <c:auto val="1"/>
        <c:lblAlgn val="ctr"/>
        <c:lblOffset val="100"/>
        <c:noMultiLvlLbl val="0"/>
      </c:catAx>
      <c:valAx>
        <c:axId val="34754944"/>
        <c:scaling>
          <c:orientation val="minMax"/>
        </c:scaling>
        <c:delete val="0"/>
        <c:axPos val="l"/>
        <c:majorGridlines/>
        <c:numFmt formatCode="0.0%" sourceLinked="1"/>
        <c:majorTickMark val="out"/>
        <c:minorTickMark val="none"/>
        <c:tickLblPos val="nextTo"/>
        <c:crossAx val="3474905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'Figures in the Report'!$H$203</c:f>
              <c:strCache>
                <c:ptCount val="1"/>
              </c:strCache>
            </c:strRef>
          </c:tx>
          <c:cat>
            <c:numRef>
              <c:f>'Figures in the Report'!$J$165:$AE$165</c:f>
              <c:numCache>
                <c:formatCode>General</c:formatCod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numCache>
            </c:numRef>
          </c:cat>
          <c:val>
            <c:numRef>
              <c:f>'Figures in the Report'!$J$168:$AE$168</c:f>
              <c:numCache>
                <c:formatCode>0%</c:formatCode>
                <c:ptCount val="22"/>
                <c:pt idx="0">
                  <c:v>0.40606751301296207</c:v>
                </c:pt>
                <c:pt idx="1">
                  <c:v>0.50744472069135105</c:v>
                </c:pt>
                <c:pt idx="2">
                  <c:v>0.24842156785301661</c:v>
                </c:pt>
                <c:pt idx="3">
                  <c:v>0.22001159553324645</c:v>
                </c:pt>
                <c:pt idx="4">
                  <c:v>0.31682528349686678</c:v>
                </c:pt>
                <c:pt idx="5">
                  <c:v>0.38660684502076625</c:v>
                </c:pt>
                <c:pt idx="6">
                  <c:v>0.41913726843312915</c:v>
                </c:pt>
                <c:pt idx="7">
                  <c:v>0.42631212042630495</c:v>
                </c:pt>
                <c:pt idx="8">
                  <c:v>0.44820797319536432</c:v>
                </c:pt>
                <c:pt idx="9">
                  <c:v>0.54001448252248263</c:v>
                </c:pt>
                <c:pt idx="10">
                  <c:v>0.43822789139532881</c:v>
                </c:pt>
                <c:pt idx="11">
                  <c:v>0.39453901742709951</c:v>
                </c:pt>
                <c:pt idx="12">
                  <c:v>0.53714589683157077</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0-8004-974A-A5C6-4835F894775D}"/>
            </c:ext>
          </c:extLst>
        </c:ser>
        <c:ser>
          <c:idx val="1"/>
          <c:order val="1"/>
          <c:tx>
            <c:strRef>
              <c:f>'Figures in the Report'!$H$165</c:f>
              <c:strCache>
                <c:ptCount val="1"/>
              </c:strCache>
            </c:strRef>
          </c:tx>
          <c:spPr>
            <a:ln>
              <a:solidFill>
                <a:srgbClr val="C00000"/>
              </a:solidFill>
            </a:ln>
          </c:spPr>
          <c:marker>
            <c:symbol val="square"/>
            <c:size val="5"/>
            <c:spPr>
              <a:solidFill>
                <a:srgbClr val="C00000"/>
              </a:solidFill>
            </c:spPr>
          </c:marker>
          <c:cat>
            <c:numRef>
              <c:f>'Figures in the Report'!$J$165:$AE$165</c:f>
              <c:numCache>
                <c:formatCode>General</c:formatCode>
                <c:ptCount val="22"/>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2026</c:v>
                </c:pt>
                <c:pt idx="20">
                  <c:v>2027</c:v>
                </c:pt>
                <c:pt idx="21">
                  <c:v>2028</c:v>
                </c:pt>
              </c:numCache>
            </c:numRef>
          </c:cat>
          <c:val>
            <c:numRef>
              <c:f>'Figures in the Report'!$J$166:$AE$166</c:f>
              <c:numCache>
                <c:formatCode>0%</c:formatCode>
                <c:ptCount val="22"/>
                <c:pt idx="0">
                  <c:v>0.45098039215686292</c:v>
                </c:pt>
                <c:pt idx="1">
                  <c:v>0.41891891891891886</c:v>
                </c:pt>
                <c:pt idx="2">
                  <c:v>0.39999999999999991</c:v>
                </c:pt>
                <c:pt idx="3">
                  <c:v>0.38775510204081631</c:v>
                </c:pt>
                <c:pt idx="4">
                  <c:v>0.38</c:v>
                </c:pt>
                <c:pt idx="5">
                  <c:v>0.37</c:v>
                </c:pt>
                <c:pt idx="6">
                  <c:v>0.36</c:v>
                </c:pt>
                <c:pt idx="7">
                  <c:v>0.35</c:v>
                </c:pt>
                <c:pt idx="8">
                  <c:v>0.33</c:v>
                </c:pt>
                <c:pt idx="9">
                  <c:v>0.31</c:v>
                </c:pt>
                <c:pt idx="10">
                  <c:v>0.3</c:v>
                </c:pt>
                <c:pt idx="11">
                  <c:v>0.28999999999999998</c:v>
                </c:pt>
                <c:pt idx="12">
                  <c:v>0.28999999999999998</c:v>
                </c:pt>
                <c:pt idx="13">
                  <c:v>0.5</c:v>
                </c:pt>
                <c:pt idx="14">
                  <c:v>0.35</c:v>
                </c:pt>
                <c:pt idx="15">
                  <c:v>0.3</c:v>
                </c:pt>
                <c:pt idx="16">
                  <c:v>0.28999999999999998</c:v>
                </c:pt>
                <c:pt idx="17">
                  <c:v>0.28000000000000003</c:v>
                </c:pt>
                <c:pt idx="18">
                  <c:v>0.27</c:v>
                </c:pt>
                <c:pt idx="19">
                  <c:v>0.25800000000000001</c:v>
                </c:pt>
                <c:pt idx="20">
                  <c:v>0.246</c:v>
                </c:pt>
                <c:pt idx="21">
                  <c:v>0.23399999999999999</c:v>
                </c:pt>
              </c:numCache>
            </c:numRef>
          </c:val>
          <c:smooth val="1"/>
          <c:extLst>
            <c:ext xmlns:c16="http://schemas.microsoft.com/office/drawing/2014/chart" uri="{C3380CC4-5D6E-409C-BE32-E72D297353CC}">
              <c16:uniqueId val="{00000001-8004-974A-A5C6-4835F894775D}"/>
            </c:ext>
          </c:extLst>
        </c:ser>
        <c:dLbls>
          <c:showLegendKey val="0"/>
          <c:showVal val="0"/>
          <c:showCatName val="0"/>
          <c:showSerName val="0"/>
          <c:showPercent val="0"/>
          <c:showBubbleSize val="0"/>
        </c:dLbls>
        <c:marker val="1"/>
        <c:smooth val="0"/>
        <c:axId val="65309312"/>
        <c:axId val="72877952"/>
      </c:lineChart>
      <c:catAx>
        <c:axId val="65309312"/>
        <c:scaling>
          <c:orientation val="minMax"/>
        </c:scaling>
        <c:delete val="0"/>
        <c:axPos val="b"/>
        <c:numFmt formatCode="General" sourceLinked="1"/>
        <c:majorTickMark val="out"/>
        <c:minorTickMark val="none"/>
        <c:tickLblPos val="nextTo"/>
        <c:crossAx val="72877952"/>
        <c:crosses val="autoZero"/>
        <c:auto val="1"/>
        <c:lblAlgn val="ctr"/>
        <c:lblOffset val="100"/>
        <c:noMultiLvlLbl val="0"/>
      </c:catAx>
      <c:valAx>
        <c:axId val="72877952"/>
        <c:scaling>
          <c:orientation val="minMax"/>
        </c:scaling>
        <c:delete val="0"/>
        <c:axPos val="l"/>
        <c:majorGridlines/>
        <c:numFmt formatCode="0%" sourceLinked="1"/>
        <c:majorTickMark val="out"/>
        <c:minorTickMark val="none"/>
        <c:tickLblPos val="nextTo"/>
        <c:crossAx val="65309312"/>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Meta!$A$103</c:f>
          <c:strCache>
            <c:ptCount val="1"/>
            <c:pt idx="0">
              <c:v>Ethernet&amp;DWDM transceivers % of total capex: Meta</c:v>
            </c:pt>
          </c:strCache>
        </c:strRef>
      </c:tx>
      <c:layout>
        <c:manualLayout>
          <c:xMode val="edge"/>
          <c:yMode val="edge"/>
          <c:x val="0.15879727880362562"/>
          <c:y val="9.0395480225988704E-3"/>
        </c:manualLayout>
      </c:layout>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v>Ethernet</c:v>
          </c:tx>
          <c:spPr>
            <a:solidFill>
              <a:srgbClr val="0070C0"/>
            </a:solidFill>
          </c:spPr>
          <c:invertIfNegative val="0"/>
          <c:cat>
            <c:numRef>
              <c:f>Amazon!$M$104:$W$104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Amazon!$M$107:$W$107</c:f>
              <c:numCache>
                <c:formatCode>0.0%</c:formatCode>
                <c:ptCount val="11"/>
                <c:pt idx="0">
                  <c:v>1.1227639431595564E-2</c:v>
                </c:pt>
                <c:pt idx="1">
                  <c:v>1.0312682159908359E-2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Amazon!$M$104:$W$104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Amazon!$M$108:$W$108</c:f>
              <c:numCache>
                <c:formatCode>0.0%</c:formatCode>
                <c:ptCount val="11"/>
                <c:pt idx="0">
                  <c:v>1.48248452206057E-2</c:v>
                </c:pt>
                <c:pt idx="1">
                  <c:v>1.4290892697049837E-2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554-624D-AA68-29E634EA4CF2}"/>
            </c:ext>
          </c:extLst>
        </c:ser>
        <c:dLbls>
          <c:showLegendKey val="0"/>
          <c:showVal val="0"/>
          <c:showCatName val="0"/>
          <c:showSerName val="0"/>
          <c:showPercent val="0"/>
          <c:showBubbleSize val="0"/>
        </c:dLbls>
        <c:gapWidth val="150"/>
        <c:overlap val="100"/>
        <c:axId val="34772480"/>
        <c:axId val="34774016"/>
      </c:barChart>
      <c:catAx>
        <c:axId val="34772480"/>
        <c:scaling>
          <c:orientation val="minMax"/>
        </c:scaling>
        <c:delete val="0"/>
        <c:axPos val="b"/>
        <c:numFmt formatCode="General" sourceLinked="1"/>
        <c:majorTickMark val="out"/>
        <c:minorTickMark val="none"/>
        <c:tickLblPos val="nextTo"/>
        <c:crossAx val="34774016"/>
        <c:crosses val="autoZero"/>
        <c:auto val="1"/>
        <c:lblAlgn val="ctr"/>
        <c:lblOffset val="100"/>
        <c:noMultiLvlLbl val="0"/>
      </c:catAx>
      <c:valAx>
        <c:axId val="34774016"/>
        <c:scaling>
          <c:orientation val="minMax"/>
        </c:scaling>
        <c:delete val="0"/>
        <c:axPos val="l"/>
        <c:majorGridlines/>
        <c:numFmt formatCode="0.0%" sourceLinked="1"/>
        <c:majorTickMark val="out"/>
        <c:minorTickMark val="none"/>
        <c:tickLblPos val="nextTo"/>
        <c:crossAx val="34772480"/>
        <c:crosses val="autoZero"/>
        <c:crossBetween val="between"/>
      </c:valAx>
    </c:plotArea>
    <c:legend>
      <c:legendPos val="t"/>
      <c:layout>
        <c:manualLayout>
          <c:xMode val="edge"/>
          <c:yMode val="edge"/>
          <c:x val="0.39585255558420435"/>
          <c:y val="0.11299435028248588"/>
          <c:w val="0.26371050596005474"/>
          <c:h val="8.1730681969838515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98669984904737"/>
          <c:y val="5.3512161412456336E-2"/>
          <c:w val="0.83149169412118262"/>
          <c:h val="0.85100374953130864"/>
        </c:manualLayout>
      </c:layout>
      <c:barChart>
        <c:barDir val="col"/>
        <c:grouping val="stacked"/>
        <c:varyColors val="0"/>
        <c:ser>
          <c:idx val="2"/>
          <c:order val="0"/>
          <c:tx>
            <c:v>Ethernet</c:v>
          </c:tx>
          <c:spPr>
            <a:solidFill>
              <a:srgbClr val="0070C0"/>
            </a:solidFill>
            <a:ln>
              <a:solidFill>
                <a:schemeClr val="accent1"/>
              </a:solidFill>
            </a:ln>
          </c:spPr>
          <c:invertIfNegative val="0"/>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Amazon!$M$101:$W$101</c:f>
              <c:numCache>
                <c:formatCode>_("$"* #,##0_);_("$"* \(#,##0\);_("$"* "-"??_);_(@_)</c:formatCode>
                <c:ptCount val="11"/>
                <c:pt idx="0">
                  <c:v>199.03837193185214</c:v>
                </c:pt>
                <c:pt idx="1">
                  <c:v>240.9587417649573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E29-BF4F-8071-E75492A04F2C}"/>
            </c:ext>
          </c:extLst>
        </c:ser>
        <c:ser>
          <c:idx val="0"/>
          <c:order val="1"/>
          <c:tx>
            <c:v>DWDM</c:v>
          </c:tx>
          <c:spPr>
            <a:solidFill>
              <a:srgbClr val="C00000"/>
            </a:solidFill>
            <a:ln>
              <a:solidFill>
                <a:srgbClr val="C00000"/>
              </a:solidFill>
            </a:ln>
          </c:spPr>
          <c:invertIfNegative val="0"/>
          <c:cat>
            <c:numRef>
              <c:f>Amazon!$M$86:$W$86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Amazon!$M$93:$W$93</c:f>
              <c:numCache>
                <c:formatCode>_("$"* #,##0_);_("$"* \(#,##0\);_("$"* "-"??_);_(@_)</c:formatCode>
                <c:ptCount val="11"/>
                <c:pt idx="0">
                  <c:v>150.74228700860203</c:v>
                </c:pt>
                <c:pt idx="1">
                  <c:v>173.88213389821485</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E29-BF4F-8071-E75492A04F2C}"/>
            </c:ext>
          </c:extLst>
        </c:ser>
        <c:dLbls>
          <c:showLegendKey val="0"/>
          <c:showVal val="0"/>
          <c:showCatName val="0"/>
          <c:showSerName val="0"/>
          <c:showPercent val="0"/>
          <c:showBubbleSize val="0"/>
        </c:dLbls>
        <c:gapWidth val="150"/>
        <c:overlap val="100"/>
        <c:axId val="34784000"/>
        <c:axId val="34785536"/>
      </c:barChart>
      <c:catAx>
        <c:axId val="34784000"/>
        <c:scaling>
          <c:orientation val="minMax"/>
        </c:scaling>
        <c:delete val="0"/>
        <c:axPos val="b"/>
        <c:numFmt formatCode="General" sourceLinked="1"/>
        <c:majorTickMark val="out"/>
        <c:minorTickMark val="none"/>
        <c:tickLblPos val="nextTo"/>
        <c:crossAx val="34785536"/>
        <c:crosses val="autoZero"/>
        <c:auto val="1"/>
        <c:lblAlgn val="ctr"/>
        <c:lblOffset val="100"/>
        <c:noMultiLvlLbl val="0"/>
      </c:catAx>
      <c:valAx>
        <c:axId val="34785536"/>
        <c:scaling>
          <c:orientation val="minMax"/>
        </c:scaling>
        <c:delete val="0"/>
        <c:axPos val="l"/>
        <c:majorGridlines/>
        <c:title>
          <c:tx>
            <c:rich>
              <a:bodyPr/>
              <a:lstStyle/>
              <a:p>
                <a:pPr>
                  <a:defRPr/>
                </a:pPr>
                <a:r>
                  <a:rPr lang="en-US"/>
                  <a:t>Sales ($</a:t>
                </a:r>
                <a:r>
                  <a:rPr lang="en-US" baseline="0"/>
                  <a:t> mn</a:t>
                </a:r>
                <a:r>
                  <a:rPr lang="en-US"/>
                  <a:t>)</a:t>
                </a:r>
              </a:p>
            </c:rich>
          </c:tx>
          <c:layout>
            <c:manualLayout>
              <c:xMode val="edge"/>
              <c:yMode val="edge"/>
              <c:x val="8.4266137683946304E-3"/>
              <c:y val="0.40451169907079149"/>
            </c:manualLayout>
          </c:layout>
          <c:overlay val="0"/>
        </c:title>
        <c:numFmt formatCode="_(&quot;$&quot;* #,##0_);_(&quot;$&quot;* \(#,##0\);_(&quot;$&quot;* &quot;-&quot;??_);_(@_)" sourceLinked="1"/>
        <c:majorTickMark val="out"/>
        <c:minorTickMark val="none"/>
        <c:tickLblPos val="nextTo"/>
        <c:crossAx val="34784000"/>
        <c:crosses val="autoZero"/>
        <c:crossBetween val="between"/>
      </c:valAx>
    </c:plotArea>
    <c:legend>
      <c:legendPos val="t"/>
      <c:layout>
        <c:manualLayout>
          <c:xMode val="edge"/>
          <c:yMode val="edge"/>
          <c:x val="0.36368924964071009"/>
          <c:y val="5.7528081501660645E-2"/>
          <c:w val="0.29784891605772928"/>
          <c:h val="0.13349777960219428"/>
        </c:manualLayout>
      </c:layout>
      <c:overlay val="0"/>
      <c:spPr>
        <a:solidFill>
          <a:schemeClr val="bg1"/>
        </a:solidFill>
        <a:ln>
          <a:solidFill>
            <a:schemeClr val="bg1">
              <a:lumMod val="50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3277312825106"/>
          <c:y val="6.4450357508523973E-2"/>
          <c:w val="0.82108005046409882"/>
          <c:h val="0.81956978478953069"/>
        </c:manualLayout>
      </c:layout>
      <c:lineChart>
        <c:grouping val="standard"/>
        <c:varyColors val="0"/>
        <c:ser>
          <c:idx val="0"/>
          <c:order val="0"/>
          <c:tx>
            <c:strRef>
              <c:f>Microsoft!$A$99</c:f>
              <c:strCache>
                <c:ptCount val="1"/>
                <c:pt idx="0">
                  <c:v>Ethernet</c:v>
                </c:pt>
              </c:strCache>
            </c:strRef>
          </c:tx>
          <c:cat>
            <c:numRef>
              <c:f>Microsoft!$C$99:$L$99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Microsoft!$C$102:$L$102</c:f>
              <c:numCache>
                <c:formatCode>0%</c:formatCode>
                <c:ptCount val="10"/>
                <c:pt idx="0">
                  <c:v>0.47393382556087826</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Microsoft!$A$104</c:f>
              <c:strCache>
                <c:ptCount val="1"/>
                <c:pt idx="0">
                  <c:v>DWDM</c:v>
                </c:pt>
              </c:strCache>
            </c:strRef>
          </c:tx>
          <c:marker>
            <c:symbol val="square"/>
            <c:size val="5"/>
          </c:marker>
          <c:cat>
            <c:numRef>
              <c:f>Microsoft!$C$99:$L$99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Microsoft!$C$107:$L$107</c:f>
              <c:numCache>
                <c:formatCode>0%</c:formatCode>
                <c:ptCount val="10"/>
                <c:pt idx="0">
                  <c:v>0.81489963272087507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34894592"/>
        <c:axId val="34896128"/>
      </c:lineChart>
      <c:catAx>
        <c:axId val="34894592"/>
        <c:scaling>
          <c:orientation val="minMax"/>
        </c:scaling>
        <c:delete val="0"/>
        <c:axPos val="b"/>
        <c:numFmt formatCode="General" sourceLinked="1"/>
        <c:majorTickMark val="out"/>
        <c:minorTickMark val="none"/>
        <c:tickLblPos val="nextTo"/>
        <c:crossAx val="34896128"/>
        <c:crosses val="autoZero"/>
        <c:auto val="1"/>
        <c:lblAlgn val="ctr"/>
        <c:lblOffset val="100"/>
        <c:noMultiLvlLbl val="0"/>
      </c:catAx>
      <c:valAx>
        <c:axId val="34896128"/>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7.0994760306609785E-3"/>
              <c:y val="0.2221129121994497"/>
            </c:manualLayout>
          </c:layout>
          <c:overlay val="0"/>
        </c:title>
        <c:numFmt formatCode="0%" sourceLinked="1"/>
        <c:majorTickMark val="out"/>
        <c:minorTickMark val="none"/>
        <c:tickLblPos val="nextTo"/>
        <c:crossAx val="34894592"/>
        <c:crosses val="autoZero"/>
        <c:crossBetween val="between"/>
      </c:valAx>
    </c:plotArea>
    <c:legend>
      <c:legendPos val="t"/>
      <c:layout>
        <c:manualLayout>
          <c:xMode val="edge"/>
          <c:yMode val="edge"/>
          <c:x val="0.21261081503522256"/>
          <c:y val="0.10688849106531773"/>
          <c:w val="0.31605572184408848"/>
          <c:h val="0.13007300058448962"/>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54368236697232"/>
          <c:y val="5.1400554097404488E-2"/>
          <c:w val="0.8081119929476942"/>
          <c:h val="0.8326195683872849"/>
        </c:manualLayout>
      </c:layout>
      <c:lineChart>
        <c:grouping val="standard"/>
        <c:varyColors val="0"/>
        <c:ser>
          <c:idx val="0"/>
          <c:order val="0"/>
          <c:tx>
            <c:strRef>
              <c:f>Microsoft!$A$74</c:f>
              <c:strCache>
                <c:ptCount val="1"/>
                <c:pt idx="0">
                  <c:v> 100G </c:v>
                </c:pt>
              </c:strCache>
            </c:strRef>
          </c:tx>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Microsoft!$B$74:$L$74</c:f>
              <c:numCache>
                <c:formatCode>_(* #,##0_);_(* \(#,##0\);_(* "-"??_);_(@_)</c:formatCode>
                <c:ptCount val="11"/>
                <c:pt idx="0">
                  <c:v>48859.544999999984</c:v>
                </c:pt>
                <c:pt idx="1">
                  <c:v>190738.99999999997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459-8541-AF72-940ADBB30C01}"/>
            </c:ext>
          </c:extLst>
        </c:ser>
        <c:ser>
          <c:idx val="1"/>
          <c:order val="1"/>
          <c:tx>
            <c:strRef>
              <c:f>Microsoft!$A$76</c:f>
              <c:strCache>
                <c:ptCount val="1"/>
                <c:pt idx="0">
                  <c:v> 400G </c:v>
                </c:pt>
              </c:strCache>
            </c:strRef>
          </c:tx>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Microsoft!$B$76:$L$76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459-8541-AF72-940ADBB30C01}"/>
            </c:ext>
          </c:extLst>
        </c:ser>
        <c:ser>
          <c:idx val="2"/>
          <c:order val="2"/>
          <c:tx>
            <c:strRef>
              <c:f>Microsoft!$A$77</c:f>
              <c:strCache>
                <c:ptCount val="1"/>
                <c:pt idx="0">
                  <c:v> 800G </c:v>
                </c:pt>
              </c:strCache>
            </c:strRef>
          </c:tx>
          <c:marker>
            <c:symbol val="none"/>
          </c:marker>
          <c:val>
            <c:numRef>
              <c:f>Microsoft!$B$77:$L$77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A459-8541-AF72-940ADBB30C01}"/>
            </c:ext>
          </c:extLst>
        </c:ser>
        <c:ser>
          <c:idx val="4"/>
          <c:order val="3"/>
          <c:tx>
            <c:strRef>
              <c:f>Microsoft!$A$78</c:f>
              <c:strCache>
                <c:ptCount val="1"/>
                <c:pt idx="0">
                  <c:v> 1.6T </c:v>
                </c:pt>
              </c:strCache>
            </c:strRef>
          </c:tx>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Microsoft!$B$78:$L$78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459-8541-AF72-940ADBB30C01}"/>
            </c:ext>
          </c:extLst>
        </c:ser>
        <c:dLbls>
          <c:showLegendKey val="0"/>
          <c:showVal val="0"/>
          <c:showCatName val="0"/>
          <c:showSerName val="0"/>
          <c:showPercent val="0"/>
          <c:showBubbleSize val="0"/>
        </c:dLbls>
        <c:smooth val="0"/>
        <c:axId val="34924800"/>
        <c:axId val="35065856"/>
      </c:lineChart>
      <c:catAx>
        <c:axId val="34924800"/>
        <c:scaling>
          <c:orientation val="minMax"/>
        </c:scaling>
        <c:delete val="0"/>
        <c:axPos val="b"/>
        <c:numFmt formatCode="General" sourceLinked="1"/>
        <c:majorTickMark val="out"/>
        <c:minorTickMark val="none"/>
        <c:tickLblPos val="nextTo"/>
        <c:crossAx val="35065856"/>
        <c:crosses val="autoZero"/>
        <c:auto val="1"/>
        <c:lblAlgn val="ctr"/>
        <c:lblOffset val="100"/>
        <c:noMultiLvlLbl val="0"/>
      </c:catAx>
      <c:valAx>
        <c:axId val="35065856"/>
        <c:scaling>
          <c:orientation val="minMax"/>
          <c:min val="0"/>
        </c:scaling>
        <c:delete val="0"/>
        <c:axPos val="l"/>
        <c:majorGridlines/>
        <c:title>
          <c:tx>
            <c:rich>
              <a:bodyPr rot="-5400000" vert="horz"/>
              <a:lstStyle/>
              <a:p>
                <a:pPr>
                  <a:defRPr/>
                </a:pPr>
                <a:r>
                  <a:rPr lang="en-US"/>
                  <a:t>Annual units consumed</a:t>
                </a:r>
              </a:p>
              <a:p>
                <a:pPr>
                  <a:defRPr/>
                </a:pPr>
                <a:endParaRPr lang="en-US"/>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34924800"/>
        <c:crosses val="autoZero"/>
        <c:crossBetween val="between"/>
        <c:majorUnit val="500000"/>
      </c:valAx>
    </c:plotArea>
    <c:legend>
      <c:legendPos val="r"/>
      <c:layout>
        <c:manualLayout>
          <c:xMode val="edge"/>
          <c:yMode val="edge"/>
          <c:x val="0.21083954431609245"/>
          <c:y val="0.12491959631806587"/>
          <c:w val="0.13692645975490497"/>
          <c:h val="0.34484697756046284"/>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60834384919504"/>
          <c:y val="3.1876546218109522E-2"/>
          <c:w val="0.8432890568096324"/>
          <c:h val="0.8326195683872849"/>
        </c:manualLayout>
      </c:layout>
      <c:lineChart>
        <c:grouping val="standard"/>
        <c:varyColors val="0"/>
        <c:ser>
          <c:idx val="0"/>
          <c:order val="0"/>
          <c:tx>
            <c:strRef>
              <c:f>Microsoft!$A$74</c:f>
              <c:strCache>
                <c:ptCount val="1"/>
                <c:pt idx="0">
                  <c:v> 100G </c:v>
                </c:pt>
              </c:strCache>
            </c:strRef>
          </c:tx>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Microsoft!$M$74:$W$74</c:f>
              <c:numCache>
                <c:formatCode>_("$"* #,##0_);_("$"* \(#,##0\);_("$"* "-"??_);_(@_)</c:formatCode>
                <c:ptCount val="11"/>
                <c:pt idx="0">
                  <c:v>9.1865881599999959</c:v>
                </c:pt>
                <c:pt idx="1">
                  <c:v>30.519245742156603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4A4D-9C42-8F3D-DC7EF82889DC}"/>
            </c:ext>
          </c:extLst>
        </c:ser>
        <c:ser>
          <c:idx val="1"/>
          <c:order val="1"/>
          <c:tx>
            <c:strRef>
              <c:f>Microsoft!$A$76</c:f>
              <c:strCache>
                <c:ptCount val="1"/>
                <c:pt idx="0">
                  <c:v> 400G </c:v>
                </c:pt>
              </c:strCache>
            </c:strRef>
          </c:tx>
          <c:spPr>
            <a:ln>
              <a:solidFill>
                <a:srgbClr val="C0504D"/>
              </a:solidFill>
            </a:ln>
          </c:spPr>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Microsoft!$M$76:$W$76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4A4D-9C42-8F3D-DC7EF82889DC}"/>
            </c:ext>
          </c:extLst>
        </c:ser>
        <c:ser>
          <c:idx val="4"/>
          <c:order val="2"/>
          <c:tx>
            <c:strRef>
              <c:f>Microsoft!$A$78</c:f>
              <c:strCache>
                <c:ptCount val="1"/>
                <c:pt idx="0">
                  <c:v> 1.6T </c:v>
                </c:pt>
              </c:strCache>
            </c:strRef>
          </c:tx>
          <c:spPr>
            <a:ln>
              <a:solidFill>
                <a:srgbClr val="8064A2"/>
              </a:solidFill>
            </a:ln>
          </c:spPr>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Microsoft!$M$78:$W$78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4A4D-9C42-8F3D-DC7EF82889DC}"/>
            </c:ext>
          </c:extLst>
        </c:ser>
        <c:dLbls>
          <c:showLegendKey val="0"/>
          <c:showVal val="0"/>
          <c:showCatName val="0"/>
          <c:showSerName val="0"/>
          <c:showPercent val="0"/>
          <c:showBubbleSize val="0"/>
        </c:dLbls>
        <c:smooth val="0"/>
        <c:axId val="35084928"/>
        <c:axId val="35086720"/>
      </c:lineChart>
      <c:catAx>
        <c:axId val="35084928"/>
        <c:scaling>
          <c:orientation val="minMax"/>
        </c:scaling>
        <c:delete val="0"/>
        <c:axPos val="b"/>
        <c:numFmt formatCode="General" sourceLinked="1"/>
        <c:majorTickMark val="out"/>
        <c:minorTickMark val="none"/>
        <c:tickLblPos val="nextTo"/>
        <c:crossAx val="35086720"/>
        <c:crosses val="autoZero"/>
        <c:auto val="1"/>
        <c:lblAlgn val="ctr"/>
        <c:lblOffset val="100"/>
        <c:noMultiLvlLbl val="0"/>
      </c:catAx>
      <c:valAx>
        <c:axId val="35086720"/>
        <c:scaling>
          <c:orientation val="minMax"/>
          <c:min val="0"/>
        </c:scaling>
        <c:delete val="0"/>
        <c:axPos val="l"/>
        <c:majorGridlines/>
        <c:title>
          <c:tx>
            <c:rich>
              <a:bodyPr rot="-5400000" vert="horz"/>
              <a:lstStyle/>
              <a:p>
                <a:pPr>
                  <a:defRPr/>
                </a:pPr>
                <a:r>
                  <a:rPr lang="en-US"/>
                  <a:t>Annaul sales ($ mn)</a:t>
                </a:r>
              </a:p>
            </c:rich>
          </c:tx>
          <c:layout>
            <c:manualLayout>
              <c:xMode val="edge"/>
              <c:yMode val="edge"/>
              <c:x val="1.2412213786219779E-2"/>
              <c:y val="0.26873534972153179"/>
            </c:manualLayout>
          </c:layout>
          <c:overlay val="0"/>
        </c:title>
        <c:numFmt formatCode="_(&quot;$&quot;* #,##0_);_(&quot;$&quot;* \(#,##0\);_(&quot;$&quot;* &quot;-&quot;??_);_(@_)" sourceLinked="1"/>
        <c:majorTickMark val="out"/>
        <c:minorTickMark val="none"/>
        <c:tickLblPos val="nextTo"/>
        <c:crossAx val="35084928"/>
        <c:crosses val="autoZero"/>
        <c:crossBetween val="between"/>
      </c:valAx>
    </c:plotArea>
    <c:legend>
      <c:legendPos val="r"/>
      <c:layout>
        <c:manualLayout>
          <c:xMode val="edge"/>
          <c:yMode val="edge"/>
          <c:x val="0.14892408497016094"/>
          <c:y val="6.3886840182588736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633679196933567"/>
          <c:y val="5.4191665901204229E-2"/>
          <c:w val="0.81716585954930321"/>
          <c:h val="0.82353060997812"/>
        </c:manualLayout>
      </c:layout>
      <c:lineChart>
        <c:grouping val="standard"/>
        <c:varyColors val="0"/>
        <c:ser>
          <c:idx val="1"/>
          <c:order val="0"/>
          <c:tx>
            <c:strRef>
              <c:f>Microsoft!$A$82</c:f>
              <c:strCache>
                <c:ptCount val="1"/>
                <c:pt idx="0">
                  <c:v> 100G </c:v>
                </c:pt>
              </c:strCache>
            </c:strRef>
          </c:tx>
          <c:spPr>
            <a:ln w="25400">
              <a:solidFill>
                <a:srgbClr val="4F81BD"/>
              </a:solidFill>
            </a:ln>
          </c:spPr>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Microsoft!$B$82:$L$82</c:f>
              <c:numCache>
                <c:formatCode>_(* #,##0_);_(* \(#,##0\);_(* "-"??_);_(@_)</c:formatCode>
                <c:ptCount val="11"/>
                <c:pt idx="0">
                  <c:v>37265.334142577034</c:v>
                </c:pt>
                <c:pt idx="1">
                  <c:v>51414.298799999997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DD6-FC4E-9E82-2124D06D99EA}"/>
            </c:ext>
          </c:extLst>
        </c:ser>
        <c:ser>
          <c:idx val="3"/>
          <c:order val="1"/>
          <c:tx>
            <c:strRef>
              <c:f>Microsoft!$A$83</c:f>
              <c:strCache>
                <c:ptCount val="1"/>
                <c:pt idx="0">
                  <c:v> 200G </c:v>
                </c:pt>
              </c:strCache>
            </c:strRef>
          </c:tx>
          <c:spPr>
            <a:ln w="25400"/>
          </c:spPr>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Microsoft!$B$83:$L$83</c:f>
              <c:numCache>
                <c:formatCode>_(* #,##0_);_(* \(#,##0\);_(* "-"??_);_(@_)</c:formatCode>
                <c:ptCount val="11"/>
                <c:pt idx="0">
                  <c:v>2297.1467213114747</c:v>
                </c:pt>
                <c:pt idx="1">
                  <c:v>4341.6767999999975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DD6-FC4E-9E82-2124D06D99EA}"/>
            </c:ext>
          </c:extLst>
        </c:ser>
        <c:ser>
          <c:idx val="4"/>
          <c:order val="2"/>
          <c:tx>
            <c:strRef>
              <c:f>Microsoft!$A$84</c:f>
              <c:strCache>
                <c:ptCount val="1"/>
                <c:pt idx="0">
                  <c:v> 400G </c:v>
                </c:pt>
              </c:strCache>
            </c:strRef>
          </c:tx>
          <c:spPr>
            <a:ln w="25400">
              <a:solidFill>
                <a:srgbClr val="C0504D"/>
              </a:solidFill>
            </a:ln>
          </c:spPr>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Microsoft!$B$84:$L$84</c:f>
              <c:numCache>
                <c:formatCode>_(* #,##0_);_(* \(#,##0\);_(* "-"??_);_(@_)</c:formatCode>
                <c:ptCount val="11"/>
                <c:pt idx="0">
                  <c:v>0</c:v>
                </c:pt>
                <c:pt idx="1">
                  <c:v>160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ser>
          <c:idx val="0"/>
          <c:order val="3"/>
          <c:tx>
            <c:strRef>
              <c:f>Microsoft!$A$85</c:f>
              <c:strCache>
                <c:ptCount val="1"/>
                <c:pt idx="0">
                  <c:v> 600/800G </c:v>
                </c:pt>
              </c:strCache>
            </c:strRef>
          </c:tx>
          <c:spPr>
            <a:ln>
              <a:solidFill>
                <a:srgbClr val="9BBB59"/>
              </a:solidFill>
            </a:ln>
          </c:spPr>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Microsoft!$B$85:$L$85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0C1-EC4C-BB85-965CAAC00F0F}"/>
            </c:ext>
          </c:extLst>
        </c:ser>
        <c:ser>
          <c:idx val="2"/>
          <c:order val="4"/>
          <c:tx>
            <c:strRef>
              <c:f>Microsoft!$A$86</c:f>
              <c:strCache>
                <c:ptCount val="1"/>
                <c:pt idx="0">
                  <c:v> 1.2/1.6T </c:v>
                </c:pt>
              </c:strCache>
            </c:strRef>
          </c:tx>
          <c:marker>
            <c:symbol val="none"/>
          </c:marker>
          <c:cat>
            <c:numRef>
              <c:f>Microsoft!$B$72:$L$72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Microsoft!$B$86:$L$86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C0C1-EC4C-BB85-965CAAC00F0F}"/>
            </c:ext>
          </c:extLst>
        </c:ser>
        <c:dLbls>
          <c:showLegendKey val="0"/>
          <c:showVal val="0"/>
          <c:showCatName val="0"/>
          <c:showSerName val="0"/>
          <c:showPercent val="0"/>
          <c:showBubbleSize val="0"/>
        </c:dLbls>
        <c:smooth val="0"/>
        <c:axId val="35125504"/>
        <c:axId val="35192832"/>
      </c:lineChart>
      <c:catAx>
        <c:axId val="35125504"/>
        <c:scaling>
          <c:orientation val="minMax"/>
        </c:scaling>
        <c:delete val="0"/>
        <c:axPos val="b"/>
        <c:numFmt formatCode="General" sourceLinked="1"/>
        <c:majorTickMark val="out"/>
        <c:minorTickMark val="none"/>
        <c:tickLblPos val="nextTo"/>
        <c:crossAx val="35192832"/>
        <c:crosses val="autoZero"/>
        <c:auto val="1"/>
        <c:lblAlgn val="ctr"/>
        <c:lblOffset val="100"/>
        <c:noMultiLvlLbl val="0"/>
      </c:catAx>
      <c:valAx>
        <c:axId val="35192832"/>
        <c:scaling>
          <c:orientation val="minMax"/>
          <c:min val="0"/>
        </c:scaling>
        <c:delete val="0"/>
        <c:axPos val="l"/>
        <c:majorGridlines/>
        <c:title>
          <c:tx>
            <c:rich>
              <a:bodyPr rot="-5400000" vert="horz"/>
              <a:lstStyle/>
              <a:p>
                <a:pPr>
                  <a:defRPr/>
                </a:pPr>
                <a:r>
                  <a:rPr lang="en-US"/>
                  <a:t>Annual units consumed</a:t>
                </a:r>
              </a:p>
            </c:rich>
          </c:tx>
          <c:overlay val="0"/>
        </c:title>
        <c:numFmt formatCode="_(* #,##0_);_(* \(#,##0\);_(* &quot;-&quot;??_);_(@_)" sourceLinked="1"/>
        <c:majorTickMark val="out"/>
        <c:minorTickMark val="none"/>
        <c:tickLblPos val="nextTo"/>
        <c:crossAx val="35125504"/>
        <c:crosses val="autoZero"/>
        <c:crossBetween val="between"/>
      </c:valAx>
    </c:plotArea>
    <c:legend>
      <c:legendPos val="r"/>
      <c:layout>
        <c:manualLayout>
          <c:xMode val="edge"/>
          <c:yMode val="edge"/>
          <c:x val="0.18058738735537272"/>
          <c:y val="7.3445239373745141E-2"/>
          <c:w val="0.21308665617107206"/>
          <c:h val="0.26963161335525054"/>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435208799897141"/>
          <c:y val="5.1400554097404488E-2"/>
          <c:w val="0.85930373807563654"/>
          <c:h val="0.8326195683872849"/>
        </c:manualLayout>
      </c:layout>
      <c:lineChart>
        <c:grouping val="standard"/>
        <c:varyColors val="0"/>
        <c:ser>
          <c:idx val="0"/>
          <c:order val="0"/>
          <c:tx>
            <c:strRef>
              <c:f>Microsoft!$A$82</c:f>
              <c:strCache>
                <c:ptCount val="1"/>
                <c:pt idx="0">
                  <c:v> 100G </c:v>
                </c:pt>
              </c:strCache>
            </c:strRef>
          </c:tx>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Microsoft!$M$82:$W$82</c:f>
              <c:numCache>
                <c:formatCode>_("$"* #,##0_);_("$"* \(#,##0\);_("$"* "-"??_);_(@_)</c:formatCode>
                <c:ptCount val="11"/>
                <c:pt idx="0">
                  <c:v>145.18123159299722</c:v>
                </c:pt>
                <c:pt idx="1">
                  <c:v>165.6887933866667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D1C4-3743-BD92-5E6571AD989B}"/>
            </c:ext>
          </c:extLst>
        </c:ser>
        <c:ser>
          <c:idx val="1"/>
          <c:order val="1"/>
          <c:tx>
            <c:strRef>
              <c:f>Microsoft!$A$83</c:f>
              <c:strCache>
                <c:ptCount val="1"/>
                <c:pt idx="0">
                  <c:v> 200G </c:v>
                </c:pt>
              </c:strCache>
            </c:strRef>
          </c:tx>
          <c:spPr>
            <a:ln>
              <a:solidFill>
                <a:srgbClr val="F79646"/>
              </a:solidFill>
            </a:ln>
          </c:spPr>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Microsoft!$M$83:$W$83</c:f>
              <c:numCache>
                <c:formatCode>_("$"* #,##0_);_("$"* \(#,##0\);_("$"* "-"??_);_(@_)</c:formatCode>
                <c:ptCount val="11"/>
                <c:pt idx="0">
                  <c:v>18.192129210134127</c:v>
                </c:pt>
                <c:pt idx="1">
                  <c:v>25.823506385454536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D1C4-3743-BD92-5E6571AD989B}"/>
            </c:ext>
          </c:extLst>
        </c:ser>
        <c:ser>
          <c:idx val="4"/>
          <c:order val="2"/>
          <c:tx>
            <c:strRef>
              <c:f>Microsoft!$A$84</c:f>
              <c:strCache>
                <c:ptCount val="1"/>
                <c:pt idx="0">
                  <c:v> 400G </c:v>
                </c:pt>
              </c:strCache>
            </c:strRef>
          </c:tx>
          <c:spPr>
            <a:ln>
              <a:solidFill>
                <a:srgbClr val="C0504D"/>
              </a:solidFill>
            </a:ln>
          </c:spPr>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Microsoft!$M$84:$W$84</c:f>
              <c:numCache>
                <c:formatCode>_("$"* #,##0_);_("$"* \(#,##0\);_("$"* "-"??_);_(@_)</c:formatCode>
                <c:ptCount val="11"/>
                <c:pt idx="0">
                  <c:v>0</c:v>
                </c:pt>
                <c:pt idx="1">
                  <c:v>0.96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D1C4-3743-BD92-5E6571AD989B}"/>
            </c:ext>
          </c:extLst>
        </c:ser>
        <c:ser>
          <c:idx val="2"/>
          <c:order val="3"/>
          <c:tx>
            <c:strRef>
              <c:f>Microsoft!$A$85</c:f>
              <c:strCache>
                <c:ptCount val="1"/>
                <c:pt idx="0">
                  <c:v> 600/800G </c:v>
                </c:pt>
              </c:strCache>
            </c:strRef>
          </c:tx>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Microsoft!$M$85:$W$85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D1C4-3743-BD92-5E6571AD989B}"/>
            </c:ext>
          </c:extLst>
        </c:ser>
        <c:ser>
          <c:idx val="3"/>
          <c:order val="4"/>
          <c:tx>
            <c:strRef>
              <c:f>Microsoft!$A$86</c:f>
              <c:strCache>
                <c:ptCount val="1"/>
                <c:pt idx="0">
                  <c:v> 1.2/1.6T </c:v>
                </c:pt>
              </c:strCache>
            </c:strRef>
          </c:tx>
          <c:marker>
            <c:symbol val="none"/>
          </c:marker>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Microsoft!$M$86:$W$86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D1C4-3743-BD92-5E6571AD989B}"/>
            </c:ext>
          </c:extLst>
        </c:ser>
        <c:dLbls>
          <c:showLegendKey val="0"/>
          <c:showVal val="0"/>
          <c:showCatName val="0"/>
          <c:showSerName val="0"/>
          <c:showPercent val="0"/>
          <c:showBubbleSize val="0"/>
        </c:dLbls>
        <c:smooth val="0"/>
        <c:axId val="35222656"/>
        <c:axId val="35224192"/>
      </c:lineChart>
      <c:catAx>
        <c:axId val="35222656"/>
        <c:scaling>
          <c:orientation val="minMax"/>
        </c:scaling>
        <c:delete val="0"/>
        <c:axPos val="b"/>
        <c:numFmt formatCode="General" sourceLinked="1"/>
        <c:majorTickMark val="out"/>
        <c:minorTickMark val="none"/>
        <c:tickLblPos val="nextTo"/>
        <c:crossAx val="35224192"/>
        <c:crosses val="autoZero"/>
        <c:auto val="1"/>
        <c:lblAlgn val="ctr"/>
        <c:lblOffset val="100"/>
        <c:noMultiLvlLbl val="0"/>
      </c:catAx>
      <c:valAx>
        <c:axId val="35224192"/>
        <c:scaling>
          <c:orientation val="minMax"/>
          <c:min val="0"/>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35222656"/>
        <c:crosses val="autoZero"/>
        <c:crossBetween val="between"/>
      </c:valAx>
    </c:plotArea>
    <c:legend>
      <c:legendPos val="r"/>
      <c:layout>
        <c:manualLayout>
          <c:xMode val="edge"/>
          <c:yMode val="edge"/>
          <c:x val="0.14602710579748157"/>
          <c:y val="7.423617972721068E-2"/>
          <c:w val="0.20541723026568479"/>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Microsoft!$A$93</c:f>
          <c:strCache>
            <c:ptCount val="1"/>
            <c:pt idx="0">
              <c:v>Ethernet transceivers % of total capex: Microsoft</c:v>
            </c:pt>
          </c:strCache>
        </c:strRef>
      </c:tx>
      <c:overlay val="1"/>
      <c:txPr>
        <a:bodyPr/>
        <a:lstStyle/>
        <a:p>
          <a:pPr>
            <a:defRPr sz="1200"/>
          </a:pPr>
          <a:endParaRPr lang="en-US"/>
        </a:p>
      </c:txPr>
    </c:title>
    <c:autoTitleDeleted val="0"/>
    <c:plotArea>
      <c:layout>
        <c:manualLayout>
          <c:layoutTarget val="inner"/>
          <c:xMode val="edge"/>
          <c:yMode val="edge"/>
          <c:x val="9.8863517060367459E-2"/>
          <c:y val="0.12762328415157384"/>
          <c:w val="0.870580927384077"/>
          <c:h val="0.75639675134511952"/>
        </c:manualLayout>
      </c:layout>
      <c:barChart>
        <c:barDir val="col"/>
        <c:grouping val="stacked"/>
        <c:varyColors val="0"/>
        <c:ser>
          <c:idx val="2"/>
          <c:order val="0"/>
          <c:spPr>
            <a:solidFill>
              <a:srgbClr val="0070C0"/>
            </a:solidFill>
          </c:spPr>
          <c:invertIfNegative val="0"/>
          <c:cat>
            <c:numRef>
              <c:f>Microsoft!$M$90:$W$90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Microsoft!$M$93:$W$93</c:f>
              <c:numCache>
                <c:formatCode>0.0%</c:formatCode>
                <c:ptCount val="11"/>
                <c:pt idx="0">
                  <c:v>2.6364122737839975E-3</c:v>
                </c:pt>
                <c:pt idx="1">
                  <c:v>3.6092410042356505E-3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A71-1E41-9829-04E32B7B8ED0}"/>
            </c:ext>
          </c:extLst>
        </c:ser>
        <c:dLbls>
          <c:showLegendKey val="0"/>
          <c:showVal val="0"/>
          <c:showCatName val="0"/>
          <c:showSerName val="0"/>
          <c:showPercent val="0"/>
          <c:showBubbleSize val="0"/>
        </c:dLbls>
        <c:gapWidth val="150"/>
        <c:overlap val="100"/>
        <c:axId val="35257344"/>
        <c:axId val="35259136"/>
      </c:barChart>
      <c:catAx>
        <c:axId val="35257344"/>
        <c:scaling>
          <c:orientation val="minMax"/>
        </c:scaling>
        <c:delete val="0"/>
        <c:axPos val="b"/>
        <c:numFmt formatCode="General" sourceLinked="1"/>
        <c:majorTickMark val="out"/>
        <c:minorTickMark val="none"/>
        <c:tickLblPos val="nextTo"/>
        <c:crossAx val="35259136"/>
        <c:crosses val="autoZero"/>
        <c:auto val="1"/>
        <c:lblAlgn val="ctr"/>
        <c:lblOffset val="100"/>
        <c:noMultiLvlLbl val="0"/>
      </c:catAx>
      <c:valAx>
        <c:axId val="35259136"/>
        <c:scaling>
          <c:orientation val="minMax"/>
        </c:scaling>
        <c:delete val="0"/>
        <c:axPos val="l"/>
        <c:majorGridlines/>
        <c:numFmt formatCode="0.0%" sourceLinked="1"/>
        <c:majorTickMark val="out"/>
        <c:minorTickMark val="none"/>
        <c:tickLblPos val="nextTo"/>
        <c:crossAx val="3525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Microsoft!$A$95</c:f>
          <c:strCache>
            <c:ptCount val="1"/>
            <c:pt idx="0">
              <c:v>Ethernet&amp;DWDM transceivers % of total capex: Microsoft</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v>Ethernet</c:v>
          </c:tx>
          <c:spPr>
            <a:solidFill>
              <a:srgbClr val="0070C0"/>
            </a:solidFill>
          </c:spPr>
          <c:invertIfNegative val="0"/>
          <c:cat>
            <c:numRef>
              <c:f>Microsoft!$M$90:$W$90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Microsoft!$M$93:$W$93</c:f>
              <c:numCache>
                <c:formatCode>0.0%</c:formatCode>
                <c:ptCount val="11"/>
                <c:pt idx="0">
                  <c:v>2.6364122737839975E-3</c:v>
                </c:pt>
                <c:pt idx="1">
                  <c:v>3.6092410042356505E-3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Microsoft!$M$90:$W$90</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Microsoft!$M$94:$W$94</c:f>
              <c:numCache>
                <c:formatCode>0.0%</c:formatCode>
                <c:ptCount val="11"/>
                <c:pt idx="0">
                  <c:v>1.1680943299565814E-2</c:v>
                </c:pt>
                <c:pt idx="1">
                  <c:v>1.4421492421608733E-2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82C-9E4F-A9F6-B327D8EBBB2C}"/>
            </c:ext>
          </c:extLst>
        </c:ser>
        <c:dLbls>
          <c:showLegendKey val="0"/>
          <c:showVal val="0"/>
          <c:showCatName val="0"/>
          <c:showSerName val="0"/>
          <c:showPercent val="0"/>
          <c:showBubbleSize val="0"/>
        </c:dLbls>
        <c:gapWidth val="150"/>
        <c:overlap val="100"/>
        <c:axId val="35276672"/>
        <c:axId val="35278208"/>
      </c:barChart>
      <c:catAx>
        <c:axId val="35276672"/>
        <c:scaling>
          <c:orientation val="minMax"/>
        </c:scaling>
        <c:delete val="0"/>
        <c:axPos val="b"/>
        <c:numFmt formatCode="General" sourceLinked="1"/>
        <c:majorTickMark val="out"/>
        <c:minorTickMark val="none"/>
        <c:tickLblPos val="nextTo"/>
        <c:crossAx val="35278208"/>
        <c:crosses val="autoZero"/>
        <c:auto val="1"/>
        <c:lblAlgn val="ctr"/>
        <c:lblOffset val="100"/>
        <c:noMultiLvlLbl val="0"/>
      </c:catAx>
      <c:valAx>
        <c:axId val="35278208"/>
        <c:scaling>
          <c:orientation val="minMax"/>
        </c:scaling>
        <c:delete val="0"/>
        <c:axPos val="l"/>
        <c:majorGridlines/>
        <c:numFmt formatCode="0.0%" sourceLinked="1"/>
        <c:majorTickMark val="out"/>
        <c:minorTickMark val="none"/>
        <c:tickLblPos val="nextTo"/>
        <c:crossAx val="35276672"/>
        <c:crosses val="autoZero"/>
        <c:crossBetween val="between"/>
      </c:valAx>
    </c:plotArea>
    <c:legend>
      <c:legendPos val="t"/>
      <c:layout>
        <c:manualLayout>
          <c:xMode val="edge"/>
          <c:yMode val="edge"/>
          <c:x val="0.36562585533231517"/>
          <c:y val="0.11591961494972375"/>
          <c:w val="0.26371050596005474"/>
          <c:h val="8.3846574274169791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98669984904737"/>
          <c:y val="5.3512161412456336E-2"/>
          <c:w val="0.82359981232915835"/>
          <c:h val="0.85100374953130864"/>
        </c:manualLayout>
      </c:layout>
      <c:barChart>
        <c:barDir val="col"/>
        <c:grouping val="stacked"/>
        <c:varyColors val="0"/>
        <c:ser>
          <c:idx val="2"/>
          <c:order val="0"/>
          <c:tx>
            <c:v>Ethernet</c:v>
          </c:tx>
          <c:spPr>
            <a:solidFill>
              <a:srgbClr val="0070C0"/>
            </a:solidFill>
            <a:ln>
              <a:solidFill>
                <a:schemeClr val="accent1"/>
              </a:solidFill>
            </a:ln>
          </c:spPr>
          <c:invertIfNegative val="0"/>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Microsoft!$M$79:$W$79</c:f>
              <c:numCache>
                <c:formatCode>_("$"* #,##0_);_("$"* \(#,##0\);_("$"* "-"??_);_(@_)</c:formatCode>
                <c:ptCount val="11"/>
                <c:pt idx="0">
                  <c:v>37.497691770029796</c:v>
                </c:pt>
                <c:pt idx="1">
                  <c:v>48.890778643376123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E29-BF4F-8071-E75492A04F2C}"/>
            </c:ext>
          </c:extLst>
        </c:ser>
        <c:ser>
          <c:idx val="0"/>
          <c:order val="1"/>
          <c:tx>
            <c:v>DWDM</c:v>
          </c:tx>
          <c:spPr>
            <a:solidFill>
              <a:srgbClr val="C00000"/>
            </a:solidFill>
            <a:ln>
              <a:solidFill>
                <a:srgbClr val="C00000"/>
              </a:solidFill>
            </a:ln>
          </c:spPr>
          <c:invertIfNegative val="0"/>
          <c:cat>
            <c:numRef>
              <c:f>Microsoft!$M$72:$W$72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Microsoft!$M$87:$W$87</c:f>
              <c:numCache>
                <c:formatCode>_("$"* #,##0_);_("$"* \(#,##0\);_("$"* "-"??_);_(@_)</c:formatCode>
                <c:ptCount val="11"/>
                <c:pt idx="0">
                  <c:v>166.13805654972458</c:v>
                </c:pt>
                <c:pt idx="1">
                  <c:v>195.3535363431119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E29-BF4F-8071-E75492A04F2C}"/>
            </c:ext>
          </c:extLst>
        </c:ser>
        <c:dLbls>
          <c:showLegendKey val="0"/>
          <c:showVal val="0"/>
          <c:showCatName val="0"/>
          <c:showSerName val="0"/>
          <c:showPercent val="0"/>
          <c:showBubbleSize val="0"/>
        </c:dLbls>
        <c:gapWidth val="150"/>
        <c:overlap val="100"/>
        <c:axId val="35288192"/>
        <c:axId val="35289728"/>
      </c:barChart>
      <c:catAx>
        <c:axId val="35288192"/>
        <c:scaling>
          <c:orientation val="minMax"/>
        </c:scaling>
        <c:delete val="0"/>
        <c:axPos val="b"/>
        <c:numFmt formatCode="General" sourceLinked="1"/>
        <c:majorTickMark val="out"/>
        <c:minorTickMark val="none"/>
        <c:tickLblPos val="nextTo"/>
        <c:crossAx val="35289728"/>
        <c:crosses val="autoZero"/>
        <c:auto val="1"/>
        <c:lblAlgn val="ctr"/>
        <c:lblOffset val="100"/>
        <c:noMultiLvlLbl val="0"/>
      </c:catAx>
      <c:valAx>
        <c:axId val="35289728"/>
        <c:scaling>
          <c:orientation val="minMax"/>
          <c:max val="1200"/>
        </c:scaling>
        <c:delete val="0"/>
        <c:axPos val="l"/>
        <c:majorGridlines/>
        <c:title>
          <c:tx>
            <c:rich>
              <a:bodyPr/>
              <a:lstStyle/>
              <a:p>
                <a:pPr>
                  <a:defRPr/>
                </a:pPr>
                <a:r>
                  <a:rPr lang="en-US"/>
                  <a:t>Sales ($ mn)</a:t>
                </a:r>
              </a:p>
            </c:rich>
          </c:tx>
          <c:layout>
            <c:manualLayout>
              <c:xMode val="edge"/>
              <c:yMode val="edge"/>
              <c:x val="8.4266137683946304E-3"/>
              <c:y val="0.40451169907079149"/>
            </c:manualLayout>
          </c:layout>
          <c:overlay val="0"/>
        </c:title>
        <c:numFmt formatCode="_(&quot;$&quot;* #,##0_);_(&quot;$&quot;* \(#,##0\);_(&quot;$&quot;* &quot;-&quot;??_);_(@_)" sourceLinked="1"/>
        <c:majorTickMark val="out"/>
        <c:minorTickMark val="none"/>
        <c:tickLblPos val="nextTo"/>
        <c:crossAx val="35288192"/>
        <c:crosses val="autoZero"/>
        <c:crossBetween val="between"/>
      </c:valAx>
    </c:plotArea>
    <c:legend>
      <c:legendPos val="t"/>
      <c:layout>
        <c:manualLayout>
          <c:xMode val="edge"/>
          <c:yMode val="edge"/>
          <c:x val="0.36368924964071009"/>
          <c:y val="5.7528081501660645E-2"/>
          <c:w val="0.29784891605772928"/>
          <c:h val="0.13349777960219428"/>
        </c:manualLayout>
      </c:layout>
      <c:overlay val="0"/>
      <c:spPr>
        <a:solidFill>
          <a:schemeClr val="bg1"/>
        </a:solidFill>
        <a:ln>
          <a:solidFill>
            <a:schemeClr val="bg1">
              <a:lumMod val="50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2016 DWDM transceiver sales by segment: $0.66 bn total</a:t>
            </a:r>
          </a:p>
        </c:rich>
      </c:tx>
      <c:layout>
        <c:manualLayout>
          <c:xMode val="edge"/>
          <c:yMode val="edge"/>
          <c:x val="1.8583948892986701E-2"/>
          <c:y val="1.8245011832919749E-2"/>
        </c:manualLayout>
      </c:layout>
      <c:overlay val="1"/>
    </c:title>
    <c:autoTitleDeleted val="0"/>
    <c:plotArea>
      <c:layout>
        <c:manualLayout>
          <c:layoutTarget val="inner"/>
          <c:xMode val="edge"/>
          <c:yMode val="edge"/>
          <c:x val="0.27772042100659006"/>
          <c:y val="0.33663770769862877"/>
          <c:w val="0.24929615667818619"/>
          <c:h val="0.33625748356751761"/>
        </c:manualLayout>
      </c:layout>
      <c:pieChart>
        <c:varyColors val="1"/>
        <c:ser>
          <c:idx val="0"/>
          <c:order val="0"/>
          <c:spPr>
            <a:solidFill>
              <a:srgbClr val="C00000"/>
            </a:solidFill>
          </c:spPr>
          <c:dPt>
            <c:idx val="0"/>
            <c:bubble3D val="0"/>
            <c:extLst>
              <c:ext xmlns:c16="http://schemas.microsoft.com/office/drawing/2014/chart" uri="{C3380CC4-5D6E-409C-BE32-E72D297353CC}">
                <c16:uniqueId val="{00000000-8592-2A4A-8F85-E1A825583FE9}"/>
              </c:ext>
            </c:extLst>
          </c:dPt>
          <c:dPt>
            <c:idx val="1"/>
            <c:bubble3D val="0"/>
            <c:spPr>
              <a:solidFill>
                <a:srgbClr val="92D050"/>
              </a:solidFill>
            </c:spPr>
            <c:extLst>
              <c:ext xmlns:c16="http://schemas.microsoft.com/office/drawing/2014/chart" uri="{C3380CC4-5D6E-409C-BE32-E72D297353CC}">
                <c16:uniqueId val="{00000002-8592-2A4A-8F85-E1A825583FE9}"/>
              </c:ext>
            </c:extLst>
          </c:dPt>
          <c:dPt>
            <c:idx val="2"/>
            <c:bubble3D val="0"/>
            <c:spPr>
              <a:solidFill>
                <a:schemeClr val="accent1"/>
              </a:solidFill>
            </c:spPr>
            <c:extLst>
              <c:ext xmlns:c16="http://schemas.microsoft.com/office/drawing/2014/chart" uri="{C3380CC4-5D6E-409C-BE32-E72D297353CC}">
                <c16:uniqueId val="{00000004-8592-2A4A-8F85-E1A825583FE9}"/>
              </c:ext>
            </c:extLst>
          </c:dPt>
          <c:dLbls>
            <c:dLbl>
              <c:idx val="0"/>
              <c:layout>
                <c:manualLayout>
                  <c:x val="4.5088575974960576E-2"/>
                  <c:y val="-4.25716942768127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592-2A4A-8F85-E1A825583FE9}"/>
                </c:ext>
              </c:extLst>
            </c:dLbl>
            <c:dLbl>
              <c:idx val="1"/>
              <c:layout>
                <c:manualLayout>
                  <c:x val="-4.0579718377464519E-2"/>
                  <c:y val="7.2980047331678996E-2"/>
                </c:manualLayout>
              </c:layout>
              <c:tx>
                <c:rich>
                  <a:bodyPr/>
                  <a:lstStyle/>
                  <a:p>
                    <a:r>
                      <a:rPr lang="en-US" sz="900" b="0"/>
                      <a:t>Enterprise
4%</a:t>
                    </a:r>
                    <a:endParaRPr lang="en-US"/>
                  </a:p>
                </c:rich>
              </c:tx>
              <c:dLblPos val="bestFit"/>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8592-2A4A-8F85-E1A825583FE9}"/>
                </c:ext>
              </c:extLst>
            </c:dLbl>
            <c:spPr>
              <a:noFill/>
              <a:ln>
                <a:noFill/>
              </a:ln>
              <a:effectLst/>
            </c:spPr>
            <c:txPr>
              <a:bodyPr/>
              <a:lstStyle/>
              <a:p>
                <a:pPr>
                  <a:defRPr sz="900" b="0"/>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'Figures in the Report'!$I$119:$I$121</c:f>
              <c:strCache>
                <c:ptCount val="3"/>
                <c:pt idx="0">
                  <c:v>Cloud</c:v>
                </c:pt>
                <c:pt idx="1">
                  <c:v>Enterprise</c:v>
                </c:pt>
                <c:pt idx="2">
                  <c:v>Telecom</c:v>
                </c:pt>
              </c:strCache>
            </c:strRef>
          </c:cat>
          <c:val>
            <c:numRef>
              <c:f>'Figures in the Report'!$J$119:$J$121</c:f>
              <c:numCache>
                <c:formatCode>0%</c:formatCode>
                <c:ptCount val="3"/>
                <c:pt idx="0">
                  <c:v>0.19</c:v>
                </c:pt>
                <c:pt idx="1">
                  <c:v>0.04</c:v>
                </c:pt>
                <c:pt idx="2">
                  <c:v>0.77</c:v>
                </c:pt>
              </c:numCache>
            </c:numRef>
          </c:val>
          <c:extLst>
            <c:ext xmlns:c16="http://schemas.microsoft.com/office/drawing/2014/chart" uri="{C3380CC4-5D6E-409C-BE32-E72D297353CC}">
              <c16:uniqueId val="{00000005-8592-2A4A-8F85-E1A825583FE9}"/>
            </c:ext>
          </c:extLst>
        </c:ser>
        <c:dLbls>
          <c:showLegendKey val="0"/>
          <c:showVal val="1"/>
          <c:showCatName val="0"/>
          <c:showSerName val="0"/>
          <c:showPercent val="0"/>
          <c:showBubbleSize val="0"/>
          <c:showLeaderLines val="0"/>
        </c:dLbls>
        <c:firstSliceAng val="79"/>
      </c:pieChart>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73277312825106"/>
          <c:y val="5.8425592767723168E-2"/>
          <c:w val="0.82108005046409882"/>
          <c:h val="0.82559478766146877"/>
        </c:manualLayout>
      </c:layout>
      <c:lineChart>
        <c:grouping val="standard"/>
        <c:varyColors val="0"/>
        <c:ser>
          <c:idx val="0"/>
          <c:order val="0"/>
          <c:tx>
            <c:strRef>
              <c:f>Apple!$A$100</c:f>
              <c:strCache>
                <c:ptCount val="1"/>
                <c:pt idx="0">
                  <c:v>Ethernet</c:v>
                </c:pt>
              </c:strCache>
            </c:strRef>
          </c:tx>
          <c:cat>
            <c:numRef>
              <c:f>Apple!$C$100:$L$100</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Apple!$C$103:$L$103</c:f>
              <c:numCache>
                <c:formatCode>0%</c:formatCode>
                <c:ptCount val="10"/>
                <c:pt idx="0">
                  <c:v>1.0291131118693402</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Apple!$A$105</c:f>
              <c:strCache>
                <c:ptCount val="1"/>
                <c:pt idx="0">
                  <c:v>DWDM</c:v>
                </c:pt>
              </c:strCache>
            </c:strRef>
          </c:tx>
          <c:marker>
            <c:symbol val="square"/>
            <c:size val="5"/>
          </c:marker>
          <c:cat>
            <c:numRef>
              <c:f>Apple!$C$100:$L$100</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Apple!$C$108:$L$108</c:f>
              <c:numCache>
                <c:formatCode>0%</c:formatCode>
                <c:ptCount val="10"/>
                <c:pt idx="0">
                  <c:v>0.63024804458698958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35570816"/>
        <c:axId val="35572352"/>
      </c:lineChart>
      <c:catAx>
        <c:axId val="35570816"/>
        <c:scaling>
          <c:orientation val="minMax"/>
        </c:scaling>
        <c:delete val="0"/>
        <c:axPos val="b"/>
        <c:numFmt formatCode="General" sourceLinked="1"/>
        <c:majorTickMark val="out"/>
        <c:minorTickMark val="none"/>
        <c:tickLblPos val="nextTo"/>
        <c:crossAx val="35572352"/>
        <c:crosses val="autoZero"/>
        <c:auto val="1"/>
        <c:lblAlgn val="ctr"/>
        <c:lblOffset val="100"/>
        <c:noMultiLvlLbl val="0"/>
      </c:catAx>
      <c:valAx>
        <c:axId val="35572352"/>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35570816"/>
        <c:crosses val="autoZero"/>
        <c:crossBetween val="between"/>
      </c:valAx>
    </c:plotArea>
    <c:legend>
      <c:legendPos val="t"/>
      <c:layout>
        <c:manualLayout>
          <c:xMode val="edge"/>
          <c:yMode val="edge"/>
          <c:x val="0.34329528374785317"/>
          <c:y val="9.3911419721106365E-2"/>
          <c:w val="0.31605572184408848"/>
          <c:h val="0.15942624775141592"/>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7246079687016"/>
          <c:y val="5.4191665901204229E-2"/>
          <c:w val="0.80873021300544568"/>
          <c:h val="0.82353060997812"/>
        </c:manualLayout>
      </c:layout>
      <c:lineChart>
        <c:grouping val="standard"/>
        <c:varyColors val="0"/>
        <c:ser>
          <c:idx val="1"/>
          <c:order val="0"/>
          <c:tx>
            <c:strRef>
              <c:f>Apple!$A$76</c:f>
              <c:strCache>
                <c:ptCount val="1"/>
                <c:pt idx="0">
                  <c:v> 100G </c:v>
                </c:pt>
              </c:strCache>
            </c:strRef>
          </c:tx>
          <c:spPr>
            <a:ln w="25400">
              <a:solidFill>
                <a:schemeClr val="accent1"/>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Apple!$B$76:$L$76</c:f>
              <c:numCache>
                <c:formatCode>_(* #,##0_);_(* \(#,##0\);_(* "-"??_);_(@_)</c:formatCode>
                <c:ptCount val="11"/>
                <c:pt idx="0">
                  <c:v>151517.33961995799</c:v>
                </c:pt>
                <c:pt idx="1">
                  <c:v>326827.04720000003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DD6-FC4E-9E82-2124D06D99EA}"/>
            </c:ext>
          </c:extLst>
        </c:ser>
        <c:ser>
          <c:idx val="3"/>
          <c:order val="1"/>
          <c:tx>
            <c:strRef>
              <c:f>Apple!$A$78</c:f>
              <c:strCache>
                <c:ptCount val="1"/>
                <c:pt idx="0">
                  <c:v> 400G </c:v>
                </c:pt>
              </c:strCache>
            </c:strRef>
          </c:tx>
          <c:spPr>
            <a:ln w="25400">
              <a:solidFill>
                <a:schemeClr val="accent2"/>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Apple!$B$78:$L$78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DD6-FC4E-9E82-2124D06D99EA}"/>
            </c:ext>
          </c:extLst>
        </c:ser>
        <c:ser>
          <c:idx val="4"/>
          <c:order val="2"/>
          <c:tx>
            <c:strRef>
              <c:f>Apple!$A$79</c:f>
              <c:strCache>
                <c:ptCount val="1"/>
                <c:pt idx="0">
                  <c:v> 800G </c:v>
                </c:pt>
              </c:strCache>
            </c:strRef>
          </c:tx>
          <c:spPr>
            <a:ln w="25400">
              <a:solidFill>
                <a:schemeClr val="accent3"/>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Apple!$B$79:$L$79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dLbls>
          <c:showLegendKey val="0"/>
          <c:showVal val="0"/>
          <c:showCatName val="0"/>
          <c:showSerName val="0"/>
          <c:showPercent val="0"/>
          <c:showBubbleSize val="0"/>
        </c:dLbls>
        <c:smooth val="0"/>
        <c:axId val="35599872"/>
        <c:axId val="35601408"/>
      </c:lineChart>
      <c:catAx>
        <c:axId val="35599872"/>
        <c:scaling>
          <c:orientation val="minMax"/>
        </c:scaling>
        <c:delete val="0"/>
        <c:axPos val="b"/>
        <c:numFmt formatCode="General" sourceLinked="1"/>
        <c:majorTickMark val="out"/>
        <c:minorTickMark val="none"/>
        <c:tickLblPos val="nextTo"/>
        <c:crossAx val="35601408"/>
        <c:crosses val="autoZero"/>
        <c:auto val="1"/>
        <c:lblAlgn val="ctr"/>
        <c:lblOffset val="100"/>
        <c:noMultiLvlLbl val="0"/>
      </c:catAx>
      <c:valAx>
        <c:axId val="35601408"/>
        <c:scaling>
          <c:orientation val="minMax"/>
          <c:min val="0"/>
        </c:scaling>
        <c:delete val="0"/>
        <c:axPos val="l"/>
        <c:majorGridlines/>
        <c:title>
          <c:tx>
            <c:rich>
              <a:bodyPr rot="-5400000" vert="horz"/>
              <a:lstStyle/>
              <a:p>
                <a:pPr>
                  <a:defRPr/>
                </a:pPr>
                <a:r>
                  <a:rPr lang="en-US"/>
                  <a:t>Annual units consumed</a:t>
                </a:r>
              </a:p>
            </c:rich>
          </c:tx>
          <c:overlay val="0"/>
        </c:title>
        <c:numFmt formatCode="_(* #,##0_);_(* \(#,##0\);_(* &quot;-&quot;??_);_(@_)" sourceLinked="1"/>
        <c:majorTickMark val="out"/>
        <c:minorTickMark val="none"/>
        <c:tickLblPos val="nextTo"/>
        <c:crossAx val="35599872"/>
        <c:crosses val="autoZero"/>
        <c:crossBetween val="between"/>
      </c:valAx>
    </c:plotArea>
    <c:legend>
      <c:legendPos val="r"/>
      <c:layout>
        <c:manualLayout>
          <c:xMode val="edge"/>
          <c:yMode val="edge"/>
          <c:x val="0.18058738735537272"/>
          <c:y val="7.3445239373745141E-2"/>
          <c:w val="0.14244471564720393"/>
          <c:h val="0.24522640301075446"/>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Apple!$A$76</c:f>
              <c:strCache>
                <c:ptCount val="1"/>
                <c:pt idx="0">
                  <c:v> 100G </c:v>
                </c:pt>
              </c:strCache>
            </c:strRef>
          </c:tx>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Apple!$M$76:$W$76</c:f>
              <c:numCache>
                <c:formatCode>_("$"* #,##0_);_("$"* \(#,##0\);_("$"* "-"??_);_(@_)</c:formatCode>
                <c:ptCount val="11"/>
                <c:pt idx="0">
                  <c:v>76.422164167334216</c:v>
                </c:pt>
                <c:pt idx="1">
                  <c:v>80.499518127464853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85A8-094C-BA70-004AD2D76409}"/>
            </c:ext>
          </c:extLst>
        </c:ser>
        <c:ser>
          <c:idx val="1"/>
          <c:order val="1"/>
          <c:tx>
            <c:strRef>
              <c:f>Apple!$A$78</c:f>
              <c:strCache>
                <c:ptCount val="1"/>
                <c:pt idx="0">
                  <c:v> 400G </c:v>
                </c:pt>
              </c:strCache>
            </c:strRef>
          </c:tx>
          <c:spPr>
            <a:ln>
              <a:solidFill>
                <a:srgbClr val="C0504D"/>
              </a:solidFill>
            </a:ln>
          </c:spPr>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Apple!$M$78:$W$78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85A8-094C-BA70-004AD2D76409}"/>
            </c:ext>
          </c:extLst>
        </c:ser>
        <c:ser>
          <c:idx val="4"/>
          <c:order val="2"/>
          <c:tx>
            <c:strRef>
              <c:f>Apple!$A$79</c:f>
              <c:strCache>
                <c:ptCount val="1"/>
                <c:pt idx="0">
                  <c:v> 800G </c:v>
                </c:pt>
              </c:strCache>
            </c:strRef>
          </c:tx>
          <c:spPr>
            <a:ln>
              <a:solidFill>
                <a:srgbClr val="9BBB59"/>
              </a:solidFill>
            </a:ln>
          </c:spPr>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Apple!$M$79:$W$79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85A8-094C-BA70-004AD2D76409}"/>
            </c:ext>
          </c:extLst>
        </c:ser>
        <c:dLbls>
          <c:showLegendKey val="0"/>
          <c:showVal val="0"/>
          <c:showCatName val="0"/>
          <c:showSerName val="0"/>
          <c:showPercent val="0"/>
          <c:showBubbleSize val="0"/>
        </c:dLbls>
        <c:smooth val="0"/>
        <c:axId val="35637120"/>
        <c:axId val="35638656"/>
      </c:lineChart>
      <c:catAx>
        <c:axId val="35637120"/>
        <c:scaling>
          <c:orientation val="minMax"/>
        </c:scaling>
        <c:delete val="0"/>
        <c:axPos val="b"/>
        <c:numFmt formatCode="General" sourceLinked="1"/>
        <c:majorTickMark val="out"/>
        <c:minorTickMark val="none"/>
        <c:tickLblPos val="nextTo"/>
        <c:crossAx val="35638656"/>
        <c:crosses val="autoZero"/>
        <c:auto val="1"/>
        <c:lblAlgn val="ctr"/>
        <c:lblOffset val="100"/>
        <c:noMultiLvlLbl val="0"/>
      </c:catAx>
      <c:valAx>
        <c:axId val="35638656"/>
        <c:scaling>
          <c:orientation val="minMax"/>
          <c:min val="0"/>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35637120"/>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02903314186947"/>
          <c:y val="5.4191665901204229E-2"/>
          <c:w val="0.82447365360009317"/>
          <c:h val="0.82353060997812"/>
        </c:manualLayout>
      </c:layout>
      <c:lineChart>
        <c:grouping val="standard"/>
        <c:varyColors val="0"/>
        <c:ser>
          <c:idx val="1"/>
          <c:order val="0"/>
          <c:tx>
            <c:strRef>
              <c:f>Apple!$A$84</c:f>
              <c:strCache>
                <c:ptCount val="1"/>
                <c:pt idx="0">
                  <c:v> 100G </c:v>
                </c:pt>
              </c:strCache>
            </c:strRef>
          </c:tx>
          <c:spPr>
            <a:ln w="25400">
              <a:solidFill>
                <a:srgbClr val="4F81BD"/>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Apple!$B$84:$L$84</c:f>
              <c:numCache>
                <c:formatCode>_(* #,##0_);_(* \(#,##0\);_(* "-"??_);_(@_)</c:formatCode>
                <c:ptCount val="11"/>
                <c:pt idx="0">
                  <c:v>3659.5122550280125</c:v>
                </c:pt>
                <c:pt idx="1">
                  <c:v>3513.9851200000016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DD6-FC4E-9E82-2124D06D99EA}"/>
            </c:ext>
          </c:extLst>
        </c:ser>
        <c:ser>
          <c:idx val="3"/>
          <c:order val="1"/>
          <c:tx>
            <c:strRef>
              <c:f>Apple!$A$85</c:f>
              <c:strCache>
                <c:ptCount val="1"/>
                <c:pt idx="0">
                  <c:v> 200G </c:v>
                </c:pt>
              </c:strCache>
            </c:strRef>
          </c:tx>
          <c:spPr>
            <a:ln w="25400"/>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Apple!$B$85:$L$85</c:f>
              <c:numCache>
                <c:formatCode>_(* #,##0_);_(* \(#,##0\);_(* "-"??_);_(@_)</c:formatCode>
                <c:ptCount val="11"/>
                <c:pt idx="0">
                  <c:v>0</c:v>
                </c:pt>
                <c:pt idx="1">
                  <c:v>2170.8383999999996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DD6-FC4E-9E82-2124D06D99EA}"/>
            </c:ext>
          </c:extLst>
        </c:ser>
        <c:ser>
          <c:idx val="4"/>
          <c:order val="2"/>
          <c:tx>
            <c:strRef>
              <c:f>Apple!$A$86</c:f>
              <c:strCache>
                <c:ptCount val="1"/>
                <c:pt idx="0">
                  <c:v> 400G </c:v>
                </c:pt>
              </c:strCache>
            </c:strRef>
          </c:tx>
          <c:spPr>
            <a:ln w="25400">
              <a:solidFill>
                <a:srgbClr val="C0504D"/>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Apple!$B$86:$L$86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DD6-FC4E-9E82-2124D06D99EA}"/>
            </c:ext>
          </c:extLst>
        </c:ser>
        <c:ser>
          <c:idx val="0"/>
          <c:order val="3"/>
          <c:tx>
            <c:strRef>
              <c:f>Apple!$A$87</c:f>
              <c:strCache>
                <c:ptCount val="1"/>
                <c:pt idx="0">
                  <c:v> 600/800G </c:v>
                </c:pt>
              </c:strCache>
            </c:strRef>
          </c:tx>
          <c:spPr>
            <a:ln w="25400">
              <a:solidFill>
                <a:srgbClr val="9BBB59"/>
              </a:solidFill>
            </a:ln>
          </c:spPr>
          <c:marker>
            <c:symbol val="none"/>
          </c:marker>
          <c:cat>
            <c:numRef>
              <c:f>Apple!$B$74:$L$74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Apple!$B$87:$L$87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6EC-004C-96F4-37E489AF7F09}"/>
            </c:ext>
          </c:extLst>
        </c:ser>
        <c:dLbls>
          <c:showLegendKey val="0"/>
          <c:showVal val="0"/>
          <c:showCatName val="0"/>
          <c:showSerName val="0"/>
          <c:showPercent val="0"/>
          <c:showBubbleSize val="0"/>
        </c:dLbls>
        <c:smooth val="0"/>
        <c:axId val="35754368"/>
        <c:axId val="35755904"/>
      </c:lineChart>
      <c:catAx>
        <c:axId val="35754368"/>
        <c:scaling>
          <c:orientation val="minMax"/>
        </c:scaling>
        <c:delete val="0"/>
        <c:axPos val="b"/>
        <c:numFmt formatCode="General" sourceLinked="1"/>
        <c:majorTickMark val="out"/>
        <c:minorTickMark val="none"/>
        <c:tickLblPos val="nextTo"/>
        <c:crossAx val="35755904"/>
        <c:crosses val="autoZero"/>
        <c:auto val="1"/>
        <c:lblAlgn val="ctr"/>
        <c:lblOffset val="100"/>
        <c:noMultiLvlLbl val="0"/>
      </c:catAx>
      <c:valAx>
        <c:axId val="35755904"/>
        <c:scaling>
          <c:orientation val="minMax"/>
          <c:min val="0"/>
        </c:scaling>
        <c:delete val="0"/>
        <c:axPos val="l"/>
        <c:majorGridlines/>
        <c:title>
          <c:tx>
            <c:rich>
              <a:bodyPr rot="-5400000" vert="horz"/>
              <a:lstStyle/>
              <a:p>
                <a:pPr>
                  <a:defRPr/>
                </a:pPr>
                <a:r>
                  <a:rPr lang="en-US"/>
                  <a:t>Annual units consumed</a:t>
                </a:r>
              </a:p>
            </c:rich>
          </c:tx>
          <c:overlay val="0"/>
        </c:title>
        <c:numFmt formatCode="_(* #,##0_);_(* \(#,##0\);_(* &quot;-&quot;??_);_(@_)" sourceLinked="1"/>
        <c:majorTickMark val="out"/>
        <c:minorTickMark val="none"/>
        <c:tickLblPos val="nextTo"/>
        <c:crossAx val="35754368"/>
        <c:crosses val="autoZero"/>
        <c:crossBetween val="between"/>
      </c:valAx>
    </c:plotArea>
    <c:legend>
      <c:legendPos val="r"/>
      <c:layout>
        <c:manualLayout>
          <c:xMode val="edge"/>
          <c:yMode val="edge"/>
          <c:x val="0.18058738735537272"/>
          <c:y val="7.3445239373745141E-2"/>
          <c:w val="0.19612654156359383"/>
          <c:h val="0.35798686481522307"/>
        </c:manualLayout>
      </c:layout>
      <c:overlay val="0"/>
      <c:spPr>
        <a:solidFill>
          <a:sysClr val="window" lastClr="FFFFFF"/>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25857234964765"/>
          <c:y val="5.1400554097404488E-2"/>
          <c:w val="0.83139699675754464"/>
          <c:h val="0.8326195683872849"/>
        </c:manualLayout>
      </c:layout>
      <c:lineChart>
        <c:grouping val="standard"/>
        <c:varyColors val="0"/>
        <c:ser>
          <c:idx val="0"/>
          <c:order val="0"/>
          <c:tx>
            <c:strRef>
              <c:f>Apple!$A$84</c:f>
              <c:strCache>
                <c:ptCount val="1"/>
                <c:pt idx="0">
                  <c:v> 100G </c:v>
                </c:pt>
              </c:strCache>
            </c:strRef>
          </c:tx>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Apple!$M$84:$W$84</c:f>
              <c:numCache>
                <c:formatCode>_("$"* #,##0_);_("$"* \(#,##0\);_("$"* "-"??_);_(@_)</c:formatCode>
                <c:ptCount val="11"/>
                <c:pt idx="0">
                  <c:v>28.241667846771719</c:v>
                </c:pt>
                <c:pt idx="1">
                  <c:v>20.761219328000006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1EE7-A147-B2A5-7498B2B47166}"/>
            </c:ext>
          </c:extLst>
        </c:ser>
        <c:ser>
          <c:idx val="1"/>
          <c:order val="1"/>
          <c:tx>
            <c:strRef>
              <c:f>Apple!$A$85</c:f>
              <c:strCache>
                <c:ptCount val="1"/>
                <c:pt idx="0">
                  <c:v> 200G </c:v>
                </c:pt>
              </c:strCache>
            </c:strRef>
          </c:tx>
          <c:spPr>
            <a:ln>
              <a:solidFill>
                <a:srgbClr val="F79646"/>
              </a:solidFill>
            </a:ln>
          </c:spPr>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Apple!$M$85:$W$85</c:f>
              <c:numCache>
                <c:formatCode>_("$"* #,##0_);_("$"* \(#,##0\);_("$"* "-"??_);_(@_)</c:formatCode>
                <c:ptCount val="11"/>
                <c:pt idx="0">
                  <c:v>0</c:v>
                </c:pt>
                <c:pt idx="1">
                  <c:v>12.911753192727272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1EE7-A147-B2A5-7498B2B47166}"/>
            </c:ext>
          </c:extLst>
        </c:ser>
        <c:ser>
          <c:idx val="4"/>
          <c:order val="2"/>
          <c:tx>
            <c:strRef>
              <c:f>Apple!$A$86</c:f>
              <c:strCache>
                <c:ptCount val="1"/>
                <c:pt idx="0">
                  <c:v> 400G </c:v>
                </c:pt>
              </c:strCache>
            </c:strRef>
          </c:tx>
          <c:spPr>
            <a:ln>
              <a:solidFill>
                <a:srgbClr val="C0504D"/>
              </a:solidFill>
            </a:ln>
          </c:spPr>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Apple!$M$86:$W$86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1EE7-A147-B2A5-7498B2B47166}"/>
            </c:ext>
          </c:extLst>
        </c:ser>
        <c:ser>
          <c:idx val="2"/>
          <c:order val="3"/>
          <c:tx>
            <c:strRef>
              <c:f>Apple!$A$87</c:f>
              <c:strCache>
                <c:ptCount val="1"/>
                <c:pt idx="0">
                  <c:v> 600/800G </c:v>
                </c:pt>
              </c:strCache>
            </c:strRef>
          </c:tx>
          <c:marker>
            <c:symbol val="none"/>
          </c:marker>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Apple!$M$87:$W$87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1EE7-A147-B2A5-7498B2B47166}"/>
            </c:ext>
          </c:extLst>
        </c:ser>
        <c:dLbls>
          <c:showLegendKey val="0"/>
          <c:showVal val="0"/>
          <c:showCatName val="0"/>
          <c:showSerName val="0"/>
          <c:showPercent val="0"/>
          <c:showBubbleSize val="0"/>
        </c:dLbls>
        <c:smooth val="0"/>
        <c:axId val="35780480"/>
        <c:axId val="35782016"/>
      </c:lineChart>
      <c:catAx>
        <c:axId val="35780480"/>
        <c:scaling>
          <c:orientation val="minMax"/>
        </c:scaling>
        <c:delete val="0"/>
        <c:axPos val="b"/>
        <c:numFmt formatCode="General" sourceLinked="1"/>
        <c:majorTickMark val="out"/>
        <c:minorTickMark val="none"/>
        <c:tickLblPos val="nextTo"/>
        <c:crossAx val="35782016"/>
        <c:crosses val="autoZero"/>
        <c:auto val="1"/>
        <c:lblAlgn val="ctr"/>
        <c:lblOffset val="100"/>
        <c:noMultiLvlLbl val="0"/>
      </c:catAx>
      <c:valAx>
        <c:axId val="35782016"/>
        <c:scaling>
          <c:orientation val="minMax"/>
          <c:min val="0"/>
        </c:scaling>
        <c:delete val="0"/>
        <c:axPos val="l"/>
        <c:majorGridlines/>
        <c:title>
          <c:tx>
            <c:rich>
              <a:bodyPr rot="-5400000" vert="horz"/>
              <a:lstStyle/>
              <a:p>
                <a:pPr>
                  <a:defRPr/>
                </a:pPr>
                <a:r>
                  <a:rPr lang="en-US"/>
                  <a:t>Annual sales</a:t>
                </a:r>
                <a:r>
                  <a:rPr lang="en-US" baseline="0"/>
                  <a:t> ($ mn)</a:t>
                </a:r>
                <a:endParaRPr lang="en-US"/>
              </a:p>
            </c:rich>
          </c:tx>
          <c:layout>
            <c:manualLayout>
              <c:xMode val="edge"/>
              <c:yMode val="edge"/>
              <c:x val="1.160155577339033E-2"/>
              <c:y val="0.25797769123385589"/>
            </c:manualLayout>
          </c:layout>
          <c:overlay val="0"/>
        </c:title>
        <c:numFmt formatCode="_(&quot;$&quot;* #,##0_);_(&quot;$&quot;* \(#,##0\);_(&quot;$&quot;* &quot;-&quot;??_);_(@_)" sourceLinked="1"/>
        <c:majorTickMark val="out"/>
        <c:minorTickMark val="none"/>
        <c:tickLblPos val="nextTo"/>
        <c:crossAx val="35780480"/>
        <c:crosses val="autoZero"/>
        <c:crossBetween val="between"/>
      </c:valAx>
    </c:plotArea>
    <c:legend>
      <c:legendPos val="r"/>
      <c:layout>
        <c:manualLayout>
          <c:xMode val="edge"/>
          <c:yMode val="edge"/>
          <c:x val="0.17449744612705245"/>
          <c:y val="6.8791090395491139E-2"/>
          <c:w val="0.20854011197973099"/>
          <c:h val="0.38168225165230452"/>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Apple!$A$95</c:f>
          <c:strCache>
            <c:ptCount val="1"/>
            <c:pt idx="0">
              <c:v>Ethernet transceivers % of total capex: Apple</c:v>
            </c:pt>
          </c:strCache>
        </c:strRef>
      </c:tx>
      <c:layout>
        <c:manualLayout>
          <c:xMode val="edge"/>
          <c:yMode val="edge"/>
          <c:x val="0.26866335151525539"/>
          <c:y val="1.0148416829756828E-2"/>
        </c:manualLayout>
      </c:layout>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spPr>
            <a:solidFill>
              <a:srgbClr val="0070C0"/>
            </a:solidFill>
          </c:spPr>
          <c:invertIfNegative val="0"/>
          <c:cat>
            <c:numRef>
              <c:f>Apple!$M$92:$W$92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Apple!$M$95:$W$95</c:f>
              <c:numCache>
                <c:formatCode>0.0%</c:formatCode>
                <c:ptCount val="11"/>
                <c:pt idx="0">
                  <c:v>6.1797945976722717E-3</c:v>
                </c:pt>
                <c:pt idx="1">
                  <c:v>9.7185674579568261E-3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D4A-DD4B-8008-9F96313AD34A}"/>
            </c:ext>
          </c:extLst>
        </c:ser>
        <c:dLbls>
          <c:showLegendKey val="0"/>
          <c:showVal val="0"/>
          <c:showCatName val="0"/>
          <c:showSerName val="0"/>
          <c:showPercent val="0"/>
          <c:showBubbleSize val="0"/>
        </c:dLbls>
        <c:gapWidth val="150"/>
        <c:overlap val="100"/>
        <c:axId val="35799040"/>
        <c:axId val="35800576"/>
      </c:barChart>
      <c:catAx>
        <c:axId val="35799040"/>
        <c:scaling>
          <c:orientation val="minMax"/>
        </c:scaling>
        <c:delete val="0"/>
        <c:axPos val="b"/>
        <c:numFmt formatCode="General" sourceLinked="1"/>
        <c:majorTickMark val="out"/>
        <c:minorTickMark val="none"/>
        <c:tickLblPos val="nextTo"/>
        <c:crossAx val="35800576"/>
        <c:crosses val="autoZero"/>
        <c:auto val="1"/>
        <c:lblAlgn val="ctr"/>
        <c:lblOffset val="100"/>
        <c:noMultiLvlLbl val="0"/>
      </c:catAx>
      <c:valAx>
        <c:axId val="35800576"/>
        <c:scaling>
          <c:orientation val="minMax"/>
        </c:scaling>
        <c:delete val="0"/>
        <c:axPos val="l"/>
        <c:majorGridlines/>
        <c:numFmt formatCode="0.0%" sourceLinked="1"/>
        <c:majorTickMark val="out"/>
        <c:minorTickMark val="none"/>
        <c:tickLblPos val="nextTo"/>
        <c:crossAx val="3579904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Apple!$A$97</c:f>
          <c:strCache>
            <c:ptCount val="1"/>
            <c:pt idx="0">
              <c:v>Ethernet&amp;DWDM transceivers % of total capex: Apple</c:v>
            </c:pt>
          </c:strCache>
        </c:strRef>
      </c:tx>
      <c:overlay val="1"/>
      <c:txPr>
        <a:bodyPr/>
        <a:lstStyle/>
        <a:p>
          <a:pPr>
            <a:defRPr sz="1200"/>
          </a:pPr>
          <a:endParaRPr lang="en-US"/>
        </a:p>
      </c:txPr>
    </c:title>
    <c:autoTitleDeleted val="0"/>
    <c:plotArea>
      <c:layout>
        <c:manualLayout>
          <c:layoutTarget val="inner"/>
          <c:xMode val="edge"/>
          <c:yMode val="edge"/>
          <c:x val="9.3825740296316865E-2"/>
          <c:y val="9.7703988401466685E-2"/>
          <c:w val="0.870580927384077"/>
          <c:h val="0.79095290172061827"/>
        </c:manualLayout>
      </c:layout>
      <c:barChart>
        <c:barDir val="col"/>
        <c:grouping val="stacked"/>
        <c:varyColors val="0"/>
        <c:ser>
          <c:idx val="2"/>
          <c:order val="0"/>
          <c:tx>
            <c:v>Ethernet</c:v>
          </c:tx>
          <c:spPr>
            <a:solidFill>
              <a:srgbClr val="0070C0"/>
            </a:solidFill>
          </c:spPr>
          <c:invertIfNegative val="0"/>
          <c:cat>
            <c:numRef>
              <c:f>Apple!$M$92:$W$92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Apple!$M$95:$W$95</c:f>
              <c:numCache>
                <c:formatCode>0.0%</c:formatCode>
                <c:ptCount val="11"/>
                <c:pt idx="0">
                  <c:v>6.1797945976722717E-3</c:v>
                </c:pt>
                <c:pt idx="1">
                  <c:v>9.7185674579568261E-3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Apple!$M$92:$W$92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Apple!$M$96:$W$96</c:f>
              <c:numCache>
                <c:formatCode>0.0%</c:formatCode>
                <c:ptCount val="11"/>
                <c:pt idx="0">
                  <c:v>2.1376833395921726E-3</c:v>
                </c:pt>
                <c:pt idx="1">
                  <c:v>3.7972954262163526E-3</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08-994E-A98B-7C56359448A1}"/>
            </c:ext>
          </c:extLst>
        </c:ser>
        <c:dLbls>
          <c:showLegendKey val="0"/>
          <c:showVal val="0"/>
          <c:showCatName val="0"/>
          <c:showSerName val="0"/>
          <c:showPercent val="0"/>
          <c:showBubbleSize val="0"/>
        </c:dLbls>
        <c:gapWidth val="150"/>
        <c:overlap val="100"/>
        <c:axId val="35830400"/>
        <c:axId val="35926400"/>
      </c:barChart>
      <c:catAx>
        <c:axId val="35830400"/>
        <c:scaling>
          <c:orientation val="minMax"/>
        </c:scaling>
        <c:delete val="0"/>
        <c:axPos val="b"/>
        <c:numFmt formatCode="General" sourceLinked="1"/>
        <c:majorTickMark val="out"/>
        <c:minorTickMark val="none"/>
        <c:tickLblPos val="nextTo"/>
        <c:crossAx val="35926400"/>
        <c:crosses val="autoZero"/>
        <c:auto val="1"/>
        <c:lblAlgn val="ctr"/>
        <c:lblOffset val="100"/>
        <c:noMultiLvlLbl val="0"/>
      </c:catAx>
      <c:valAx>
        <c:axId val="35926400"/>
        <c:scaling>
          <c:orientation val="minMax"/>
        </c:scaling>
        <c:delete val="0"/>
        <c:axPos val="l"/>
        <c:majorGridlines/>
        <c:numFmt formatCode="0.0%" sourceLinked="1"/>
        <c:majorTickMark val="out"/>
        <c:minorTickMark val="none"/>
        <c:tickLblPos val="nextTo"/>
        <c:crossAx val="35830400"/>
        <c:crosses val="autoZero"/>
        <c:crossBetween val="between"/>
      </c:valAx>
    </c:plotArea>
    <c:legend>
      <c:legendPos val="t"/>
      <c:layout>
        <c:manualLayout>
          <c:xMode val="edge"/>
          <c:yMode val="edge"/>
          <c:x val="0.35555028858168547"/>
          <c:y val="0.14374032253765745"/>
          <c:w val="0.29714206793225995"/>
          <c:h val="8.3846574274169791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98669984904737"/>
          <c:y val="5.3512161412456336E-2"/>
          <c:w val="0.82359981232915835"/>
          <c:h val="0.85100374953130864"/>
        </c:manualLayout>
      </c:layout>
      <c:barChart>
        <c:barDir val="col"/>
        <c:grouping val="stacked"/>
        <c:varyColors val="0"/>
        <c:ser>
          <c:idx val="2"/>
          <c:order val="0"/>
          <c:tx>
            <c:v>Ethernet</c:v>
          </c:tx>
          <c:spPr>
            <a:solidFill>
              <a:srgbClr val="0070C0"/>
            </a:solidFill>
            <a:ln>
              <a:solidFill>
                <a:schemeClr val="accent1"/>
              </a:solidFill>
            </a:ln>
          </c:spPr>
          <c:invertIfNegative val="0"/>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Apple!$M$81:$W$81</c:f>
              <c:numCache>
                <c:formatCode>_("$"* #,##0_);_("$"* \(#,##0\);_("$"* "-"??_);_(@_)</c:formatCode>
                <c:ptCount val="11"/>
                <c:pt idx="0">
                  <c:v>85.639593534542342</c:v>
                </c:pt>
                <c:pt idx="1">
                  <c:v>89.867593283726777</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E29-BF4F-8071-E75492A04F2C}"/>
            </c:ext>
          </c:extLst>
        </c:ser>
        <c:ser>
          <c:idx val="0"/>
          <c:order val="1"/>
          <c:tx>
            <c:v>DWDM</c:v>
          </c:tx>
          <c:spPr>
            <a:solidFill>
              <a:srgbClr val="C00000"/>
            </a:solidFill>
            <a:ln>
              <a:solidFill>
                <a:srgbClr val="C00000"/>
              </a:solidFill>
            </a:ln>
          </c:spPr>
          <c:invertIfNegative val="0"/>
          <c:cat>
            <c:numRef>
              <c:f>Apple!$M$74:$W$74</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Apple!$M$89:$W$89</c:f>
              <c:numCache>
                <c:formatCode>_("$"* #,##0_);_("$"* \(#,##0\);_("$"* "-"??_);_(@_)</c:formatCode>
                <c:ptCount val="11"/>
                <c:pt idx="0">
                  <c:v>29.624015720068329</c:v>
                </c:pt>
                <c:pt idx="1">
                  <c:v>35.113590806222611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E29-BF4F-8071-E75492A04F2C}"/>
            </c:ext>
          </c:extLst>
        </c:ser>
        <c:dLbls>
          <c:showLegendKey val="0"/>
          <c:showVal val="0"/>
          <c:showCatName val="0"/>
          <c:showSerName val="0"/>
          <c:showPercent val="0"/>
          <c:showBubbleSize val="0"/>
        </c:dLbls>
        <c:gapWidth val="150"/>
        <c:overlap val="100"/>
        <c:axId val="35936128"/>
        <c:axId val="35937664"/>
      </c:barChart>
      <c:catAx>
        <c:axId val="35936128"/>
        <c:scaling>
          <c:orientation val="minMax"/>
        </c:scaling>
        <c:delete val="0"/>
        <c:axPos val="b"/>
        <c:numFmt formatCode="General" sourceLinked="1"/>
        <c:majorTickMark val="out"/>
        <c:minorTickMark val="none"/>
        <c:tickLblPos val="nextTo"/>
        <c:crossAx val="35937664"/>
        <c:crosses val="autoZero"/>
        <c:auto val="1"/>
        <c:lblAlgn val="ctr"/>
        <c:lblOffset val="100"/>
        <c:noMultiLvlLbl val="0"/>
      </c:catAx>
      <c:valAx>
        <c:axId val="35937664"/>
        <c:scaling>
          <c:orientation val="minMax"/>
        </c:scaling>
        <c:delete val="0"/>
        <c:axPos val="l"/>
        <c:majorGridlines/>
        <c:title>
          <c:tx>
            <c:rich>
              <a:bodyPr/>
              <a:lstStyle/>
              <a:p>
                <a:pPr>
                  <a:defRPr/>
                </a:pPr>
                <a:r>
                  <a:rPr lang="en-US"/>
                  <a:t>Sales ($ mn)</a:t>
                </a:r>
              </a:p>
            </c:rich>
          </c:tx>
          <c:layout>
            <c:manualLayout>
              <c:xMode val="edge"/>
              <c:yMode val="edge"/>
              <c:x val="8.4266137683946304E-3"/>
              <c:y val="0.40451169907079149"/>
            </c:manualLayout>
          </c:layout>
          <c:overlay val="0"/>
        </c:title>
        <c:numFmt formatCode="_(&quot;$&quot;* #,##0_);_(&quot;$&quot;* \(#,##0\);_(&quot;$&quot;* &quot;-&quot;??_);_(@_)" sourceLinked="1"/>
        <c:majorTickMark val="out"/>
        <c:minorTickMark val="none"/>
        <c:tickLblPos val="nextTo"/>
        <c:crossAx val="35936128"/>
        <c:crosses val="autoZero"/>
        <c:crossBetween val="between"/>
      </c:valAx>
    </c:plotArea>
    <c:legend>
      <c:legendPos val="t"/>
      <c:layout>
        <c:manualLayout>
          <c:xMode val="edge"/>
          <c:yMode val="edge"/>
          <c:x val="0.36368924964071009"/>
          <c:y val="5.7528081501660645E-2"/>
          <c:w val="0.29784891605772928"/>
          <c:h val="0.13349777960219428"/>
        </c:manualLayout>
      </c:layout>
      <c:overlay val="0"/>
      <c:spPr>
        <a:solidFill>
          <a:schemeClr val="bg1"/>
        </a:solidFill>
        <a:ln>
          <a:solidFill>
            <a:schemeClr val="bg1">
              <a:lumMod val="50000"/>
            </a:schemeClr>
          </a:solidFill>
        </a:ln>
      </c:spPr>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Alibaba</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Alibaba!$A$119</c:f>
              <c:strCache>
                <c:ptCount val="1"/>
                <c:pt idx="0">
                  <c:v>Ethernet</c:v>
                </c:pt>
              </c:strCache>
            </c:strRef>
          </c:tx>
          <c:cat>
            <c:numRef>
              <c:f>Alibaba!$C$119:$L$119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Alibaba!$C$122:$L$122</c:f>
              <c:numCache>
                <c:formatCode>0%</c:formatCode>
                <c:ptCount val="10"/>
                <c:pt idx="0">
                  <c:v>0.72004176103542328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Alibaba!$A$124</c:f>
              <c:strCache>
                <c:ptCount val="1"/>
                <c:pt idx="0">
                  <c:v>DWDM</c:v>
                </c:pt>
              </c:strCache>
            </c:strRef>
          </c:tx>
          <c:dPt>
            <c:idx val="0"/>
            <c:marker>
              <c:symbol val="square"/>
              <c:size val="5"/>
            </c:marker>
            <c:bubble3D val="0"/>
            <c:extLst>
              <c:ext xmlns:c16="http://schemas.microsoft.com/office/drawing/2014/chart" uri="{C3380CC4-5D6E-409C-BE32-E72D297353CC}">
                <c16:uniqueId val="{00000000-DB36-BC44-A3AB-3C32F139525A}"/>
              </c:ext>
            </c:extLst>
          </c:dPt>
          <c:cat>
            <c:numRef>
              <c:f>Alibaba!$C$119:$L$119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Alibaba!$C$127:$L$127</c:f>
              <c:numCache>
                <c:formatCode>0%</c:formatCode>
                <c:ptCount val="10"/>
                <c:pt idx="0">
                  <c:v>0.58740826267388968</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38586624"/>
        <c:axId val="38592512"/>
      </c:lineChart>
      <c:catAx>
        <c:axId val="38586624"/>
        <c:scaling>
          <c:orientation val="minMax"/>
        </c:scaling>
        <c:delete val="0"/>
        <c:axPos val="b"/>
        <c:numFmt formatCode="General" sourceLinked="1"/>
        <c:majorTickMark val="out"/>
        <c:minorTickMark val="none"/>
        <c:tickLblPos val="nextTo"/>
        <c:crossAx val="38592512"/>
        <c:crosses val="autoZero"/>
        <c:auto val="1"/>
        <c:lblAlgn val="ctr"/>
        <c:lblOffset val="100"/>
        <c:noMultiLvlLbl val="0"/>
      </c:catAx>
      <c:valAx>
        <c:axId val="38592512"/>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38586624"/>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038442984849113"/>
          <c:y val="5.1400554097404488E-2"/>
          <c:w val="0.7932712461062259"/>
          <c:h val="0.8326195683872849"/>
        </c:manualLayout>
      </c:layout>
      <c:lineChart>
        <c:grouping val="standard"/>
        <c:varyColors val="0"/>
        <c:ser>
          <c:idx val="0"/>
          <c:order val="0"/>
          <c:tx>
            <c:strRef>
              <c:f>Alibaba!$A$95</c:f>
              <c:strCache>
                <c:ptCount val="1"/>
                <c:pt idx="0">
                  <c:v> 100G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Alibaba!$B$95:$L$95</c:f>
              <c:numCache>
                <c:formatCode>_(* #,##0_);_(* \(#,##0\);_(* "-"??_);_(@_)</c:formatCode>
                <c:ptCount val="11"/>
                <c:pt idx="0">
                  <c:v>423072.86441769614</c:v>
                </c:pt>
                <c:pt idx="1">
                  <c:v>667400.3647235001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4DD7-E447-A3B9-3684A1A6746F}"/>
            </c:ext>
          </c:extLst>
        </c:ser>
        <c:ser>
          <c:idx val="1"/>
          <c:order val="1"/>
          <c:tx>
            <c:strRef>
              <c:f>Alibaba!$A$96</c:f>
              <c:strCache>
                <c:ptCount val="1"/>
                <c:pt idx="0">
                  <c:v> 200G </c:v>
                </c:pt>
              </c:strCache>
            </c:strRef>
          </c:tx>
          <c:spPr>
            <a:ln>
              <a:solidFill>
                <a:srgbClr val="F79646"/>
              </a:solidFill>
            </a:ln>
          </c:spPr>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Alibaba!$B$96:$L$96</c:f>
              <c:numCache>
                <c:formatCode>_(* #,##0_);_(* \(#,##0\);_(* "-"??_);_(@_)</c:formatCode>
                <c:ptCount val="11"/>
                <c:pt idx="0">
                  <c:v>300</c:v>
                </c:pt>
                <c:pt idx="1">
                  <c:v>2500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4DD7-E447-A3B9-3684A1A6746F}"/>
            </c:ext>
          </c:extLst>
        </c:ser>
        <c:ser>
          <c:idx val="4"/>
          <c:order val="2"/>
          <c:tx>
            <c:strRef>
              <c:f>Alibaba!$A$97</c:f>
              <c:strCache>
                <c:ptCount val="1"/>
                <c:pt idx="0">
                  <c:v> 400G </c:v>
                </c:pt>
              </c:strCache>
            </c:strRef>
          </c:tx>
          <c:spPr>
            <a:ln>
              <a:solidFill>
                <a:srgbClr val="C0504D"/>
              </a:solidFill>
            </a:ln>
          </c:spPr>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Alibaba!$B$97:$L$97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DD7-E447-A3B9-3684A1A6746F}"/>
            </c:ext>
          </c:extLst>
        </c:ser>
        <c:ser>
          <c:idx val="2"/>
          <c:order val="3"/>
          <c:tx>
            <c:strRef>
              <c:f>Alibaba!$A$98</c:f>
              <c:strCache>
                <c:ptCount val="1"/>
                <c:pt idx="0">
                  <c:v> 800G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Alibaba!$B$98:$L$98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4DD7-E447-A3B9-3684A1A6746F}"/>
            </c:ext>
          </c:extLst>
        </c:ser>
        <c:ser>
          <c:idx val="3"/>
          <c:order val="4"/>
          <c:tx>
            <c:strRef>
              <c:f>Alibaba!$A$99</c:f>
              <c:strCache>
                <c:ptCount val="1"/>
                <c:pt idx="0">
                  <c:v> 1.6T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Alibaba!$B$99:$L$99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4DD7-E447-A3B9-3684A1A6746F}"/>
            </c:ext>
          </c:extLst>
        </c:ser>
        <c:dLbls>
          <c:showLegendKey val="0"/>
          <c:showVal val="0"/>
          <c:showCatName val="0"/>
          <c:showSerName val="0"/>
          <c:showPercent val="0"/>
          <c:showBubbleSize val="0"/>
        </c:dLbls>
        <c:smooth val="0"/>
        <c:axId val="38643200"/>
        <c:axId val="38644736"/>
      </c:lineChart>
      <c:catAx>
        <c:axId val="38643200"/>
        <c:scaling>
          <c:orientation val="minMax"/>
        </c:scaling>
        <c:delete val="0"/>
        <c:axPos val="b"/>
        <c:numFmt formatCode="General" sourceLinked="1"/>
        <c:majorTickMark val="out"/>
        <c:minorTickMark val="none"/>
        <c:tickLblPos val="nextTo"/>
        <c:crossAx val="38644736"/>
        <c:crosses val="autoZero"/>
        <c:auto val="1"/>
        <c:lblAlgn val="ctr"/>
        <c:lblOffset val="100"/>
        <c:noMultiLvlLbl val="0"/>
      </c:catAx>
      <c:valAx>
        <c:axId val="38644736"/>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38643200"/>
        <c:crosses val="autoZero"/>
        <c:crossBetween val="between"/>
      </c:valAx>
    </c:plotArea>
    <c:legend>
      <c:legendPos val="r"/>
      <c:layout>
        <c:manualLayout>
          <c:xMode val="edge"/>
          <c:yMode val="edge"/>
          <c:x val="0.20840364706938277"/>
          <c:y val="6.3886875732228968E-2"/>
          <c:w val="0.13925848153546636"/>
          <c:h val="0.30813446482402457"/>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2022 DWDM transceiver sales by segment: $4.16 bn total</a:t>
            </a:r>
          </a:p>
        </c:rich>
      </c:tx>
      <c:layout>
        <c:manualLayout>
          <c:xMode val="edge"/>
          <c:yMode val="edge"/>
          <c:x val="0.20795596798782112"/>
          <c:y val="1.8245011832919749E-2"/>
        </c:manualLayout>
      </c:layout>
      <c:overlay val="1"/>
    </c:title>
    <c:autoTitleDeleted val="0"/>
    <c:plotArea>
      <c:layout>
        <c:manualLayout>
          <c:layoutTarget val="inner"/>
          <c:xMode val="edge"/>
          <c:yMode val="edge"/>
          <c:x val="0.28222927860408609"/>
          <c:y val="0.2393309779230568"/>
          <c:w val="0.50179218213796539"/>
          <c:h val="0.67683103778201947"/>
        </c:manualLayout>
      </c:layout>
      <c:pieChart>
        <c:varyColors val="1"/>
        <c:ser>
          <c:idx val="0"/>
          <c:order val="0"/>
          <c:spPr>
            <a:solidFill>
              <a:srgbClr val="C00000"/>
            </a:solidFill>
          </c:spPr>
          <c:dPt>
            <c:idx val="0"/>
            <c:bubble3D val="0"/>
            <c:extLst>
              <c:ext xmlns:c16="http://schemas.microsoft.com/office/drawing/2014/chart" uri="{C3380CC4-5D6E-409C-BE32-E72D297353CC}">
                <c16:uniqueId val="{00000000-264A-4D44-9A75-AAF390D4A3AA}"/>
              </c:ext>
            </c:extLst>
          </c:dPt>
          <c:dPt>
            <c:idx val="1"/>
            <c:bubble3D val="0"/>
            <c:spPr>
              <a:solidFill>
                <a:srgbClr val="92D050"/>
              </a:solidFill>
            </c:spPr>
            <c:extLst>
              <c:ext xmlns:c16="http://schemas.microsoft.com/office/drawing/2014/chart" uri="{C3380CC4-5D6E-409C-BE32-E72D297353CC}">
                <c16:uniqueId val="{00000002-264A-4D44-9A75-AAF390D4A3AA}"/>
              </c:ext>
            </c:extLst>
          </c:dPt>
          <c:dPt>
            <c:idx val="2"/>
            <c:bubble3D val="0"/>
            <c:spPr>
              <a:solidFill>
                <a:schemeClr val="accent1"/>
              </a:solidFill>
            </c:spPr>
            <c:extLst>
              <c:ext xmlns:c16="http://schemas.microsoft.com/office/drawing/2014/chart" uri="{C3380CC4-5D6E-409C-BE32-E72D297353CC}">
                <c16:uniqueId val="{00000004-264A-4D44-9A75-AAF390D4A3AA}"/>
              </c:ext>
            </c:extLst>
          </c:dPt>
          <c:dLbls>
            <c:dLbl>
              <c:idx val="0"/>
              <c:layout>
                <c:manualLayout>
                  <c:x val="8.5668294352425095E-2"/>
                  <c:y val="-0.139878424052384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64A-4D44-9A75-AAF390D4A3AA}"/>
                </c:ext>
              </c:extLst>
            </c:dLbl>
            <c:dLbl>
              <c:idx val="1"/>
              <c:tx>
                <c:rich>
                  <a:bodyPr/>
                  <a:lstStyle/>
                  <a:p>
                    <a:r>
                      <a:rPr lang="en-US" sz="900" b="0"/>
                      <a:t>Enterprise
4%</a:t>
                    </a:r>
                    <a:endParaRPr lang="en-US"/>
                  </a:p>
                </c:rich>
              </c:tx>
              <c:dLblPos val="outEnd"/>
              <c:showLegendKey val="0"/>
              <c:showVal val="0"/>
              <c:showCatName val="1"/>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2-264A-4D44-9A75-AAF390D4A3AA}"/>
                </c:ext>
              </c:extLst>
            </c:dLbl>
            <c:dLbl>
              <c:idx val="2"/>
              <c:layout>
                <c:manualLayout>
                  <c:x val="-0.11272143993740141"/>
                  <c:y val="0.194613459551143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64A-4D44-9A75-AAF390D4A3AA}"/>
                </c:ext>
              </c:extLst>
            </c:dLbl>
            <c:spPr>
              <a:noFill/>
              <a:ln>
                <a:noFill/>
              </a:ln>
              <a:effectLst/>
            </c:spPr>
            <c:txPr>
              <a:bodyPr/>
              <a:lstStyle/>
              <a:p>
                <a:pPr>
                  <a:defRPr sz="900" b="0"/>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'Figures in the Report'!$I$119:$I$121</c:f>
              <c:strCache>
                <c:ptCount val="3"/>
                <c:pt idx="0">
                  <c:v>Cloud</c:v>
                </c:pt>
                <c:pt idx="1">
                  <c:v>Enterprise</c:v>
                </c:pt>
                <c:pt idx="2">
                  <c:v>Telecom</c:v>
                </c:pt>
              </c:strCache>
            </c:strRef>
          </c:cat>
          <c:val>
            <c:numRef>
              <c:f>'Figures in the Report'!$K$119:$K$121</c:f>
              <c:numCache>
                <c:formatCode>0%</c:formatCode>
                <c:ptCount val="3"/>
                <c:pt idx="0">
                  <c:v>0</c:v>
                </c:pt>
                <c:pt idx="1">
                  <c:v>0</c:v>
                </c:pt>
                <c:pt idx="2">
                  <c:v>0</c:v>
                </c:pt>
              </c:numCache>
            </c:numRef>
          </c:val>
          <c:extLst>
            <c:ext xmlns:c16="http://schemas.microsoft.com/office/drawing/2014/chart" uri="{C3380CC4-5D6E-409C-BE32-E72D297353CC}">
              <c16:uniqueId val="{00000005-264A-4D44-9A75-AAF390D4A3AA}"/>
            </c:ext>
          </c:extLst>
        </c:ser>
        <c:dLbls>
          <c:showLegendKey val="0"/>
          <c:showVal val="1"/>
          <c:showCatName val="0"/>
          <c:showSerName val="0"/>
          <c:showPercent val="0"/>
          <c:showBubbleSize val="0"/>
          <c:showLeaderLines val="0"/>
        </c:dLbls>
        <c:firstSliceAng val="79"/>
      </c:pieChart>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8048944009046"/>
          <c:y val="5.1400554097404488E-2"/>
          <c:w val="0.84685088497122318"/>
          <c:h val="0.8326195683872849"/>
        </c:manualLayout>
      </c:layout>
      <c:lineChart>
        <c:grouping val="standard"/>
        <c:varyColors val="0"/>
        <c:ser>
          <c:idx val="0"/>
          <c:order val="0"/>
          <c:tx>
            <c:strRef>
              <c:f>Alibaba!$A$95</c:f>
              <c:strCache>
                <c:ptCount val="1"/>
                <c:pt idx="0">
                  <c:v> 100G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Alibaba!$M$95:$W$95</c:f>
              <c:numCache>
                <c:formatCode>_("$"* #,##0_);_("$"* \(#,##0\);_("$"* "-"??_);_(@_)</c:formatCode>
                <c:ptCount val="11"/>
                <c:pt idx="0">
                  <c:v>105.84114460029724</c:v>
                </c:pt>
                <c:pt idx="1">
                  <c:v>96.162593214576916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B892-9D42-81B0-E368C34AC841}"/>
            </c:ext>
          </c:extLst>
        </c:ser>
        <c:ser>
          <c:idx val="1"/>
          <c:order val="1"/>
          <c:tx>
            <c:strRef>
              <c:f>Alibaba!$A$96</c:f>
              <c:strCache>
                <c:ptCount val="1"/>
                <c:pt idx="0">
                  <c:v> 200G </c:v>
                </c:pt>
              </c:strCache>
            </c:strRef>
          </c:tx>
          <c:spPr>
            <a:ln>
              <a:solidFill>
                <a:srgbClr val="F79646"/>
              </a:solidFill>
            </a:ln>
          </c:spPr>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Alibaba!$M$96:$W$96</c:f>
              <c:numCache>
                <c:formatCode>_("$"* #,##0_);_("$"* \(#,##0\);_("$"* "-"??_);_(@_)</c:formatCode>
                <c:ptCount val="11"/>
                <c:pt idx="0">
                  <c:v>0.21</c:v>
                </c:pt>
                <c:pt idx="1">
                  <c:v>1.5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B892-9D42-81B0-E368C34AC841}"/>
            </c:ext>
          </c:extLst>
        </c:ser>
        <c:ser>
          <c:idx val="4"/>
          <c:order val="2"/>
          <c:tx>
            <c:strRef>
              <c:f>Alibaba!$A$97</c:f>
              <c:strCache>
                <c:ptCount val="1"/>
                <c:pt idx="0">
                  <c:v> 400G </c:v>
                </c:pt>
              </c:strCache>
            </c:strRef>
          </c:tx>
          <c:spPr>
            <a:ln>
              <a:solidFill>
                <a:srgbClr val="C0504D"/>
              </a:solidFill>
            </a:ln>
          </c:spPr>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Alibaba!$M$97:$W$97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B892-9D42-81B0-E368C34AC841}"/>
            </c:ext>
          </c:extLst>
        </c:ser>
        <c:ser>
          <c:idx val="2"/>
          <c:order val="3"/>
          <c:tx>
            <c:strRef>
              <c:f>Alibaba!$A$98</c:f>
              <c:strCache>
                <c:ptCount val="1"/>
                <c:pt idx="0">
                  <c:v> 800G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Alibaba!$M$98:$W$98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B892-9D42-81B0-E368C34AC841}"/>
            </c:ext>
          </c:extLst>
        </c:ser>
        <c:ser>
          <c:idx val="3"/>
          <c:order val="4"/>
          <c:tx>
            <c:strRef>
              <c:f>Alibaba!$A$99</c:f>
              <c:strCache>
                <c:ptCount val="1"/>
                <c:pt idx="0">
                  <c:v> 1.6T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Alibaba!$M$99:$W$99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B892-9D42-81B0-E368C34AC841}"/>
            </c:ext>
          </c:extLst>
        </c:ser>
        <c:dLbls>
          <c:showLegendKey val="0"/>
          <c:showVal val="0"/>
          <c:showCatName val="0"/>
          <c:showSerName val="0"/>
          <c:showPercent val="0"/>
          <c:showBubbleSize val="0"/>
        </c:dLbls>
        <c:smooth val="0"/>
        <c:axId val="55931264"/>
        <c:axId val="55932800"/>
      </c:lineChart>
      <c:catAx>
        <c:axId val="55931264"/>
        <c:scaling>
          <c:orientation val="minMax"/>
        </c:scaling>
        <c:delete val="0"/>
        <c:axPos val="b"/>
        <c:numFmt formatCode="General" sourceLinked="1"/>
        <c:majorTickMark val="out"/>
        <c:minorTickMark val="none"/>
        <c:tickLblPos val="nextTo"/>
        <c:crossAx val="55932800"/>
        <c:crosses val="autoZero"/>
        <c:auto val="1"/>
        <c:lblAlgn val="ctr"/>
        <c:lblOffset val="100"/>
        <c:noMultiLvlLbl val="0"/>
      </c:catAx>
      <c:valAx>
        <c:axId val="55932800"/>
        <c:scaling>
          <c:orientation val="minMax"/>
          <c:min val="0"/>
        </c:scaling>
        <c:delete val="0"/>
        <c:axPos val="l"/>
        <c:majorGridlines/>
        <c:title>
          <c:tx>
            <c:rich>
              <a:bodyPr rot="-5400000" vert="horz"/>
              <a:lstStyle/>
              <a:p>
                <a:pPr>
                  <a:defRPr/>
                </a:pPr>
                <a:r>
                  <a:rPr lang="en-US"/>
                  <a:t>Annaul sales ($ mn)</a:t>
                </a:r>
              </a:p>
            </c:rich>
          </c:tx>
          <c:layout>
            <c:manualLayout>
              <c:xMode val="edge"/>
              <c:yMode val="edge"/>
              <c:x val="1.3585665294649362E-2"/>
              <c:y val="0.26785454402271114"/>
            </c:manualLayout>
          </c:layout>
          <c:overlay val="0"/>
        </c:title>
        <c:numFmt formatCode="_(&quot;$&quot;* #,##0_);_(&quot;$&quot;* \(#,##0\);_(&quot;$&quot;* &quot;-&quot;??_);_(@_)" sourceLinked="1"/>
        <c:majorTickMark val="out"/>
        <c:minorTickMark val="none"/>
        <c:tickLblPos val="nextTo"/>
        <c:crossAx val="55931264"/>
        <c:crosses val="autoZero"/>
        <c:crossBetween val="between"/>
      </c:valAx>
    </c:plotArea>
    <c:legend>
      <c:legendPos val="r"/>
      <c:layout>
        <c:manualLayout>
          <c:xMode val="edge"/>
          <c:yMode val="edge"/>
          <c:x val="0.15744744023528159"/>
          <c:y val="6.8789672207151889E-2"/>
          <c:w val="0.33521338489718661"/>
          <c:h val="0.20517926056777075"/>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122160717623772"/>
          <c:y val="5.1400554097404488E-2"/>
          <c:w val="0.84243418703487494"/>
          <c:h val="0.8326195683872849"/>
        </c:manualLayout>
      </c:layout>
      <c:lineChart>
        <c:grouping val="standard"/>
        <c:varyColors val="0"/>
        <c:ser>
          <c:idx val="0"/>
          <c:order val="0"/>
          <c:tx>
            <c:strRef>
              <c:f>Alibaba!$A$103</c:f>
              <c:strCache>
                <c:ptCount val="1"/>
                <c:pt idx="0">
                  <c:v> 100G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Alibaba!$B$103:$L$103</c:f>
              <c:numCache>
                <c:formatCode>_(* #,##0_);_(* \(#,##0\);_(* "-"??_);_(@_)</c:formatCode>
                <c:ptCount val="11"/>
                <c:pt idx="0">
                  <c:v>4967.9696596638641</c:v>
                </c:pt>
                <c:pt idx="1">
                  <c:v>4416.4039999999995</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F11-1942-9D08-A32F6BB8DAF7}"/>
            </c:ext>
          </c:extLst>
        </c:ser>
        <c:ser>
          <c:idx val="1"/>
          <c:order val="1"/>
          <c:tx>
            <c:strRef>
              <c:f>Alibaba!$A$104</c:f>
              <c:strCache>
                <c:ptCount val="1"/>
                <c:pt idx="0">
                  <c:v> 200G </c:v>
                </c:pt>
              </c:strCache>
            </c:strRef>
          </c:tx>
          <c:spPr>
            <a:ln>
              <a:solidFill>
                <a:srgbClr val="F79646"/>
              </a:solidFill>
            </a:ln>
          </c:spPr>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Alibaba!$B$104:$L$104</c:f>
              <c:numCache>
                <c:formatCode>_(* #,##0_);_(* \(#,##0\);_(* "-"??_);_(@_)</c:formatCode>
                <c:ptCount val="11"/>
                <c:pt idx="0">
                  <c:v>638.09631147540972</c:v>
                </c:pt>
                <c:pt idx="1">
                  <c:v>2713.5480000000007</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F11-1942-9D08-A32F6BB8DAF7}"/>
            </c:ext>
          </c:extLst>
        </c:ser>
        <c:ser>
          <c:idx val="4"/>
          <c:order val="2"/>
          <c:tx>
            <c:strRef>
              <c:f>Alibaba!$A$105</c:f>
              <c:strCache>
                <c:ptCount val="1"/>
                <c:pt idx="0">
                  <c:v> 400G </c:v>
                </c:pt>
              </c:strCache>
            </c:strRef>
          </c:tx>
          <c:spPr>
            <a:ln>
              <a:solidFill>
                <a:srgbClr val="C0504D"/>
              </a:solidFill>
            </a:ln>
          </c:spPr>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Alibaba!$B$105:$L$105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F11-1942-9D08-A32F6BB8DAF7}"/>
            </c:ext>
          </c:extLst>
        </c:ser>
        <c:ser>
          <c:idx val="2"/>
          <c:order val="3"/>
          <c:tx>
            <c:strRef>
              <c:f>Alibaba!$A$106</c:f>
              <c:strCache>
                <c:ptCount val="1"/>
                <c:pt idx="0">
                  <c:v> 600/800G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Alibaba!$B$106:$L$106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F11-1942-9D08-A32F6BB8DAF7}"/>
            </c:ext>
          </c:extLst>
        </c:ser>
        <c:ser>
          <c:idx val="3"/>
          <c:order val="4"/>
          <c:tx>
            <c:strRef>
              <c:f>Alibaba!$A$107</c:f>
              <c:strCache>
                <c:ptCount val="1"/>
                <c:pt idx="0">
                  <c:v> 1.2/1.6T </c:v>
                </c:pt>
              </c:strCache>
            </c:strRef>
          </c:tx>
          <c:marker>
            <c:symbol val="none"/>
          </c:marker>
          <c:cat>
            <c:numRef>
              <c:f>Alibaba!$B$93:$L$93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Alibaba!$B$107:$L$107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F11-1942-9D08-A32F6BB8DAF7}"/>
            </c:ext>
          </c:extLst>
        </c:ser>
        <c:dLbls>
          <c:showLegendKey val="0"/>
          <c:showVal val="0"/>
          <c:showCatName val="0"/>
          <c:showSerName val="0"/>
          <c:showPercent val="0"/>
          <c:showBubbleSize val="0"/>
        </c:dLbls>
        <c:smooth val="0"/>
        <c:axId val="56482816"/>
        <c:axId val="56484608"/>
      </c:lineChart>
      <c:catAx>
        <c:axId val="56482816"/>
        <c:scaling>
          <c:orientation val="minMax"/>
        </c:scaling>
        <c:delete val="0"/>
        <c:axPos val="b"/>
        <c:numFmt formatCode="General" sourceLinked="1"/>
        <c:majorTickMark val="out"/>
        <c:minorTickMark val="none"/>
        <c:tickLblPos val="nextTo"/>
        <c:crossAx val="56484608"/>
        <c:crosses val="autoZero"/>
        <c:auto val="1"/>
        <c:lblAlgn val="ctr"/>
        <c:lblOffset val="100"/>
        <c:noMultiLvlLbl val="0"/>
      </c:catAx>
      <c:valAx>
        <c:axId val="56484608"/>
        <c:scaling>
          <c:orientation val="minMax"/>
          <c:min val="0"/>
        </c:scaling>
        <c:delete val="0"/>
        <c:axPos val="l"/>
        <c:majorGridlines/>
        <c:title>
          <c:tx>
            <c:rich>
              <a:bodyPr rot="-5400000" vert="horz"/>
              <a:lstStyle/>
              <a:p>
                <a:pPr>
                  <a:defRPr/>
                </a:pPr>
                <a:r>
                  <a:rPr lang="en-US"/>
                  <a:t>Annaul units consumed</a:t>
                </a:r>
              </a:p>
            </c:rich>
          </c:tx>
          <c:layout>
            <c:manualLayout>
              <c:xMode val="edge"/>
              <c:yMode val="edge"/>
              <c:x val="1.1515181375824468E-2"/>
              <c:y val="0.21394994763452022"/>
            </c:manualLayout>
          </c:layout>
          <c:overlay val="0"/>
        </c:title>
        <c:numFmt formatCode="_(* #,##0_);_(* \(#,##0\);_(* &quot;-&quot;??_);_(@_)" sourceLinked="1"/>
        <c:majorTickMark val="out"/>
        <c:minorTickMark val="none"/>
        <c:tickLblPos val="nextTo"/>
        <c:crossAx val="56482816"/>
        <c:crosses val="autoZero"/>
        <c:crossBetween val="between"/>
      </c:valAx>
    </c:plotArea>
    <c:legend>
      <c:legendPos val="r"/>
      <c:layout>
        <c:manualLayout>
          <c:xMode val="edge"/>
          <c:yMode val="edge"/>
          <c:x val="0.1568453990666728"/>
          <c:y val="6.3887043433044563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135015015594045"/>
          <c:y val="5.1400554097404488E-2"/>
          <c:w val="0.85230555649285855"/>
          <c:h val="0.8326195683872849"/>
        </c:manualLayout>
      </c:layout>
      <c:lineChart>
        <c:grouping val="standard"/>
        <c:varyColors val="0"/>
        <c:ser>
          <c:idx val="0"/>
          <c:order val="0"/>
          <c:tx>
            <c:strRef>
              <c:f>Alibaba!$A$103</c:f>
              <c:strCache>
                <c:ptCount val="1"/>
                <c:pt idx="0">
                  <c:v> 100G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Alibaba!$M$103:$W$103</c:f>
              <c:numCache>
                <c:formatCode>_("$"* #,##0_);_("$"* \(#,##0\);_("$"* "-"??_);_(@_)</c:formatCode>
                <c:ptCount val="11"/>
                <c:pt idx="0">
                  <c:v>39.743757277310912</c:v>
                </c:pt>
                <c:pt idx="1">
                  <c:v>28.264985599999999</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192A-904B-935F-28FB2E6484E9}"/>
            </c:ext>
          </c:extLst>
        </c:ser>
        <c:ser>
          <c:idx val="1"/>
          <c:order val="1"/>
          <c:tx>
            <c:strRef>
              <c:f>Alibaba!$A$104</c:f>
              <c:strCache>
                <c:ptCount val="1"/>
                <c:pt idx="0">
                  <c:v> 200G </c:v>
                </c:pt>
              </c:strCache>
            </c:strRef>
          </c:tx>
          <c:spPr>
            <a:ln>
              <a:solidFill>
                <a:srgbClr val="F79646"/>
              </a:solidFill>
            </a:ln>
          </c:spPr>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Alibaba!$M$104:$W$104</c:f>
              <c:numCache>
                <c:formatCode>_("$"* #,##0_);_("$"* \(#,##0\);_("$"* "-"??_);_(@_)</c:formatCode>
                <c:ptCount val="11"/>
                <c:pt idx="0">
                  <c:v>5.0533692250372573</c:v>
                </c:pt>
                <c:pt idx="1">
                  <c:v>16.139691490909094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192A-904B-935F-28FB2E6484E9}"/>
            </c:ext>
          </c:extLst>
        </c:ser>
        <c:ser>
          <c:idx val="4"/>
          <c:order val="2"/>
          <c:tx>
            <c:strRef>
              <c:f>Alibaba!$A$105</c:f>
              <c:strCache>
                <c:ptCount val="1"/>
                <c:pt idx="0">
                  <c:v> 400G </c:v>
                </c:pt>
              </c:strCache>
            </c:strRef>
          </c:tx>
          <c:spPr>
            <a:ln>
              <a:solidFill>
                <a:srgbClr val="C0504D"/>
              </a:solidFill>
            </a:ln>
          </c:spPr>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Alibaba!$M$105:$W$105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192A-904B-935F-28FB2E6484E9}"/>
            </c:ext>
          </c:extLst>
        </c:ser>
        <c:ser>
          <c:idx val="2"/>
          <c:order val="3"/>
          <c:tx>
            <c:strRef>
              <c:f>Alibaba!$A$106</c:f>
              <c:strCache>
                <c:ptCount val="1"/>
                <c:pt idx="0">
                  <c:v> 600/800G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Alibaba!$M$106:$W$106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192A-904B-935F-28FB2E6484E9}"/>
            </c:ext>
          </c:extLst>
        </c:ser>
        <c:ser>
          <c:idx val="3"/>
          <c:order val="4"/>
          <c:tx>
            <c:strRef>
              <c:f>Alibaba!$A$107</c:f>
              <c:strCache>
                <c:ptCount val="1"/>
                <c:pt idx="0">
                  <c:v> 1.2/1.6T </c:v>
                </c:pt>
              </c:strCache>
            </c:strRef>
          </c:tx>
          <c:marker>
            <c:symbol val="none"/>
          </c:marker>
          <c:cat>
            <c:numRef>
              <c:f>Alibaba!$M$93:$W$93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Alibaba!$M$107:$W$107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192A-904B-935F-28FB2E6484E9}"/>
            </c:ext>
          </c:extLst>
        </c:ser>
        <c:dLbls>
          <c:showLegendKey val="0"/>
          <c:showVal val="0"/>
          <c:showCatName val="0"/>
          <c:showSerName val="0"/>
          <c:showPercent val="0"/>
          <c:showBubbleSize val="0"/>
        </c:dLbls>
        <c:smooth val="0"/>
        <c:axId val="56506240"/>
        <c:axId val="56507776"/>
      </c:lineChart>
      <c:catAx>
        <c:axId val="56506240"/>
        <c:scaling>
          <c:orientation val="minMax"/>
        </c:scaling>
        <c:delete val="0"/>
        <c:axPos val="b"/>
        <c:numFmt formatCode="General" sourceLinked="1"/>
        <c:majorTickMark val="out"/>
        <c:minorTickMark val="none"/>
        <c:tickLblPos val="nextTo"/>
        <c:crossAx val="56507776"/>
        <c:crosses val="autoZero"/>
        <c:auto val="1"/>
        <c:lblAlgn val="ctr"/>
        <c:lblOffset val="100"/>
        <c:noMultiLvlLbl val="0"/>
      </c:catAx>
      <c:valAx>
        <c:axId val="56507776"/>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2.1863476194378433E-2"/>
              <c:y val="0.25314665770038919"/>
            </c:manualLayout>
          </c:layout>
          <c:overlay val="0"/>
        </c:title>
        <c:numFmt formatCode="_(&quot;$&quot;* #,##0_);_(&quot;$&quot;* \(#,##0\);_(&quot;$&quot;* &quot;-&quot;??_);_(@_)" sourceLinked="1"/>
        <c:majorTickMark val="out"/>
        <c:minorTickMark val="none"/>
        <c:tickLblPos val="nextTo"/>
        <c:crossAx val="56506240"/>
        <c:crosses val="autoZero"/>
        <c:crossBetween val="between"/>
      </c:valAx>
    </c:plotArea>
    <c:legend>
      <c:legendPos val="r"/>
      <c:layout>
        <c:manualLayout>
          <c:xMode val="edge"/>
          <c:yMode val="edge"/>
          <c:x val="0.34798366843254558"/>
          <c:y val="4.9179157110722592E-2"/>
          <c:w val="0.38579307884753505"/>
          <c:h val="0.22478977566420005"/>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Alibaba!$A$114</c:f>
          <c:strCache>
            <c:ptCount val="1"/>
            <c:pt idx="0">
              <c:v>Ethernet transceivers % of total capex: Alibaba</c:v>
            </c:pt>
          </c:strCache>
        </c:strRef>
      </c:tx>
      <c:layout>
        <c:manualLayout>
          <c:xMode val="edge"/>
          <c:yMode val="edge"/>
          <c:x val="0.17006933508311461"/>
          <c:y val="0"/>
        </c:manualLayout>
      </c:layout>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spPr>
            <a:solidFill>
              <a:srgbClr val="0070C0"/>
            </a:solidFill>
          </c:spPr>
          <c:invertIfNegative val="0"/>
          <c:cat>
            <c:numRef>
              <c:f>Alibaba!$M$111:$W$111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Alibaba!$M$114:$W$114</c:f>
              <c:numCache>
                <c:formatCode>0.0%</c:formatCode>
                <c:ptCount val="11"/>
                <c:pt idx="0">
                  <c:v>2.9958246551580161E-2</c:v>
                </c:pt>
                <c:pt idx="1">
                  <c:v>2.9935757819483922E-2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5281-EB4D-BEB9-AD5E5EEB7ADB}"/>
            </c:ext>
          </c:extLst>
        </c:ser>
        <c:dLbls>
          <c:showLegendKey val="0"/>
          <c:showVal val="0"/>
          <c:showCatName val="0"/>
          <c:showSerName val="0"/>
          <c:showPercent val="0"/>
          <c:showBubbleSize val="0"/>
        </c:dLbls>
        <c:gapWidth val="150"/>
        <c:overlap val="100"/>
        <c:axId val="56524800"/>
        <c:axId val="56526336"/>
      </c:barChart>
      <c:catAx>
        <c:axId val="56524800"/>
        <c:scaling>
          <c:orientation val="minMax"/>
        </c:scaling>
        <c:delete val="0"/>
        <c:axPos val="b"/>
        <c:numFmt formatCode="General" sourceLinked="1"/>
        <c:majorTickMark val="out"/>
        <c:minorTickMark val="none"/>
        <c:tickLblPos val="nextTo"/>
        <c:crossAx val="56526336"/>
        <c:crosses val="autoZero"/>
        <c:auto val="1"/>
        <c:lblAlgn val="ctr"/>
        <c:lblOffset val="100"/>
        <c:noMultiLvlLbl val="0"/>
      </c:catAx>
      <c:valAx>
        <c:axId val="56526336"/>
        <c:scaling>
          <c:orientation val="minMax"/>
        </c:scaling>
        <c:delete val="0"/>
        <c:axPos val="l"/>
        <c:majorGridlines/>
        <c:numFmt formatCode="0.0%" sourceLinked="1"/>
        <c:majorTickMark val="out"/>
        <c:minorTickMark val="none"/>
        <c:tickLblPos val="nextTo"/>
        <c:crossAx val="56524800"/>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Alibaba!$A$115</c:f>
          <c:strCache>
            <c:ptCount val="1"/>
            <c:pt idx="0">
              <c:v>DWDM transceivers % of total capex: Alibaba</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strRef>
              <c:f>Alibaba!$A$115</c:f>
              <c:strCache>
                <c:ptCount val="1"/>
                <c:pt idx="0">
                  <c:v>DWDM transceivers % of total capex: Alibaba</c:v>
                </c:pt>
              </c:strCache>
            </c:strRef>
          </c:tx>
          <c:spPr>
            <a:solidFill>
              <a:srgbClr val="C00000"/>
            </a:solidFill>
          </c:spPr>
          <c:invertIfNegative val="0"/>
          <c:cat>
            <c:numRef>
              <c:f>Alibaba!$M$111:$W$111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Alibaba!$M$115:$W$115</c:f>
              <c:numCache>
                <c:formatCode>0.0%</c:formatCode>
                <c:ptCount val="11"/>
                <c:pt idx="0">
                  <c:v>1.0653054207423237E-2</c:v>
                </c:pt>
                <c:pt idx="1">
                  <c:v>1.1738173752473841E-2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dLbls>
          <c:showLegendKey val="0"/>
          <c:showVal val="0"/>
          <c:showCatName val="0"/>
          <c:showSerName val="0"/>
          <c:showPercent val="0"/>
          <c:showBubbleSize val="0"/>
        </c:dLbls>
        <c:gapWidth val="150"/>
        <c:overlap val="100"/>
        <c:axId val="56890880"/>
        <c:axId val="56892416"/>
      </c:barChart>
      <c:catAx>
        <c:axId val="56890880"/>
        <c:scaling>
          <c:orientation val="minMax"/>
        </c:scaling>
        <c:delete val="0"/>
        <c:axPos val="b"/>
        <c:numFmt formatCode="General" sourceLinked="1"/>
        <c:majorTickMark val="out"/>
        <c:minorTickMark val="none"/>
        <c:tickLblPos val="nextTo"/>
        <c:crossAx val="56892416"/>
        <c:crosses val="autoZero"/>
        <c:auto val="1"/>
        <c:lblAlgn val="ctr"/>
        <c:lblOffset val="100"/>
        <c:noMultiLvlLbl val="0"/>
      </c:catAx>
      <c:valAx>
        <c:axId val="56892416"/>
        <c:scaling>
          <c:orientation val="minMax"/>
        </c:scaling>
        <c:delete val="0"/>
        <c:axPos val="l"/>
        <c:majorGridlines/>
        <c:numFmt formatCode="0.0%" sourceLinked="0"/>
        <c:majorTickMark val="out"/>
        <c:minorTickMark val="none"/>
        <c:tickLblPos val="nextTo"/>
        <c:crossAx val="56890880"/>
        <c:crosses val="autoZero"/>
        <c:crossBetween val="between"/>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Alibaba!$A$116</c:f>
          <c:strCache>
            <c:ptCount val="1"/>
            <c:pt idx="0">
              <c:v>Ethernet&amp;DWDM xcvrs % of total capex: Alibaba</c:v>
            </c:pt>
          </c:strCache>
        </c:strRef>
      </c:tx>
      <c:layout>
        <c:manualLayout>
          <c:xMode val="edge"/>
          <c:yMode val="edge"/>
          <c:x val="0.15688746833819259"/>
          <c:y val="2.7820707587933698E-2"/>
        </c:manualLayout>
      </c:layout>
      <c:overlay val="1"/>
      <c:txPr>
        <a:bodyPr/>
        <a:lstStyle/>
        <a:p>
          <a:pPr>
            <a:defRPr sz="1200"/>
          </a:pPr>
          <a:endParaRPr lang="en-US"/>
        </a:p>
      </c:txPr>
    </c:title>
    <c:autoTitleDeleted val="0"/>
    <c:plotArea>
      <c:layout>
        <c:manualLayout>
          <c:layoutTarget val="inner"/>
          <c:xMode val="edge"/>
          <c:yMode val="edge"/>
          <c:x val="9.3825740296316865E-2"/>
          <c:y val="9.7703988401466685E-2"/>
          <c:w val="0.870580927384077"/>
          <c:h val="0.79095290172061827"/>
        </c:manualLayout>
      </c:layout>
      <c:barChart>
        <c:barDir val="col"/>
        <c:grouping val="stacked"/>
        <c:varyColors val="0"/>
        <c:ser>
          <c:idx val="2"/>
          <c:order val="0"/>
          <c:tx>
            <c:v>Ethernet</c:v>
          </c:tx>
          <c:spPr>
            <a:solidFill>
              <a:srgbClr val="0070C0"/>
            </a:solidFill>
          </c:spPr>
          <c:invertIfNegative val="0"/>
          <c:cat>
            <c:numRef>
              <c:f>Alibaba!$M$111:$W$111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Alibaba!$M$114:$W$114</c:f>
              <c:numCache>
                <c:formatCode>0.0%</c:formatCode>
                <c:ptCount val="11"/>
                <c:pt idx="0">
                  <c:v>2.9958246551580161E-2</c:v>
                </c:pt>
                <c:pt idx="1">
                  <c:v>2.9935757819483922E-2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Alibaba!$M$111:$W$111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Alibaba!$M$115:$W$115</c:f>
              <c:numCache>
                <c:formatCode>0.0%</c:formatCode>
                <c:ptCount val="11"/>
                <c:pt idx="0">
                  <c:v>1.0653054207423237E-2</c:v>
                </c:pt>
                <c:pt idx="1">
                  <c:v>1.1738173752473841E-2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0E7-4947-99A4-75A4054C5722}"/>
            </c:ext>
          </c:extLst>
        </c:ser>
        <c:dLbls>
          <c:showLegendKey val="0"/>
          <c:showVal val="0"/>
          <c:showCatName val="0"/>
          <c:showSerName val="0"/>
          <c:showPercent val="0"/>
          <c:showBubbleSize val="0"/>
        </c:dLbls>
        <c:gapWidth val="150"/>
        <c:overlap val="100"/>
        <c:axId val="56934784"/>
        <c:axId val="56936320"/>
      </c:barChart>
      <c:catAx>
        <c:axId val="56934784"/>
        <c:scaling>
          <c:orientation val="minMax"/>
        </c:scaling>
        <c:delete val="0"/>
        <c:axPos val="b"/>
        <c:numFmt formatCode="General" sourceLinked="1"/>
        <c:majorTickMark val="out"/>
        <c:minorTickMark val="none"/>
        <c:tickLblPos val="nextTo"/>
        <c:crossAx val="56936320"/>
        <c:crosses val="autoZero"/>
        <c:auto val="1"/>
        <c:lblAlgn val="ctr"/>
        <c:lblOffset val="100"/>
        <c:noMultiLvlLbl val="0"/>
      </c:catAx>
      <c:valAx>
        <c:axId val="56936320"/>
        <c:scaling>
          <c:orientation val="minMax"/>
        </c:scaling>
        <c:delete val="0"/>
        <c:axPos val="l"/>
        <c:majorGridlines/>
        <c:numFmt formatCode="0.0%" sourceLinked="1"/>
        <c:majorTickMark val="out"/>
        <c:minorTickMark val="none"/>
        <c:tickLblPos val="nextTo"/>
        <c:crossAx val="56934784"/>
        <c:crosses val="autoZero"/>
        <c:crossBetween val="between"/>
      </c:valAx>
    </c:plotArea>
    <c:legend>
      <c:legendPos val="t"/>
      <c:layout>
        <c:manualLayout>
          <c:xMode val="edge"/>
          <c:yMode val="edge"/>
          <c:x val="0.35555028858168547"/>
          <c:y val="0.14374032253765745"/>
          <c:w val="0.29714206793225995"/>
          <c:h val="8.3846574274169791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Huawei</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Huawei!$A$113</c:f>
              <c:strCache>
                <c:ptCount val="1"/>
                <c:pt idx="0">
                  <c:v>Ethernet</c:v>
                </c:pt>
              </c:strCache>
            </c:strRef>
          </c:tx>
          <c:val>
            <c:numRef>
              <c:f>Huawei!$C$116:$L$116</c:f>
              <c:numCache>
                <c:formatCode>0%</c:formatCode>
                <c:ptCount val="10"/>
                <c:pt idx="0">
                  <c:v>1.5521226552442076</c:v>
                </c:pt>
                <c:pt idx="1">
                  <c:v>0</c:v>
                </c:pt>
                <c:pt idx="2">
                  <c:v>0</c:v>
                </c:pt>
                <c:pt idx="3">
                  <c:v>0</c:v>
                </c:pt>
                <c:pt idx="4">
                  <c:v>0</c:v>
                </c:pt>
                <c:pt idx="5">
                  <c:v>0</c:v>
                </c:pt>
                <c:pt idx="6">
                  <c:v>0</c:v>
                </c:pt>
                <c:pt idx="7">
                  <c:v>0</c:v>
                </c:pt>
                <c:pt idx="8">
                  <c:v>0</c:v>
                </c:pt>
                <c:pt idx="9">
                  <c:v>0</c:v>
                </c:pt>
              </c:numCache>
            </c:numRef>
          </c:val>
          <c:smooth val="1"/>
          <c:extLst>
            <c:ext xmlns:c15="http://schemas.microsoft.com/office/drawing/2012/chart" uri="{02D57815-91ED-43cb-92C2-25804820EDAC}">
              <c15:filteredCategoryTitle>
                <c15:cat>
                  <c:multiLvlStrRef>
                    <c:extLst>
                      <c:ext uri="{02D57815-91ED-43cb-92C2-25804820EDAC}">
                        <c15:formulaRef>
                          <c15:sqref>Huawei!#REF!</c15:sqref>
                        </c15:formulaRef>
                      </c:ext>
                    </c:extLst>
                  </c:multiLvlStrRef>
                </c15:cat>
              </c15:filteredCategoryTitle>
            </c:ext>
            <c:ext xmlns:c16="http://schemas.microsoft.com/office/drawing/2014/chart" uri="{C3380CC4-5D6E-409C-BE32-E72D297353CC}">
              <c16:uniqueId val="{00000000-09FE-7541-BA18-E979CEA1B2B1}"/>
            </c:ext>
          </c:extLst>
        </c:ser>
        <c:dLbls>
          <c:showLegendKey val="0"/>
          <c:showVal val="0"/>
          <c:showCatName val="0"/>
          <c:showSerName val="0"/>
          <c:showPercent val="0"/>
          <c:showBubbleSize val="0"/>
        </c:dLbls>
        <c:marker val="1"/>
        <c:smooth val="0"/>
        <c:axId val="58653696"/>
        <c:axId val="58807040"/>
      </c:lineChart>
      <c:catAx>
        <c:axId val="58653696"/>
        <c:scaling>
          <c:orientation val="minMax"/>
        </c:scaling>
        <c:delete val="0"/>
        <c:axPos val="b"/>
        <c:numFmt formatCode="General" sourceLinked="1"/>
        <c:majorTickMark val="out"/>
        <c:minorTickMark val="none"/>
        <c:tickLblPos val="nextTo"/>
        <c:crossAx val="58807040"/>
        <c:crosses val="autoZero"/>
        <c:auto val="1"/>
        <c:lblAlgn val="ctr"/>
        <c:lblOffset val="100"/>
        <c:noMultiLvlLbl val="0"/>
      </c:catAx>
      <c:valAx>
        <c:axId val="58807040"/>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58653696"/>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Huawei!$A$95</c:f>
              <c:strCache>
                <c:ptCount val="1"/>
                <c:pt idx="0">
                  <c:v> 100G </c:v>
                </c:pt>
              </c:strCache>
            </c:strRef>
          </c:tx>
          <c:marker>
            <c:symbol val="none"/>
          </c:marker>
          <c:cat>
            <c:numRef>
              <c:f>Huawei!$B$93:$L$93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Huawei!$B$95:$L$95</c:f>
              <c:numCache>
                <c:formatCode>_(* #,##0_);_(* \(#,##0\);_(* "-"??_);_(@_)</c:formatCode>
                <c:ptCount val="11"/>
                <c:pt idx="0">
                  <c:v>26778.612548436278</c:v>
                </c:pt>
                <c:pt idx="1">
                  <c:v>76258.641792999988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4EE8-3541-A492-DE66B4486FC7}"/>
            </c:ext>
          </c:extLst>
        </c:ser>
        <c:ser>
          <c:idx val="1"/>
          <c:order val="1"/>
          <c:tx>
            <c:strRef>
              <c:f>Huawei!$A$96</c:f>
              <c:strCache>
                <c:ptCount val="1"/>
                <c:pt idx="0">
                  <c:v> 200G </c:v>
                </c:pt>
              </c:strCache>
            </c:strRef>
          </c:tx>
          <c:spPr>
            <a:ln>
              <a:solidFill>
                <a:srgbClr val="F79646"/>
              </a:solidFill>
            </a:ln>
          </c:spPr>
          <c:marker>
            <c:symbol val="none"/>
          </c:marker>
          <c:cat>
            <c:numRef>
              <c:f>Huawei!$B$93:$L$93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Huawei!$B$96:$L$96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4EE8-3541-A492-DE66B4486FC7}"/>
            </c:ext>
          </c:extLst>
        </c:ser>
        <c:ser>
          <c:idx val="4"/>
          <c:order val="2"/>
          <c:tx>
            <c:strRef>
              <c:f>Huawei!$A$97</c:f>
              <c:strCache>
                <c:ptCount val="1"/>
                <c:pt idx="0">
                  <c:v> 400G </c:v>
                </c:pt>
              </c:strCache>
            </c:strRef>
          </c:tx>
          <c:spPr>
            <a:ln>
              <a:solidFill>
                <a:srgbClr val="C0504D"/>
              </a:solidFill>
            </a:ln>
          </c:spPr>
          <c:marker>
            <c:symbol val="none"/>
          </c:marker>
          <c:cat>
            <c:numRef>
              <c:f>Huawei!$B$93:$L$93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Huawei!$B$97:$L$97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EE8-3541-A492-DE66B4486FC7}"/>
            </c:ext>
          </c:extLst>
        </c:ser>
        <c:ser>
          <c:idx val="2"/>
          <c:order val="3"/>
          <c:tx>
            <c:strRef>
              <c:f>Huawei!$A$98</c:f>
              <c:strCache>
                <c:ptCount val="1"/>
                <c:pt idx="0">
                  <c:v> 800G </c:v>
                </c:pt>
              </c:strCache>
            </c:strRef>
          </c:tx>
          <c:marker>
            <c:symbol val="none"/>
          </c:marker>
          <c:cat>
            <c:numRef>
              <c:f>Huawei!$B$93:$L$93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Huawei!$B$98:$L$98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4EE8-3541-A492-DE66B4486FC7}"/>
            </c:ext>
          </c:extLst>
        </c:ser>
        <c:ser>
          <c:idx val="3"/>
          <c:order val="4"/>
          <c:tx>
            <c:strRef>
              <c:f>Huawei!$A$99</c:f>
              <c:strCache>
                <c:ptCount val="1"/>
                <c:pt idx="0">
                  <c:v> 1.6T </c:v>
                </c:pt>
              </c:strCache>
            </c:strRef>
          </c:tx>
          <c:marker>
            <c:symbol val="none"/>
          </c:marker>
          <c:cat>
            <c:numRef>
              <c:f>Huawei!$B$93:$L$93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Huawei!$B$99:$L$99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4EE8-3541-A492-DE66B4486FC7}"/>
            </c:ext>
          </c:extLst>
        </c:ser>
        <c:dLbls>
          <c:showLegendKey val="0"/>
          <c:showVal val="0"/>
          <c:showCatName val="0"/>
          <c:showSerName val="0"/>
          <c:showPercent val="0"/>
          <c:showBubbleSize val="0"/>
        </c:dLbls>
        <c:smooth val="0"/>
        <c:axId val="58833152"/>
        <c:axId val="58834944"/>
      </c:lineChart>
      <c:catAx>
        <c:axId val="58833152"/>
        <c:scaling>
          <c:orientation val="minMax"/>
        </c:scaling>
        <c:delete val="0"/>
        <c:axPos val="b"/>
        <c:numFmt formatCode="General" sourceLinked="1"/>
        <c:majorTickMark val="out"/>
        <c:minorTickMark val="none"/>
        <c:tickLblPos val="nextTo"/>
        <c:crossAx val="58834944"/>
        <c:crosses val="autoZero"/>
        <c:auto val="1"/>
        <c:lblAlgn val="ctr"/>
        <c:lblOffset val="100"/>
        <c:noMultiLvlLbl val="0"/>
      </c:catAx>
      <c:valAx>
        <c:axId val="58834944"/>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58833152"/>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125867887203754"/>
          <c:y val="5.1400554097404488E-2"/>
          <c:w val="0.82239711415383421"/>
          <c:h val="0.8326195683872849"/>
        </c:manualLayout>
      </c:layout>
      <c:lineChart>
        <c:grouping val="standard"/>
        <c:varyColors val="0"/>
        <c:ser>
          <c:idx val="0"/>
          <c:order val="0"/>
          <c:tx>
            <c:strRef>
              <c:f>Huawei!$A$95</c:f>
              <c:strCache>
                <c:ptCount val="1"/>
                <c:pt idx="0">
                  <c:v> 100G </c:v>
                </c:pt>
              </c:strCache>
            </c:strRef>
          </c:tx>
          <c:marker>
            <c:symbol val="none"/>
          </c:marker>
          <c:cat>
            <c:numRef>
              <c:f>Huawei!$M$93:$W$93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Huawei!$M$95:$W$95</c:f>
              <c:numCache>
                <c:formatCode>_("$"* #,##0_);_("$"* \(#,##0\);_("$"* "-"??_);_(@_)</c:formatCode>
                <c:ptCount val="11"/>
                <c:pt idx="0">
                  <c:v>6.5800945065642757</c:v>
                </c:pt>
                <c:pt idx="1">
                  <c:v>12.622336696713464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7345-964B-843F-E855642BC81F}"/>
            </c:ext>
          </c:extLst>
        </c:ser>
        <c:ser>
          <c:idx val="1"/>
          <c:order val="1"/>
          <c:tx>
            <c:strRef>
              <c:f>Huawei!$A$96</c:f>
              <c:strCache>
                <c:ptCount val="1"/>
                <c:pt idx="0">
                  <c:v> 200G </c:v>
                </c:pt>
              </c:strCache>
            </c:strRef>
          </c:tx>
          <c:spPr>
            <a:ln>
              <a:solidFill>
                <a:srgbClr val="F79646"/>
              </a:solidFill>
            </a:ln>
          </c:spPr>
          <c:marker>
            <c:symbol val="none"/>
          </c:marker>
          <c:cat>
            <c:numRef>
              <c:f>Huawei!$M$93:$W$93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Huawei!$M$96:$W$96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7345-964B-843F-E855642BC81F}"/>
            </c:ext>
          </c:extLst>
        </c:ser>
        <c:ser>
          <c:idx val="4"/>
          <c:order val="2"/>
          <c:tx>
            <c:strRef>
              <c:f>Huawei!$A$97</c:f>
              <c:strCache>
                <c:ptCount val="1"/>
                <c:pt idx="0">
                  <c:v> 400G </c:v>
                </c:pt>
              </c:strCache>
            </c:strRef>
          </c:tx>
          <c:spPr>
            <a:ln>
              <a:solidFill>
                <a:srgbClr val="C0504D"/>
              </a:solidFill>
            </a:ln>
          </c:spPr>
          <c:marker>
            <c:symbol val="none"/>
          </c:marker>
          <c:cat>
            <c:numRef>
              <c:f>Huawei!$M$93:$W$93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Huawei!$M$97:$W$97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7345-964B-843F-E855642BC81F}"/>
            </c:ext>
          </c:extLst>
        </c:ser>
        <c:ser>
          <c:idx val="2"/>
          <c:order val="3"/>
          <c:tx>
            <c:strRef>
              <c:f>Huawei!$A$98</c:f>
              <c:strCache>
                <c:ptCount val="1"/>
                <c:pt idx="0">
                  <c:v> 800G </c:v>
                </c:pt>
              </c:strCache>
            </c:strRef>
          </c:tx>
          <c:marker>
            <c:symbol val="none"/>
          </c:marker>
          <c:cat>
            <c:numRef>
              <c:f>Huawei!$M$93:$W$93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Huawei!$M$98:$W$98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7345-964B-843F-E855642BC81F}"/>
            </c:ext>
          </c:extLst>
        </c:ser>
        <c:ser>
          <c:idx val="3"/>
          <c:order val="4"/>
          <c:tx>
            <c:strRef>
              <c:f>Huawei!$A$99</c:f>
              <c:strCache>
                <c:ptCount val="1"/>
                <c:pt idx="0">
                  <c:v> 1.6T </c:v>
                </c:pt>
              </c:strCache>
            </c:strRef>
          </c:tx>
          <c:marker>
            <c:symbol val="none"/>
          </c:marker>
          <c:cat>
            <c:numRef>
              <c:f>Huawei!$M$93:$W$93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Huawei!$M$99:$W$99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7345-964B-843F-E855642BC81F}"/>
            </c:ext>
          </c:extLst>
        </c:ser>
        <c:dLbls>
          <c:showLegendKey val="0"/>
          <c:showVal val="0"/>
          <c:showCatName val="0"/>
          <c:showSerName val="0"/>
          <c:showPercent val="0"/>
          <c:showBubbleSize val="0"/>
        </c:dLbls>
        <c:smooth val="0"/>
        <c:axId val="58881152"/>
        <c:axId val="58882688"/>
      </c:lineChart>
      <c:catAx>
        <c:axId val="58881152"/>
        <c:scaling>
          <c:orientation val="minMax"/>
        </c:scaling>
        <c:delete val="0"/>
        <c:axPos val="b"/>
        <c:numFmt formatCode="General" sourceLinked="1"/>
        <c:majorTickMark val="out"/>
        <c:minorTickMark val="none"/>
        <c:tickLblPos val="nextTo"/>
        <c:crossAx val="58882688"/>
        <c:crosses val="autoZero"/>
        <c:auto val="1"/>
        <c:lblAlgn val="ctr"/>
        <c:lblOffset val="100"/>
        <c:noMultiLvlLbl val="0"/>
      </c:catAx>
      <c:valAx>
        <c:axId val="58882688"/>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7833271763050201E-2"/>
              <c:y val="0.26651390258122248"/>
            </c:manualLayout>
          </c:layout>
          <c:overlay val="0"/>
        </c:title>
        <c:numFmt formatCode="_(&quot;$&quot;* #,##0_);_(&quot;$&quot;* \(#,##0\);_(&quot;$&quot;* &quot;-&quot;??_);_(@_)" sourceLinked="1"/>
        <c:majorTickMark val="out"/>
        <c:minorTickMark val="none"/>
        <c:tickLblPos val="nextTo"/>
        <c:crossAx val="58881152"/>
        <c:crosses val="autoZero"/>
        <c:crossBetween val="between"/>
      </c:valAx>
    </c:plotArea>
    <c:legend>
      <c:legendPos val="r"/>
      <c:layout>
        <c:manualLayout>
          <c:xMode val="edge"/>
          <c:yMode val="edge"/>
          <c:x val="0.17468659090027541"/>
          <c:y val="9.7459104858614962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Tencent</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Tencent!$A$119</c:f>
              <c:strCache>
                <c:ptCount val="1"/>
                <c:pt idx="0">
                  <c:v>Ethernet</c:v>
                </c:pt>
              </c:strCache>
            </c:strRef>
          </c:tx>
          <c:cat>
            <c:numRef>
              <c:f>Tencent!$C$119:$L$119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Tencent!$C$122:$L$122</c:f>
              <c:numCache>
                <c:formatCode>0%</c:formatCode>
                <c:ptCount val="10"/>
                <c:pt idx="0">
                  <c:v>0.68877199939270373</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Tencent!$A$124</c:f>
              <c:strCache>
                <c:ptCount val="1"/>
                <c:pt idx="0">
                  <c:v>DWDM</c:v>
                </c:pt>
              </c:strCache>
            </c:strRef>
          </c:tx>
          <c:marker>
            <c:symbol val="square"/>
            <c:size val="5"/>
          </c:marker>
          <c:cat>
            <c:numRef>
              <c:f>Tencent!$C$119:$L$119</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Tencent!$C$127:$L$127</c:f>
              <c:numCache>
                <c:formatCode>0%</c:formatCode>
                <c:ptCount val="10"/>
                <c:pt idx="0">
                  <c:v>0.66160943684982132</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61940864"/>
        <c:axId val="61942400"/>
      </c:lineChart>
      <c:catAx>
        <c:axId val="61940864"/>
        <c:scaling>
          <c:orientation val="minMax"/>
        </c:scaling>
        <c:delete val="0"/>
        <c:axPos val="b"/>
        <c:numFmt formatCode="General" sourceLinked="1"/>
        <c:majorTickMark val="out"/>
        <c:minorTickMark val="none"/>
        <c:tickLblPos val="nextTo"/>
        <c:crossAx val="61942400"/>
        <c:crosses val="autoZero"/>
        <c:auto val="1"/>
        <c:lblAlgn val="ctr"/>
        <c:lblOffset val="100"/>
        <c:noMultiLvlLbl val="0"/>
      </c:catAx>
      <c:valAx>
        <c:axId val="61942400"/>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61940864"/>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179418197725285"/>
          <c:y val="5.1400554097404488E-2"/>
          <c:w val="0.81186154855643033"/>
          <c:h val="0.8326195683872849"/>
        </c:manualLayout>
      </c:layout>
      <c:lineChart>
        <c:grouping val="standard"/>
        <c:varyColors val="0"/>
        <c:ser>
          <c:idx val="0"/>
          <c:order val="0"/>
          <c:tx>
            <c:strRef>
              <c:f>'Figures in the Report'!$H$403</c:f>
              <c:strCache>
                <c:ptCount val="1"/>
                <c:pt idx="0">
                  <c:v>100G</c:v>
                </c:pt>
              </c:strCache>
            </c:strRef>
          </c:tx>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Report'!$I$403:$S$403</c:f>
              <c:numCache>
                <c:formatCode>_("$"* #,##0_);_("$"* \(#,##0\);_("$"* "-"??_);_(@_)</c:formatCode>
                <c:ptCount val="11"/>
                <c:pt idx="0">
                  <c:v>1390.1043081527146</c:v>
                </c:pt>
                <c:pt idx="1">
                  <c:v>1014.321070777733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375E-D540-BD49-83E22F501BF3}"/>
            </c:ext>
          </c:extLst>
        </c:ser>
        <c:ser>
          <c:idx val="1"/>
          <c:order val="1"/>
          <c:tx>
            <c:strRef>
              <c:f>'Figures in the Report'!$H$404</c:f>
              <c:strCache>
                <c:ptCount val="1"/>
                <c:pt idx="0">
                  <c:v>200G</c:v>
                </c:pt>
              </c:strCache>
            </c:strRef>
          </c:tx>
          <c:spPr>
            <a:ln>
              <a:solidFill>
                <a:schemeClr val="accent6"/>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Report'!$I$404:$S$404</c:f>
              <c:numCache>
                <c:formatCode>_("$"* #,##0_);_("$"* \(#,##0\);_("$"* "-"??_);_(@_)</c:formatCode>
                <c:ptCount val="11"/>
                <c:pt idx="0">
                  <c:v>1.1000000000000001</c:v>
                </c:pt>
                <c:pt idx="1">
                  <c:v>5.7945000000000002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375E-D540-BD49-83E22F501BF3}"/>
            </c:ext>
          </c:extLst>
        </c:ser>
        <c:ser>
          <c:idx val="2"/>
          <c:order val="2"/>
          <c:tx>
            <c:strRef>
              <c:f>'Figures in the Report'!$H$405</c:f>
              <c:strCache>
                <c:ptCount val="1"/>
                <c:pt idx="0">
                  <c:v>400G</c:v>
                </c:pt>
              </c:strCache>
            </c:strRef>
          </c:tx>
          <c:spPr>
            <a:ln>
              <a:solidFill>
                <a:schemeClr val="accent2"/>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Report'!$I$405:$S$405</c:f>
              <c:numCache>
                <c:formatCode>_("$"* #,##0_);_("$"* \(#,##0\);_("$"* "-"??_);_(@_)</c:formatCode>
                <c:ptCount val="11"/>
                <c:pt idx="0">
                  <c:v>42.012</c:v>
                </c:pt>
                <c:pt idx="1">
                  <c:v>114.30197576522988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375E-D540-BD49-83E22F501BF3}"/>
            </c:ext>
          </c:extLst>
        </c:ser>
        <c:ser>
          <c:idx val="3"/>
          <c:order val="3"/>
          <c:tx>
            <c:strRef>
              <c:f>'Figures in the Report'!$H$406</c:f>
              <c:strCache>
                <c:ptCount val="1"/>
                <c:pt idx="0">
                  <c:v>800G</c:v>
                </c:pt>
              </c:strCache>
            </c:strRef>
          </c:tx>
          <c:spPr>
            <a:ln>
              <a:solidFill>
                <a:schemeClr val="accent3"/>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Report'!$I$406:$S$406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375E-D540-BD49-83E22F501BF3}"/>
            </c:ext>
          </c:extLst>
        </c:ser>
        <c:ser>
          <c:idx val="4"/>
          <c:order val="4"/>
          <c:tx>
            <c:strRef>
              <c:f>'Figures in the Report'!$H$407</c:f>
              <c:strCache>
                <c:ptCount val="1"/>
                <c:pt idx="0">
                  <c:v>1.6T</c:v>
                </c:pt>
              </c:strCache>
            </c:strRef>
          </c:tx>
          <c:spPr>
            <a:ln>
              <a:solidFill>
                <a:schemeClr val="accent4"/>
              </a:solidFill>
            </a:ln>
          </c:spPr>
          <c:marker>
            <c:symbol val="none"/>
          </c:marker>
          <c:cat>
            <c:numRef>
              <c:f>'Figures in the Report'!$I$402:$S$402</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Report'!$I$407:$S$407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375E-D540-BD49-83E22F501BF3}"/>
            </c:ext>
          </c:extLst>
        </c:ser>
        <c:dLbls>
          <c:showLegendKey val="0"/>
          <c:showVal val="0"/>
          <c:showCatName val="0"/>
          <c:showSerName val="0"/>
          <c:showPercent val="0"/>
          <c:showBubbleSize val="0"/>
        </c:dLbls>
        <c:smooth val="0"/>
        <c:axId val="123830656"/>
        <c:axId val="123832576"/>
      </c:lineChart>
      <c:catAx>
        <c:axId val="123830656"/>
        <c:scaling>
          <c:orientation val="minMax"/>
        </c:scaling>
        <c:delete val="0"/>
        <c:axPos val="b"/>
        <c:numFmt formatCode="General" sourceLinked="1"/>
        <c:majorTickMark val="out"/>
        <c:minorTickMark val="none"/>
        <c:tickLblPos val="nextTo"/>
        <c:crossAx val="123832576"/>
        <c:crosses val="autoZero"/>
        <c:auto val="1"/>
        <c:lblAlgn val="ctr"/>
        <c:lblOffset val="100"/>
        <c:noMultiLvlLbl val="0"/>
      </c:catAx>
      <c:valAx>
        <c:axId val="123832576"/>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9.7222222222222224E-3"/>
              <c:y val="0.24657589676290464"/>
            </c:manualLayout>
          </c:layout>
          <c:overlay val="0"/>
        </c:title>
        <c:numFmt formatCode="_(&quot;$&quot;* #,##0_);_(&quot;$&quot;* \(#,##0\);_(&quot;$&quot;* &quot;-&quot;??_);_(@_)" sourceLinked="1"/>
        <c:majorTickMark val="out"/>
        <c:minorTickMark val="none"/>
        <c:tickLblPos val="nextTo"/>
        <c:crossAx val="123830656"/>
        <c:crosses val="autoZero"/>
        <c:crossBetween val="between"/>
      </c:valAx>
    </c:plotArea>
    <c:legend>
      <c:legendPos val="r"/>
      <c:layout>
        <c:manualLayout>
          <c:xMode val="edge"/>
          <c:yMode val="edge"/>
          <c:x val="0.193"/>
          <c:y val="7.3114246135899674E-2"/>
          <c:w val="0.13150044446195183"/>
          <c:h val="0.46163504110940518"/>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55135763300982"/>
          <c:y val="5.1400554097404488E-2"/>
          <c:w val="0.82510426499712441"/>
          <c:h val="0.8326195683872849"/>
        </c:manualLayout>
      </c:layout>
      <c:lineChart>
        <c:grouping val="standard"/>
        <c:varyColors val="0"/>
        <c:ser>
          <c:idx val="0"/>
          <c:order val="0"/>
          <c:tx>
            <c:strRef>
              <c:f>Tencent!$A$95</c:f>
              <c:strCache>
                <c:ptCount val="1"/>
                <c:pt idx="0">
                  <c:v> 100G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Tencent!$B$95:$L$95</c:f>
              <c:numCache>
                <c:formatCode>_(* #,##0_);_(* \(#,##0\);_(* "-"??_);_(@_)</c:formatCode>
                <c:ptCount val="11"/>
                <c:pt idx="0">
                  <c:v>194007.79447905393</c:v>
                </c:pt>
                <c:pt idx="1">
                  <c:v>325474.33009500004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B38-0D4B-9E14-E2721802D29B}"/>
            </c:ext>
          </c:extLst>
        </c:ser>
        <c:ser>
          <c:idx val="1"/>
          <c:order val="1"/>
          <c:tx>
            <c:strRef>
              <c:f>Tencent!$A$96</c:f>
              <c:strCache>
                <c:ptCount val="1"/>
                <c:pt idx="0">
                  <c:v> 200G </c:v>
                </c:pt>
              </c:strCache>
            </c:strRef>
          </c:tx>
          <c:spPr>
            <a:ln>
              <a:solidFill>
                <a:srgbClr val="F79646"/>
              </a:solidFill>
            </a:ln>
          </c:spPr>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Tencent!$B$96:$L$96</c:f>
              <c:numCache>
                <c:formatCode>_(* #,##0_);_(* \(#,##0\);_(* "-"??_);_(@_)</c:formatCode>
                <c:ptCount val="11"/>
                <c:pt idx="0">
                  <c:v>200</c:v>
                </c:pt>
                <c:pt idx="1">
                  <c:v>2000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AB38-0D4B-9E14-E2721802D29B}"/>
            </c:ext>
          </c:extLst>
        </c:ser>
        <c:ser>
          <c:idx val="4"/>
          <c:order val="2"/>
          <c:tx>
            <c:strRef>
              <c:f>Tencent!$A$97</c:f>
              <c:strCache>
                <c:ptCount val="1"/>
                <c:pt idx="0">
                  <c:v> 400G </c:v>
                </c:pt>
              </c:strCache>
            </c:strRef>
          </c:tx>
          <c:spPr>
            <a:ln>
              <a:solidFill>
                <a:srgbClr val="C0504D"/>
              </a:solidFill>
            </a:ln>
          </c:spPr>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Tencent!$B$97:$L$97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AB38-0D4B-9E14-E2721802D29B}"/>
            </c:ext>
          </c:extLst>
        </c:ser>
        <c:ser>
          <c:idx val="2"/>
          <c:order val="3"/>
          <c:tx>
            <c:strRef>
              <c:f>Tencent!$A$98</c:f>
              <c:strCache>
                <c:ptCount val="1"/>
                <c:pt idx="0">
                  <c:v> 800G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Tencent!$B$98:$L$98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AB38-0D4B-9E14-E2721802D29B}"/>
            </c:ext>
          </c:extLst>
        </c:ser>
        <c:ser>
          <c:idx val="3"/>
          <c:order val="4"/>
          <c:tx>
            <c:strRef>
              <c:f>Tencent!$A$99</c:f>
              <c:strCache>
                <c:ptCount val="1"/>
                <c:pt idx="0">
                  <c:v> 1.6T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Tencent!$B$99:$L$99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AB38-0D4B-9E14-E2721802D29B}"/>
            </c:ext>
          </c:extLst>
        </c:ser>
        <c:dLbls>
          <c:showLegendKey val="0"/>
          <c:showVal val="0"/>
          <c:showCatName val="0"/>
          <c:showSerName val="0"/>
          <c:showPercent val="0"/>
          <c:showBubbleSize val="0"/>
        </c:dLbls>
        <c:smooth val="0"/>
        <c:axId val="61981056"/>
        <c:axId val="61982592"/>
      </c:lineChart>
      <c:catAx>
        <c:axId val="61981056"/>
        <c:scaling>
          <c:orientation val="minMax"/>
        </c:scaling>
        <c:delete val="0"/>
        <c:axPos val="b"/>
        <c:numFmt formatCode="General" sourceLinked="1"/>
        <c:majorTickMark val="out"/>
        <c:minorTickMark val="none"/>
        <c:tickLblPos val="nextTo"/>
        <c:crossAx val="61982592"/>
        <c:crosses val="autoZero"/>
        <c:auto val="1"/>
        <c:lblAlgn val="ctr"/>
        <c:lblOffset val="100"/>
        <c:noMultiLvlLbl val="0"/>
      </c:catAx>
      <c:valAx>
        <c:axId val="61982592"/>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61981056"/>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782612646523028"/>
          <c:y val="5.1400554097404488E-2"/>
          <c:w val="0.85582960616067472"/>
          <c:h val="0.8326195683872849"/>
        </c:manualLayout>
      </c:layout>
      <c:lineChart>
        <c:grouping val="standard"/>
        <c:varyColors val="0"/>
        <c:ser>
          <c:idx val="0"/>
          <c:order val="0"/>
          <c:tx>
            <c:strRef>
              <c:f>Tencent!$A$95</c:f>
              <c:strCache>
                <c:ptCount val="1"/>
                <c:pt idx="0">
                  <c:v> 100G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Tencent!$M$95:$W$95</c:f>
              <c:numCache>
                <c:formatCode>_("$"* #,##0_);_("$"* \(#,##0\);_("$"* "-"??_);_(@_)</c:formatCode>
                <c:ptCount val="11"/>
                <c:pt idx="0">
                  <c:v>33.345248307242372</c:v>
                </c:pt>
                <c:pt idx="1">
                  <c:v>42.526542443948614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13CD-A640-9664-337269EB8345}"/>
            </c:ext>
          </c:extLst>
        </c:ser>
        <c:ser>
          <c:idx val="1"/>
          <c:order val="1"/>
          <c:tx>
            <c:strRef>
              <c:f>Tencent!$A$96</c:f>
              <c:strCache>
                <c:ptCount val="1"/>
                <c:pt idx="0">
                  <c:v> 200G </c:v>
                </c:pt>
              </c:strCache>
            </c:strRef>
          </c:tx>
          <c:spPr>
            <a:ln>
              <a:solidFill>
                <a:srgbClr val="F79646"/>
              </a:solidFill>
            </a:ln>
          </c:spPr>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Tencent!$M$96:$W$96</c:f>
              <c:numCache>
                <c:formatCode>_("$"* #,##0_);_("$"* \(#,##0\);_("$"* "-"??_);_(@_)</c:formatCode>
                <c:ptCount val="11"/>
                <c:pt idx="0">
                  <c:v>0.14000000000000001</c:v>
                </c:pt>
                <c:pt idx="1">
                  <c:v>1.2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13CD-A640-9664-337269EB8345}"/>
            </c:ext>
          </c:extLst>
        </c:ser>
        <c:ser>
          <c:idx val="4"/>
          <c:order val="2"/>
          <c:tx>
            <c:strRef>
              <c:f>Tencent!$A$97</c:f>
              <c:strCache>
                <c:ptCount val="1"/>
                <c:pt idx="0">
                  <c:v> 400G </c:v>
                </c:pt>
              </c:strCache>
            </c:strRef>
          </c:tx>
          <c:spPr>
            <a:ln>
              <a:solidFill>
                <a:srgbClr val="C0504D"/>
              </a:solidFill>
            </a:ln>
          </c:spPr>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Tencent!$M$97:$W$97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13CD-A640-9664-337269EB8345}"/>
            </c:ext>
          </c:extLst>
        </c:ser>
        <c:ser>
          <c:idx val="2"/>
          <c:order val="3"/>
          <c:tx>
            <c:strRef>
              <c:f>Tencent!$A$98</c:f>
              <c:strCache>
                <c:ptCount val="1"/>
                <c:pt idx="0">
                  <c:v> 800G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Tencent!$M$98:$W$98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13CD-A640-9664-337269EB8345}"/>
            </c:ext>
          </c:extLst>
        </c:ser>
        <c:ser>
          <c:idx val="3"/>
          <c:order val="4"/>
          <c:tx>
            <c:strRef>
              <c:f>Tencent!$A$99</c:f>
              <c:strCache>
                <c:ptCount val="1"/>
                <c:pt idx="0">
                  <c:v> 1.6T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Tencent!$M$99:$W$99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13CD-A640-9664-337269EB8345}"/>
            </c:ext>
          </c:extLst>
        </c:ser>
        <c:dLbls>
          <c:showLegendKey val="0"/>
          <c:showVal val="0"/>
          <c:showCatName val="0"/>
          <c:showSerName val="0"/>
          <c:showPercent val="0"/>
          <c:showBubbleSize val="0"/>
        </c:dLbls>
        <c:smooth val="0"/>
        <c:axId val="62012416"/>
        <c:axId val="62018304"/>
      </c:lineChart>
      <c:catAx>
        <c:axId val="62012416"/>
        <c:scaling>
          <c:orientation val="minMax"/>
        </c:scaling>
        <c:delete val="0"/>
        <c:axPos val="b"/>
        <c:numFmt formatCode="General" sourceLinked="1"/>
        <c:majorTickMark val="out"/>
        <c:minorTickMark val="none"/>
        <c:tickLblPos val="nextTo"/>
        <c:crossAx val="62018304"/>
        <c:crosses val="autoZero"/>
        <c:auto val="1"/>
        <c:lblAlgn val="ctr"/>
        <c:lblOffset val="100"/>
        <c:noMultiLvlLbl val="0"/>
      </c:catAx>
      <c:valAx>
        <c:axId val="62018304"/>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8.9867325839950492E-3"/>
              <c:y val="0.27614868975855628"/>
            </c:manualLayout>
          </c:layout>
          <c:overlay val="0"/>
        </c:title>
        <c:numFmt formatCode="_(&quot;$&quot;* #,##0_);_(&quot;$&quot;* \(#,##0\);_(&quot;$&quot;* &quot;-&quot;??_);_(@_)" sourceLinked="1"/>
        <c:majorTickMark val="out"/>
        <c:minorTickMark val="none"/>
        <c:tickLblPos val="nextTo"/>
        <c:crossAx val="62012416"/>
        <c:crosses val="autoZero"/>
        <c:crossBetween val="between"/>
      </c:valAx>
    </c:plotArea>
    <c:legend>
      <c:legendPos val="r"/>
      <c:layout>
        <c:manualLayout>
          <c:xMode val="edge"/>
          <c:yMode val="edge"/>
          <c:x val="0.14124982325387556"/>
          <c:y val="6.3886693057108659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815793376730577"/>
          <c:y val="5.1400554097404488E-2"/>
          <c:w val="0.83549782457273802"/>
          <c:h val="0.8326195683872849"/>
        </c:manualLayout>
      </c:layout>
      <c:lineChart>
        <c:grouping val="standard"/>
        <c:varyColors val="0"/>
        <c:ser>
          <c:idx val="0"/>
          <c:order val="0"/>
          <c:tx>
            <c:strRef>
              <c:f>Tencent!$A$103</c:f>
              <c:strCache>
                <c:ptCount val="1"/>
                <c:pt idx="0">
                  <c:v> 100G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Tencent!$B$103:$L$103</c:f>
              <c:numCache>
                <c:formatCode>_(* #,##0_);_(* \(#,##0\);_(* "-"??_);_(@_)</c:formatCode>
                <c:ptCount val="11"/>
                <c:pt idx="0">
                  <c:v>4266.450135294117</c:v>
                </c:pt>
                <c:pt idx="1">
                  <c:v>4150.3680000000004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1B07-0D46-B41C-4905D132EAA4}"/>
            </c:ext>
          </c:extLst>
        </c:ser>
        <c:ser>
          <c:idx val="1"/>
          <c:order val="1"/>
          <c:tx>
            <c:strRef>
              <c:f>Tencent!$A$104</c:f>
              <c:strCache>
                <c:ptCount val="1"/>
                <c:pt idx="0">
                  <c:v> 200G </c:v>
                </c:pt>
              </c:strCache>
            </c:strRef>
          </c:tx>
          <c:spPr>
            <a:ln>
              <a:solidFill>
                <a:srgbClr val="F79646"/>
              </a:solidFill>
            </a:ln>
          </c:spPr>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Tencent!$B$104:$L$104</c:f>
              <c:numCache>
                <c:formatCode>_(* #,##0_);_(* \(#,##0\);_(* "-"??_);_(@_)</c:formatCode>
                <c:ptCount val="11"/>
                <c:pt idx="0">
                  <c:v>255.23852459016393</c:v>
                </c:pt>
                <c:pt idx="1">
                  <c:v>1085.4192000000003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1B07-0D46-B41C-4905D132EAA4}"/>
            </c:ext>
          </c:extLst>
        </c:ser>
        <c:ser>
          <c:idx val="4"/>
          <c:order val="2"/>
          <c:tx>
            <c:strRef>
              <c:f>Tencent!$A$105</c:f>
              <c:strCache>
                <c:ptCount val="1"/>
                <c:pt idx="0">
                  <c:v> 400G </c:v>
                </c:pt>
              </c:strCache>
            </c:strRef>
          </c:tx>
          <c:spPr>
            <a:ln>
              <a:solidFill>
                <a:srgbClr val="C0504D"/>
              </a:solidFill>
            </a:ln>
          </c:spPr>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Tencent!$B$105:$L$105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1B07-0D46-B41C-4905D132EAA4}"/>
            </c:ext>
          </c:extLst>
        </c:ser>
        <c:ser>
          <c:idx val="2"/>
          <c:order val="3"/>
          <c:tx>
            <c:strRef>
              <c:f>Tencent!$A$106</c:f>
              <c:strCache>
                <c:ptCount val="1"/>
                <c:pt idx="0">
                  <c:v> 600/800G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Tencent!$B$106:$L$106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1B07-0D46-B41C-4905D132EAA4}"/>
            </c:ext>
          </c:extLst>
        </c:ser>
        <c:ser>
          <c:idx val="3"/>
          <c:order val="4"/>
          <c:tx>
            <c:strRef>
              <c:f>Tencent!$A$107</c:f>
              <c:strCache>
                <c:ptCount val="1"/>
                <c:pt idx="0">
                  <c:v> 1.2/1.6T </c:v>
                </c:pt>
              </c:strCache>
            </c:strRef>
          </c:tx>
          <c:marker>
            <c:symbol val="none"/>
          </c:marker>
          <c:cat>
            <c:numRef>
              <c:f>Tencent!$B$93:$L$93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Tencent!$B$107:$L$107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1B07-0D46-B41C-4905D132EAA4}"/>
            </c:ext>
          </c:extLst>
        </c:ser>
        <c:dLbls>
          <c:showLegendKey val="0"/>
          <c:showVal val="0"/>
          <c:showCatName val="0"/>
          <c:showSerName val="0"/>
          <c:showPercent val="0"/>
          <c:showBubbleSize val="0"/>
        </c:dLbls>
        <c:smooth val="0"/>
        <c:axId val="62048128"/>
        <c:axId val="62049664"/>
      </c:lineChart>
      <c:catAx>
        <c:axId val="62048128"/>
        <c:scaling>
          <c:orientation val="minMax"/>
        </c:scaling>
        <c:delete val="0"/>
        <c:axPos val="b"/>
        <c:numFmt formatCode="General" sourceLinked="1"/>
        <c:majorTickMark val="out"/>
        <c:minorTickMark val="none"/>
        <c:tickLblPos val="nextTo"/>
        <c:crossAx val="62049664"/>
        <c:crosses val="autoZero"/>
        <c:auto val="1"/>
        <c:lblAlgn val="ctr"/>
        <c:lblOffset val="100"/>
        <c:noMultiLvlLbl val="0"/>
      </c:catAx>
      <c:valAx>
        <c:axId val="62049664"/>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1.4342949526826129E-2"/>
              <c:y val="0.23281687875619997"/>
            </c:manualLayout>
          </c:layout>
          <c:overlay val="0"/>
        </c:title>
        <c:numFmt formatCode="_(* #,##0_);_(* \(#,##0\);_(* &quot;-&quot;??_);_(@_)" sourceLinked="1"/>
        <c:majorTickMark val="out"/>
        <c:minorTickMark val="none"/>
        <c:tickLblPos val="nextTo"/>
        <c:crossAx val="62048128"/>
        <c:crosses val="autoZero"/>
        <c:crossBetween val="between"/>
      </c:valAx>
    </c:plotArea>
    <c:legend>
      <c:legendPos val="r"/>
      <c:layout>
        <c:manualLayout>
          <c:xMode val="edge"/>
          <c:yMode val="edge"/>
          <c:x val="0.17388722411132845"/>
          <c:y val="6.8704036098968704E-2"/>
          <c:w val="0.19995352513952164"/>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473604626983245"/>
          <c:y val="5.1400554097404488E-2"/>
          <c:w val="0.85891970573441889"/>
          <c:h val="0.8326195683872849"/>
        </c:manualLayout>
      </c:layout>
      <c:lineChart>
        <c:grouping val="standard"/>
        <c:varyColors val="0"/>
        <c:ser>
          <c:idx val="0"/>
          <c:order val="0"/>
          <c:tx>
            <c:strRef>
              <c:f>Tencent!$A$103</c:f>
              <c:strCache>
                <c:ptCount val="1"/>
                <c:pt idx="0">
                  <c:v> 100G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Tencent!$M$103:$W$103</c:f>
              <c:numCache>
                <c:formatCode>_("$"* #,##0_);_("$"* \(#,##0\);_("$"* "-"??_);_(@_)</c:formatCode>
                <c:ptCount val="11"/>
                <c:pt idx="0">
                  <c:v>33.40141506344537</c:v>
                </c:pt>
                <c:pt idx="1">
                  <c:v>25.327865600000003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E040-8645-8688-A5F424443C14}"/>
            </c:ext>
          </c:extLst>
        </c:ser>
        <c:ser>
          <c:idx val="1"/>
          <c:order val="1"/>
          <c:tx>
            <c:strRef>
              <c:f>Tencent!$A$104</c:f>
              <c:strCache>
                <c:ptCount val="1"/>
                <c:pt idx="0">
                  <c:v> 200G </c:v>
                </c:pt>
              </c:strCache>
            </c:strRef>
          </c:tx>
          <c:spPr>
            <a:ln>
              <a:solidFill>
                <a:srgbClr val="F79646"/>
              </a:solidFill>
            </a:ln>
          </c:spPr>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Tencent!$M$104:$W$104</c:f>
              <c:numCache>
                <c:formatCode>_("$"* #,##0_);_("$"* \(#,##0\);_("$"* "-"??_);_(@_)</c:formatCode>
                <c:ptCount val="11"/>
                <c:pt idx="0">
                  <c:v>2.0213476900149034</c:v>
                </c:pt>
                <c:pt idx="1">
                  <c:v>6.4558765963636393</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E040-8645-8688-A5F424443C14}"/>
            </c:ext>
          </c:extLst>
        </c:ser>
        <c:ser>
          <c:idx val="4"/>
          <c:order val="2"/>
          <c:tx>
            <c:strRef>
              <c:f>Tencent!$A$105</c:f>
              <c:strCache>
                <c:ptCount val="1"/>
                <c:pt idx="0">
                  <c:v> 400G </c:v>
                </c:pt>
              </c:strCache>
            </c:strRef>
          </c:tx>
          <c:spPr>
            <a:ln>
              <a:solidFill>
                <a:srgbClr val="C0504D"/>
              </a:solidFill>
            </a:ln>
          </c:spPr>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Tencent!$M$105:$W$105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E040-8645-8688-A5F424443C14}"/>
            </c:ext>
          </c:extLst>
        </c:ser>
        <c:ser>
          <c:idx val="2"/>
          <c:order val="3"/>
          <c:tx>
            <c:strRef>
              <c:f>Tencent!$A$106</c:f>
              <c:strCache>
                <c:ptCount val="1"/>
                <c:pt idx="0">
                  <c:v> 600/800G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Tencent!$M$106:$W$106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E040-8645-8688-A5F424443C14}"/>
            </c:ext>
          </c:extLst>
        </c:ser>
        <c:ser>
          <c:idx val="3"/>
          <c:order val="4"/>
          <c:tx>
            <c:strRef>
              <c:f>Tencent!$A$107</c:f>
              <c:strCache>
                <c:ptCount val="1"/>
                <c:pt idx="0">
                  <c:v> 1.2/1.6T </c:v>
                </c:pt>
              </c:strCache>
            </c:strRef>
          </c:tx>
          <c:marker>
            <c:symbol val="none"/>
          </c:marker>
          <c:cat>
            <c:numRef>
              <c:f>Tencent!$M$93:$W$93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Tencent!$M$107:$W$107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E040-8645-8688-A5F424443C14}"/>
            </c:ext>
          </c:extLst>
        </c:ser>
        <c:dLbls>
          <c:showLegendKey val="0"/>
          <c:showVal val="0"/>
          <c:showCatName val="0"/>
          <c:showSerName val="0"/>
          <c:showPercent val="0"/>
          <c:showBubbleSize val="0"/>
        </c:dLbls>
        <c:smooth val="0"/>
        <c:axId val="62219008"/>
        <c:axId val="62220544"/>
      </c:lineChart>
      <c:catAx>
        <c:axId val="62219008"/>
        <c:scaling>
          <c:orientation val="minMax"/>
        </c:scaling>
        <c:delete val="0"/>
        <c:axPos val="b"/>
        <c:numFmt formatCode="General" sourceLinked="1"/>
        <c:majorTickMark val="out"/>
        <c:minorTickMark val="none"/>
        <c:tickLblPos val="nextTo"/>
        <c:crossAx val="62220544"/>
        <c:crosses val="autoZero"/>
        <c:auto val="1"/>
        <c:lblAlgn val="ctr"/>
        <c:lblOffset val="100"/>
        <c:noMultiLvlLbl val="0"/>
      </c:catAx>
      <c:valAx>
        <c:axId val="62220544"/>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7618572073759518E-2"/>
              <c:y val="0.28096603280041632"/>
            </c:manualLayout>
          </c:layout>
          <c:overlay val="0"/>
        </c:title>
        <c:numFmt formatCode="_(&quot;$&quot;* #,##0_);_(&quot;$&quot;* \(#,##0\);_(&quot;$&quot;* &quot;-&quot;??_);_(@_)" sourceLinked="1"/>
        <c:majorTickMark val="out"/>
        <c:minorTickMark val="none"/>
        <c:tickLblPos val="nextTo"/>
        <c:crossAx val="62219008"/>
        <c:crosses val="autoZero"/>
        <c:crossBetween val="between"/>
      </c:valAx>
    </c:plotArea>
    <c:legend>
      <c:legendPos val="r"/>
      <c:layout>
        <c:manualLayout>
          <c:xMode val="edge"/>
          <c:yMode val="edge"/>
          <c:x val="0.32878607844883578"/>
          <c:y val="5.4252006973388542E-2"/>
          <c:w val="0.23825318269992007"/>
          <c:h val="0.27526563664033188"/>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Tencent!$A$114</c:f>
          <c:strCache>
            <c:ptCount val="1"/>
            <c:pt idx="0">
              <c:v>Ethernet transceivers % of total capex: Tencent</c:v>
            </c:pt>
          </c:strCache>
        </c:strRef>
      </c:tx>
      <c:layout>
        <c:manualLayout>
          <c:xMode val="edge"/>
          <c:yMode val="edge"/>
          <c:x val="0.18250699912510934"/>
          <c:y val="1.0396359145910444E-2"/>
        </c:manualLayout>
      </c:layout>
      <c:overlay val="1"/>
      <c:txPr>
        <a:bodyPr/>
        <a:lstStyle/>
        <a:p>
          <a:pPr>
            <a:defRPr sz="1200"/>
          </a:pPr>
          <a:endParaRPr lang="en-US"/>
        </a:p>
      </c:txPr>
    </c:title>
    <c:autoTitleDeleted val="0"/>
    <c:plotArea>
      <c:layout>
        <c:manualLayout>
          <c:layoutTarget val="inner"/>
          <c:xMode val="edge"/>
          <c:yMode val="edge"/>
          <c:x val="9.8863517060367459E-2"/>
          <c:y val="0.11489286633761235"/>
          <c:w val="0.870580927384077"/>
          <c:h val="0.75488413994481729"/>
        </c:manualLayout>
      </c:layout>
      <c:barChart>
        <c:barDir val="col"/>
        <c:grouping val="clustered"/>
        <c:varyColors val="0"/>
        <c:ser>
          <c:idx val="0"/>
          <c:order val="0"/>
          <c:invertIfNegative val="0"/>
          <c:cat>
            <c:numRef>
              <c:f>Tencent!$M$111:$W$111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Tencent!$M$114:$W$114</c:f>
              <c:numCache>
                <c:formatCode>0.0%</c:formatCode>
                <c:ptCount val="11"/>
                <c:pt idx="0">
                  <c:v>1.680402501445917E-2</c:v>
                </c:pt>
                <c:pt idx="1">
                  <c:v>1.8546401137459857E-2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D79-F541-A104-62FAE91C6F9A}"/>
            </c:ext>
          </c:extLst>
        </c:ser>
        <c:dLbls>
          <c:showLegendKey val="0"/>
          <c:showVal val="0"/>
          <c:showCatName val="0"/>
          <c:showSerName val="0"/>
          <c:showPercent val="0"/>
          <c:showBubbleSize val="0"/>
        </c:dLbls>
        <c:gapWidth val="150"/>
        <c:axId val="62229120"/>
        <c:axId val="62235008"/>
      </c:barChart>
      <c:catAx>
        <c:axId val="62229120"/>
        <c:scaling>
          <c:orientation val="minMax"/>
        </c:scaling>
        <c:delete val="0"/>
        <c:axPos val="b"/>
        <c:numFmt formatCode="General" sourceLinked="1"/>
        <c:majorTickMark val="out"/>
        <c:minorTickMark val="none"/>
        <c:tickLblPos val="nextTo"/>
        <c:crossAx val="62235008"/>
        <c:crosses val="autoZero"/>
        <c:auto val="1"/>
        <c:lblAlgn val="ctr"/>
        <c:lblOffset val="100"/>
        <c:noMultiLvlLbl val="0"/>
      </c:catAx>
      <c:valAx>
        <c:axId val="62235008"/>
        <c:scaling>
          <c:orientation val="minMax"/>
        </c:scaling>
        <c:delete val="0"/>
        <c:axPos val="l"/>
        <c:majorGridlines/>
        <c:numFmt formatCode="0.0%" sourceLinked="1"/>
        <c:majorTickMark val="out"/>
        <c:minorTickMark val="none"/>
        <c:tickLblPos val="nextTo"/>
        <c:crossAx val="62229120"/>
        <c:crosses val="autoZero"/>
        <c:crossBetween val="between"/>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Tencent!$A$115</c:f>
          <c:strCache>
            <c:ptCount val="1"/>
            <c:pt idx="0">
              <c:v>DWDM transceivers % of total capex: Tencent</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strRef>
              <c:f>Tencent!$A$115</c:f>
              <c:strCache>
                <c:ptCount val="1"/>
                <c:pt idx="0">
                  <c:v>DWDM transceivers % of total capex: Tencent</c:v>
                </c:pt>
              </c:strCache>
            </c:strRef>
          </c:tx>
          <c:spPr>
            <a:solidFill>
              <a:srgbClr val="C00000"/>
            </a:solidFill>
          </c:spPr>
          <c:invertIfNegative val="0"/>
          <c:cat>
            <c:numRef>
              <c:f>Tencent!$M$111:$W$111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Tencent!$M$115:$W$115</c:f>
              <c:numCache>
                <c:formatCode>0.0%</c:formatCode>
                <c:ptCount val="11"/>
                <c:pt idx="0">
                  <c:v>1.2465507238967413E-2</c:v>
                </c:pt>
                <c:pt idx="1">
                  <c:v>1.1168848330390542E-2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dLbls>
          <c:showLegendKey val="0"/>
          <c:showVal val="0"/>
          <c:showCatName val="0"/>
          <c:showSerName val="0"/>
          <c:showPercent val="0"/>
          <c:showBubbleSize val="0"/>
        </c:dLbls>
        <c:gapWidth val="150"/>
        <c:overlap val="100"/>
        <c:axId val="62259584"/>
        <c:axId val="62261120"/>
      </c:barChart>
      <c:catAx>
        <c:axId val="62259584"/>
        <c:scaling>
          <c:orientation val="minMax"/>
        </c:scaling>
        <c:delete val="0"/>
        <c:axPos val="b"/>
        <c:numFmt formatCode="General" sourceLinked="1"/>
        <c:majorTickMark val="out"/>
        <c:minorTickMark val="none"/>
        <c:tickLblPos val="nextTo"/>
        <c:crossAx val="62261120"/>
        <c:crosses val="autoZero"/>
        <c:auto val="1"/>
        <c:lblAlgn val="ctr"/>
        <c:lblOffset val="100"/>
        <c:noMultiLvlLbl val="0"/>
      </c:catAx>
      <c:valAx>
        <c:axId val="62261120"/>
        <c:scaling>
          <c:orientation val="minMax"/>
        </c:scaling>
        <c:delete val="0"/>
        <c:axPos val="l"/>
        <c:majorGridlines/>
        <c:numFmt formatCode="0.0%" sourceLinked="0"/>
        <c:majorTickMark val="out"/>
        <c:minorTickMark val="none"/>
        <c:tickLblPos val="nextTo"/>
        <c:crossAx val="622595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Tencent!$A$116</c:f>
          <c:strCache>
            <c:ptCount val="1"/>
            <c:pt idx="0">
              <c:v>Ethernet&amp;DWDM transceivers % of total capex: Tencent</c:v>
            </c:pt>
          </c:strCache>
        </c:strRef>
      </c:tx>
      <c:layout>
        <c:manualLayout>
          <c:xMode val="edge"/>
          <c:yMode val="edge"/>
          <c:x val="0.15688746833819259"/>
          <c:y val="2.7820707587933698E-2"/>
        </c:manualLayout>
      </c:layout>
      <c:overlay val="1"/>
      <c:txPr>
        <a:bodyPr/>
        <a:lstStyle/>
        <a:p>
          <a:pPr>
            <a:defRPr sz="1200"/>
          </a:pPr>
          <a:endParaRPr lang="en-US"/>
        </a:p>
      </c:txPr>
    </c:title>
    <c:autoTitleDeleted val="0"/>
    <c:plotArea>
      <c:layout>
        <c:manualLayout>
          <c:layoutTarget val="inner"/>
          <c:xMode val="edge"/>
          <c:yMode val="edge"/>
          <c:x val="9.3825740296316865E-2"/>
          <c:y val="9.7703988401466685E-2"/>
          <c:w val="0.870580927384077"/>
          <c:h val="0.79095290172061827"/>
        </c:manualLayout>
      </c:layout>
      <c:barChart>
        <c:barDir val="col"/>
        <c:grouping val="stacked"/>
        <c:varyColors val="0"/>
        <c:ser>
          <c:idx val="2"/>
          <c:order val="0"/>
          <c:tx>
            <c:v>Ethernet</c:v>
          </c:tx>
          <c:spPr>
            <a:solidFill>
              <a:srgbClr val="0070C0"/>
            </a:solidFill>
          </c:spPr>
          <c:invertIfNegative val="0"/>
          <c:cat>
            <c:numRef>
              <c:f>Tencent!$M$111:$W$111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Tencent!$M$114:$W$114</c:f>
              <c:numCache>
                <c:formatCode>0.0%</c:formatCode>
                <c:ptCount val="11"/>
                <c:pt idx="0">
                  <c:v>1.680402501445917E-2</c:v>
                </c:pt>
                <c:pt idx="1">
                  <c:v>1.8546401137459857E-2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Tencent!$M$111:$W$111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Tencent!$M$115:$W$115</c:f>
              <c:numCache>
                <c:formatCode>0.0%</c:formatCode>
                <c:ptCount val="11"/>
                <c:pt idx="0">
                  <c:v>1.2465507238967413E-2</c:v>
                </c:pt>
                <c:pt idx="1">
                  <c:v>1.1168848330390542E-2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939-ED42-8DD6-34AFA7C00355}"/>
            </c:ext>
          </c:extLst>
        </c:ser>
        <c:dLbls>
          <c:showLegendKey val="0"/>
          <c:showVal val="0"/>
          <c:showCatName val="0"/>
          <c:showSerName val="0"/>
          <c:showPercent val="0"/>
          <c:showBubbleSize val="0"/>
        </c:dLbls>
        <c:gapWidth val="150"/>
        <c:overlap val="100"/>
        <c:axId val="62270464"/>
        <c:axId val="62288640"/>
      </c:barChart>
      <c:catAx>
        <c:axId val="62270464"/>
        <c:scaling>
          <c:orientation val="minMax"/>
        </c:scaling>
        <c:delete val="0"/>
        <c:axPos val="b"/>
        <c:numFmt formatCode="General" sourceLinked="1"/>
        <c:majorTickMark val="out"/>
        <c:minorTickMark val="none"/>
        <c:tickLblPos val="nextTo"/>
        <c:crossAx val="62288640"/>
        <c:crosses val="autoZero"/>
        <c:auto val="1"/>
        <c:lblAlgn val="ctr"/>
        <c:lblOffset val="100"/>
        <c:noMultiLvlLbl val="0"/>
      </c:catAx>
      <c:valAx>
        <c:axId val="62288640"/>
        <c:scaling>
          <c:orientation val="minMax"/>
        </c:scaling>
        <c:delete val="0"/>
        <c:axPos val="l"/>
        <c:majorGridlines/>
        <c:numFmt formatCode="0.0%" sourceLinked="1"/>
        <c:majorTickMark val="out"/>
        <c:minorTickMark val="none"/>
        <c:tickLblPos val="nextTo"/>
        <c:crossAx val="62270464"/>
        <c:crosses val="autoZero"/>
        <c:crossBetween val="between"/>
      </c:valAx>
    </c:plotArea>
    <c:legend>
      <c:legendPos val="t"/>
      <c:layout>
        <c:manualLayout>
          <c:xMode val="edge"/>
          <c:yMode val="edge"/>
          <c:x val="0.35555028858168547"/>
          <c:y val="0.14374032253765745"/>
          <c:w val="0.29714206793225995"/>
          <c:h val="8.3846574274169791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Baidu</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Baidu!$A$119</c:f>
              <c:strCache>
                <c:ptCount val="1"/>
                <c:pt idx="0">
                  <c:v>Ethernet</c:v>
                </c:pt>
              </c:strCache>
            </c:strRef>
          </c:tx>
          <c:cat>
            <c:numRef>
              <c:f>Baidu!$C$118:$L$118</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Baidu!$C$121:$L$121</c:f>
              <c:numCache>
                <c:formatCode>0%</c:formatCode>
                <c:ptCount val="10"/>
                <c:pt idx="0">
                  <c:v>1.3292695557652623</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dLbls>
          <c:showLegendKey val="0"/>
          <c:showVal val="0"/>
          <c:showCatName val="0"/>
          <c:showSerName val="0"/>
          <c:showPercent val="0"/>
          <c:showBubbleSize val="0"/>
        </c:dLbls>
        <c:marker val="1"/>
        <c:smooth val="0"/>
        <c:axId val="63121280"/>
        <c:axId val="63122816"/>
      </c:lineChart>
      <c:catAx>
        <c:axId val="63121280"/>
        <c:scaling>
          <c:orientation val="minMax"/>
        </c:scaling>
        <c:delete val="0"/>
        <c:axPos val="b"/>
        <c:numFmt formatCode="General" sourceLinked="1"/>
        <c:majorTickMark val="out"/>
        <c:minorTickMark val="none"/>
        <c:tickLblPos val="nextTo"/>
        <c:crossAx val="63122816"/>
        <c:crosses val="autoZero"/>
        <c:auto val="1"/>
        <c:lblAlgn val="ctr"/>
        <c:lblOffset val="100"/>
        <c:noMultiLvlLbl val="0"/>
      </c:catAx>
      <c:valAx>
        <c:axId val="63122816"/>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63121280"/>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79664823134544"/>
          <c:y val="5.1400554097404488E-2"/>
          <c:w val="0.81568930944297402"/>
          <c:h val="0.8326195683872849"/>
        </c:manualLayout>
      </c:layout>
      <c:lineChart>
        <c:grouping val="standard"/>
        <c:varyColors val="0"/>
        <c:ser>
          <c:idx val="0"/>
          <c:order val="0"/>
          <c:tx>
            <c:strRef>
              <c:f>Baidu!$A$95</c:f>
              <c:strCache>
                <c:ptCount val="1"/>
                <c:pt idx="0">
                  <c:v> 100G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Baidu!$B$95:$L$95</c:f>
              <c:numCache>
                <c:formatCode>_(* #,##0_);_(* \(#,##0\);_(* "-"??_);_(@_)</c:formatCode>
                <c:ptCount val="11"/>
                <c:pt idx="0">
                  <c:v>36229.784933436276</c:v>
                </c:pt>
                <c:pt idx="1">
                  <c:v>104452.61942450001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CEF5-F140-87D9-D2913ADDA06D}"/>
            </c:ext>
          </c:extLst>
        </c:ser>
        <c:ser>
          <c:idx val="4"/>
          <c:order val="1"/>
          <c:tx>
            <c:strRef>
              <c:f>Baidu!$A$97</c:f>
              <c:strCache>
                <c:ptCount val="1"/>
                <c:pt idx="0">
                  <c:v> 400G </c:v>
                </c:pt>
              </c:strCache>
            </c:strRef>
          </c:tx>
          <c:spPr>
            <a:ln>
              <a:solidFill>
                <a:srgbClr val="C0504D"/>
              </a:solidFill>
            </a:ln>
          </c:spPr>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Baidu!$B$97:$L$97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CEF5-F140-87D9-D2913ADDA06D}"/>
            </c:ext>
          </c:extLst>
        </c:ser>
        <c:ser>
          <c:idx val="2"/>
          <c:order val="2"/>
          <c:tx>
            <c:strRef>
              <c:f>Baidu!$A$98</c:f>
              <c:strCache>
                <c:ptCount val="1"/>
                <c:pt idx="0">
                  <c:v> 800G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Baidu!$B$98:$L$98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CEF5-F140-87D9-D2913ADDA06D}"/>
            </c:ext>
          </c:extLst>
        </c:ser>
        <c:ser>
          <c:idx val="3"/>
          <c:order val="3"/>
          <c:tx>
            <c:strRef>
              <c:f>Baidu!$A$99</c:f>
              <c:strCache>
                <c:ptCount val="1"/>
                <c:pt idx="0">
                  <c:v> 1.6T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Baidu!$B$99:$L$99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CEF5-F140-87D9-D2913ADDA06D}"/>
            </c:ext>
          </c:extLst>
        </c:ser>
        <c:dLbls>
          <c:showLegendKey val="0"/>
          <c:showVal val="0"/>
          <c:showCatName val="0"/>
          <c:showSerName val="0"/>
          <c:showPercent val="0"/>
          <c:showBubbleSize val="0"/>
        </c:dLbls>
        <c:smooth val="0"/>
        <c:axId val="63148032"/>
        <c:axId val="63149568"/>
      </c:lineChart>
      <c:catAx>
        <c:axId val="63148032"/>
        <c:scaling>
          <c:orientation val="minMax"/>
        </c:scaling>
        <c:delete val="0"/>
        <c:axPos val="b"/>
        <c:numFmt formatCode="General" sourceLinked="1"/>
        <c:majorTickMark val="out"/>
        <c:minorTickMark val="none"/>
        <c:tickLblPos val="nextTo"/>
        <c:crossAx val="63149568"/>
        <c:crosses val="autoZero"/>
        <c:auto val="1"/>
        <c:lblAlgn val="ctr"/>
        <c:lblOffset val="100"/>
        <c:noMultiLvlLbl val="0"/>
      </c:catAx>
      <c:valAx>
        <c:axId val="63149568"/>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63148032"/>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57326315943465"/>
          <c:y val="5.1400554097404488E-2"/>
          <c:w val="0.8570824705000526"/>
          <c:h val="0.8326195683872849"/>
        </c:manualLayout>
      </c:layout>
      <c:lineChart>
        <c:grouping val="standard"/>
        <c:varyColors val="0"/>
        <c:ser>
          <c:idx val="0"/>
          <c:order val="0"/>
          <c:tx>
            <c:strRef>
              <c:f>Baidu!$A$95</c:f>
              <c:strCache>
                <c:ptCount val="1"/>
                <c:pt idx="0">
                  <c:v> 100G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Baidu!$M$95:$W$95</c:f>
              <c:numCache>
                <c:formatCode>_("$"* #,##0_);_("$"* \(#,##0\);_("$"* "-"??_);_(@_)</c:formatCode>
                <c:ptCount val="11"/>
                <c:pt idx="0">
                  <c:v>7.6562987209463902</c:v>
                </c:pt>
                <c:pt idx="1">
                  <c:v>11.976749904339364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CBFA-0844-9E44-A09E05625544}"/>
            </c:ext>
          </c:extLst>
        </c:ser>
        <c:ser>
          <c:idx val="1"/>
          <c:order val="1"/>
          <c:tx>
            <c:strRef>
              <c:f>Baidu!$A$96</c:f>
              <c:strCache>
                <c:ptCount val="1"/>
                <c:pt idx="0">
                  <c:v> 200G </c:v>
                </c:pt>
              </c:strCache>
            </c:strRef>
          </c:tx>
          <c:spPr>
            <a:ln>
              <a:solidFill>
                <a:srgbClr val="F79646"/>
              </a:solidFill>
            </a:ln>
          </c:spPr>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Baidu!$M$96:$W$96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CBFA-0844-9E44-A09E05625544}"/>
            </c:ext>
          </c:extLst>
        </c:ser>
        <c:ser>
          <c:idx val="4"/>
          <c:order val="2"/>
          <c:tx>
            <c:strRef>
              <c:f>Baidu!$A$97</c:f>
              <c:strCache>
                <c:ptCount val="1"/>
                <c:pt idx="0">
                  <c:v> 400G </c:v>
                </c:pt>
              </c:strCache>
            </c:strRef>
          </c:tx>
          <c:spPr>
            <a:ln>
              <a:solidFill>
                <a:srgbClr val="C0504D"/>
              </a:solidFill>
            </a:ln>
          </c:spPr>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Baidu!$M$97:$W$97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CBFA-0844-9E44-A09E05625544}"/>
            </c:ext>
          </c:extLst>
        </c:ser>
        <c:ser>
          <c:idx val="2"/>
          <c:order val="3"/>
          <c:tx>
            <c:strRef>
              <c:f>Baidu!$A$98</c:f>
              <c:strCache>
                <c:ptCount val="1"/>
                <c:pt idx="0">
                  <c:v> 800G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Baidu!$M$98:$W$98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CBFA-0844-9E44-A09E05625544}"/>
            </c:ext>
          </c:extLst>
        </c:ser>
        <c:ser>
          <c:idx val="3"/>
          <c:order val="4"/>
          <c:tx>
            <c:strRef>
              <c:f>Baidu!$A$99</c:f>
              <c:strCache>
                <c:ptCount val="1"/>
                <c:pt idx="0">
                  <c:v> 1.6T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Baidu!$M$99:$W$99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CBFA-0844-9E44-A09E05625544}"/>
            </c:ext>
          </c:extLst>
        </c:ser>
        <c:dLbls>
          <c:showLegendKey val="0"/>
          <c:showVal val="0"/>
          <c:showCatName val="0"/>
          <c:showSerName val="0"/>
          <c:showPercent val="0"/>
          <c:showBubbleSize val="0"/>
        </c:dLbls>
        <c:smooth val="0"/>
        <c:axId val="63314560"/>
        <c:axId val="63316352"/>
      </c:lineChart>
      <c:catAx>
        <c:axId val="63314560"/>
        <c:scaling>
          <c:orientation val="minMax"/>
        </c:scaling>
        <c:delete val="0"/>
        <c:axPos val="b"/>
        <c:numFmt formatCode="General" sourceLinked="1"/>
        <c:majorTickMark val="out"/>
        <c:minorTickMark val="none"/>
        <c:tickLblPos val="nextTo"/>
        <c:crossAx val="63316352"/>
        <c:crosses val="autoZero"/>
        <c:auto val="1"/>
        <c:lblAlgn val="ctr"/>
        <c:lblOffset val="100"/>
        <c:noMultiLvlLbl val="0"/>
      </c:catAx>
      <c:valAx>
        <c:axId val="63316352"/>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4827835646477225E-2"/>
              <c:y val="0.28096592622488487"/>
            </c:manualLayout>
          </c:layout>
          <c:overlay val="0"/>
        </c:title>
        <c:numFmt formatCode="_(&quot;$&quot;* #,##0_);_(&quot;$&quot;* \(#,##0\);_(&quot;$&quot;* &quot;-&quot;??_);_(@_)" sourceLinked="1"/>
        <c:majorTickMark val="out"/>
        <c:minorTickMark val="none"/>
        <c:tickLblPos val="nextTo"/>
        <c:crossAx val="63314560"/>
        <c:crosses val="autoZero"/>
        <c:crossBetween val="between"/>
      </c:valAx>
    </c:plotArea>
    <c:legend>
      <c:legendPos val="r"/>
      <c:layout>
        <c:manualLayout>
          <c:xMode val="edge"/>
          <c:yMode val="edge"/>
          <c:x val="0.13995454172725266"/>
          <c:y val="6.8704389356482876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72462817147856"/>
          <c:y val="3.75116652085156E-2"/>
          <c:w val="0.8137191601049869"/>
          <c:h val="0.82907662583843689"/>
        </c:manualLayout>
      </c:layout>
      <c:lineChart>
        <c:grouping val="standard"/>
        <c:varyColors val="0"/>
        <c:ser>
          <c:idx val="0"/>
          <c:order val="0"/>
          <c:tx>
            <c:strRef>
              <c:f>'Figures in the Report'!$H$417</c:f>
              <c:strCache>
                <c:ptCount val="1"/>
                <c:pt idx="0">
                  <c:v>Top 5 US</c:v>
                </c:pt>
              </c:strCache>
            </c:strRef>
          </c:tx>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Report'!$I$417:$S$417</c:f>
              <c:numCache>
                <c:formatCode>_("$"* #,##0_);_("$"* \(#,##0\);_("$"* "-"??_);_(@_)</c:formatCode>
                <c:ptCount val="11"/>
                <c:pt idx="0">
                  <c:v>1362.3989512249191</c:v>
                </c:pt>
                <c:pt idx="1">
                  <c:v>1011.1716138508971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2C9E-F04E-93EE-80557B187251}"/>
            </c:ext>
          </c:extLst>
        </c:ser>
        <c:ser>
          <c:idx val="1"/>
          <c:order val="1"/>
          <c:tx>
            <c:strRef>
              <c:f>'Figures in the Report'!$H$418</c:f>
              <c:strCache>
                <c:ptCount val="1"/>
                <c:pt idx="0">
                  <c:v>Top 5 China</c:v>
                </c:pt>
              </c:strCache>
            </c:strRef>
          </c:tx>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Report'!$I$418:$S$418</c:f>
              <c:numCache>
                <c:formatCode>_("$"* #,##0_);_("$"* \(#,##0\);_("$"* "-"??_);_(@_)</c:formatCode>
                <c:ptCount val="11"/>
                <c:pt idx="0">
                  <c:v>215.65089863071023</c:v>
                </c:pt>
                <c:pt idx="1">
                  <c:v>227.07418801061306</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2C9E-F04E-93EE-80557B187251}"/>
            </c:ext>
          </c:extLst>
        </c:ser>
        <c:ser>
          <c:idx val="2"/>
          <c:order val="2"/>
          <c:tx>
            <c:strRef>
              <c:f>'Figures in the Report'!$H$419</c:f>
              <c:strCache>
                <c:ptCount val="1"/>
                <c:pt idx="0">
                  <c:v>All Other</c:v>
                </c:pt>
              </c:strCache>
            </c:strRef>
          </c:tx>
          <c:marker>
            <c:symbol val="none"/>
          </c:marker>
          <c:cat>
            <c:numRef>
              <c:f>'Figures in the Report'!$I$416:$S$416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'Figures in the Report'!$I$419:$S$419</c:f>
              <c:numCache>
                <c:formatCode>_("$"* #,##0_);_("$"* \(#,##0\);_("$"* "-"??_);_(@_)</c:formatCode>
                <c:ptCount val="11"/>
                <c:pt idx="0">
                  <c:v>654.7803544436556</c:v>
                </c:pt>
                <c:pt idx="1">
                  <c:v>599.72399335678938</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2C9E-F04E-93EE-80557B187251}"/>
            </c:ext>
          </c:extLst>
        </c:ser>
        <c:dLbls>
          <c:showLegendKey val="0"/>
          <c:showVal val="0"/>
          <c:showCatName val="0"/>
          <c:showSerName val="0"/>
          <c:showPercent val="0"/>
          <c:showBubbleSize val="0"/>
        </c:dLbls>
        <c:smooth val="0"/>
        <c:axId val="125273216"/>
        <c:axId val="125275520"/>
      </c:lineChart>
      <c:catAx>
        <c:axId val="125273216"/>
        <c:scaling>
          <c:orientation val="minMax"/>
        </c:scaling>
        <c:delete val="0"/>
        <c:axPos val="b"/>
        <c:numFmt formatCode="General" sourceLinked="1"/>
        <c:majorTickMark val="out"/>
        <c:minorTickMark val="none"/>
        <c:tickLblPos val="nextTo"/>
        <c:crossAx val="125275520"/>
        <c:crosses val="autoZero"/>
        <c:auto val="1"/>
        <c:lblAlgn val="ctr"/>
        <c:lblOffset val="100"/>
        <c:noMultiLvlLbl val="0"/>
      </c:catAx>
      <c:valAx>
        <c:axId val="125275520"/>
        <c:scaling>
          <c:orientation val="minMax"/>
        </c:scaling>
        <c:delete val="0"/>
        <c:axPos val="l"/>
        <c:majorGridlines/>
        <c:title>
          <c:tx>
            <c:rich>
              <a:bodyPr rot="-5400000" vert="horz"/>
              <a:lstStyle/>
              <a:p>
                <a:pPr>
                  <a:defRPr/>
                </a:pPr>
                <a:r>
                  <a:rPr lang="en-US"/>
                  <a:t>Annual sales ($ mn)</a:t>
                </a:r>
              </a:p>
            </c:rich>
          </c:tx>
          <c:overlay val="0"/>
        </c:title>
        <c:numFmt formatCode="_(&quot;$&quot;* #,##0_);_(&quot;$&quot;* \(#,##0\);_(&quot;$&quot;* &quot;-&quot;??_);_(@_)" sourceLinked="1"/>
        <c:majorTickMark val="out"/>
        <c:minorTickMark val="none"/>
        <c:tickLblPos val="nextTo"/>
        <c:crossAx val="125273216"/>
        <c:crosses val="autoZero"/>
        <c:crossBetween val="between"/>
      </c:valAx>
    </c:plotArea>
    <c:legend>
      <c:legendPos val="r"/>
      <c:layout>
        <c:manualLayout>
          <c:xMode val="edge"/>
          <c:yMode val="edge"/>
          <c:x val="0.17762610961222572"/>
          <c:y val="6.423884514435696E-2"/>
          <c:w val="0.1988848155196507"/>
          <c:h val="0.28108155522010525"/>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834967422004833"/>
          <c:y val="5.1400651441086763E-2"/>
          <c:w val="0.85004124702539907"/>
          <c:h val="0.8326195683872849"/>
        </c:manualLayout>
      </c:layout>
      <c:lineChart>
        <c:grouping val="standard"/>
        <c:varyColors val="0"/>
        <c:ser>
          <c:idx val="0"/>
          <c:order val="0"/>
          <c:tx>
            <c:strRef>
              <c:f>Baidu!$A$103</c:f>
              <c:strCache>
                <c:ptCount val="1"/>
                <c:pt idx="0">
                  <c:v> 100G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Baidu!$B$103:$L$103</c:f>
              <c:numCache>
                <c:formatCode>_(* #,##0_);_(* \(#,##0\);_(* "-"??_);_(@_)</c:formatCode>
                <c:ptCount val="11"/>
                <c:pt idx="0">
                  <c:v>2133.2250676470585</c:v>
                </c:pt>
                <c:pt idx="1">
                  <c:v>2075.1840000000002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D31D-854F-BA63-2A733179DB6B}"/>
            </c:ext>
          </c:extLst>
        </c:ser>
        <c:ser>
          <c:idx val="1"/>
          <c:order val="1"/>
          <c:tx>
            <c:strRef>
              <c:f>Baidu!$A$104</c:f>
              <c:strCache>
                <c:ptCount val="1"/>
                <c:pt idx="0">
                  <c:v> 200G </c:v>
                </c:pt>
              </c:strCache>
            </c:strRef>
          </c:tx>
          <c:spPr>
            <a:ln>
              <a:solidFill>
                <a:srgbClr val="F79646"/>
              </a:solidFill>
            </a:ln>
          </c:spPr>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Baidu!$B$104:$L$104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D31D-854F-BA63-2A733179DB6B}"/>
            </c:ext>
          </c:extLst>
        </c:ser>
        <c:ser>
          <c:idx val="4"/>
          <c:order val="2"/>
          <c:tx>
            <c:strRef>
              <c:f>Baidu!$A$105</c:f>
              <c:strCache>
                <c:ptCount val="1"/>
                <c:pt idx="0">
                  <c:v> 400G </c:v>
                </c:pt>
              </c:strCache>
            </c:strRef>
          </c:tx>
          <c:spPr>
            <a:ln>
              <a:solidFill>
                <a:srgbClr val="C0504D"/>
              </a:solidFill>
            </a:ln>
          </c:spPr>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Baidu!$B$105:$L$105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D31D-854F-BA63-2A733179DB6B}"/>
            </c:ext>
          </c:extLst>
        </c:ser>
        <c:ser>
          <c:idx val="2"/>
          <c:order val="3"/>
          <c:tx>
            <c:strRef>
              <c:f>Baidu!$A$106</c:f>
              <c:strCache>
                <c:ptCount val="1"/>
                <c:pt idx="0">
                  <c:v> 600/800G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Baidu!$B$106:$L$106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D31D-854F-BA63-2A733179DB6B}"/>
            </c:ext>
          </c:extLst>
        </c:ser>
        <c:ser>
          <c:idx val="3"/>
          <c:order val="4"/>
          <c:tx>
            <c:strRef>
              <c:f>Baidu!$A$107</c:f>
              <c:strCache>
                <c:ptCount val="1"/>
                <c:pt idx="0">
                  <c:v> 1.2/1.6T </c:v>
                </c:pt>
              </c:strCache>
            </c:strRef>
          </c:tx>
          <c:marker>
            <c:symbol val="none"/>
          </c:marker>
          <c:cat>
            <c:numRef>
              <c:f>Baidu!$B$93:$L$93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Baidu!$B$107:$L$107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D31D-854F-BA63-2A733179DB6B}"/>
            </c:ext>
          </c:extLst>
        </c:ser>
        <c:dLbls>
          <c:showLegendKey val="0"/>
          <c:showVal val="0"/>
          <c:showCatName val="0"/>
          <c:showSerName val="0"/>
          <c:showPercent val="0"/>
          <c:showBubbleSize val="0"/>
        </c:dLbls>
        <c:smooth val="0"/>
        <c:axId val="63350272"/>
        <c:axId val="63351808"/>
      </c:lineChart>
      <c:catAx>
        <c:axId val="63350272"/>
        <c:scaling>
          <c:orientation val="minMax"/>
        </c:scaling>
        <c:delete val="0"/>
        <c:axPos val="b"/>
        <c:numFmt formatCode="General" sourceLinked="1"/>
        <c:majorTickMark val="out"/>
        <c:minorTickMark val="none"/>
        <c:tickLblPos val="nextTo"/>
        <c:crossAx val="63351808"/>
        <c:crosses val="autoZero"/>
        <c:auto val="1"/>
        <c:lblAlgn val="ctr"/>
        <c:lblOffset val="100"/>
        <c:noMultiLvlLbl val="0"/>
      </c:catAx>
      <c:valAx>
        <c:axId val="63351808"/>
        <c:scaling>
          <c:orientation val="minMax"/>
          <c:min val="0"/>
        </c:scaling>
        <c:delete val="0"/>
        <c:axPos val="l"/>
        <c:majorGridlines/>
        <c:title>
          <c:tx>
            <c:rich>
              <a:bodyPr rot="-5400000" vert="horz"/>
              <a:lstStyle/>
              <a:p>
                <a:pPr>
                  <a:defRPr/>
                </a:pPr>
                <a:r>
                  <a:rPr lang="en-US"/>
                  <a:t>Units</a:t>
                </a:r>
                <a:r>
                  <a:rPr lang="en-US" baseline="0"/>
                  <a:t> consumed annually</a:t>
                </a:r>
                <a:endParaRPr lang="en-US"/>
              </a:p>
            </c:rich>
          </c:tx>
          <c:layout>
            <c:manualLayout>
              <c:xMode val="edge"/>
              <c:yMode val="edge"/>
              <c:x val="1.9966809004034199E-2"/>
              <c:y val="0.2587579832257903"/>
            </c:manualLayout>
          </c:layout>
          <c:overlay val="0"/>
        </c:title>
        <c:numFmt formatCode="_(* #,##0_);_(* \(#,##0\);_(* &quot;-&quot;??_);_(@_)" sourceLinked="1"/>
        <c:majorTickMark val="out"/>
        <c:minorTickMark val="none"/>
        <c:tickLblPos val="nextTo"/>
        <c:crossAx val="63350272"/>
        <c:crosses val="autoZero"/>
        <c:crossBetween val="between"/>
      </c:valAx>
    </c:plotArea>
    <c:legend>
      <c:legendPos val="r"/>
      <c:layout>
        <c:manualLayout>
          <c:xMode val="edge"/>
          <c:yMode val="edge"/>
          <c:x val="0.47363767823916775"/>
          <c:y val="6.3887048141928734E-2"/>
          <c:w val="0.15313862210569834"/>
          <c:h val="0.15001503996686277"/>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58166448556252"/>
          <c:y val="7.0670016299303307E-2"/>
          <c:w val="0.8451597287949858"/>
          <c:h val="0.8326195683872849"/>
        </c:manualLayout>
      </c:layout>
      <c:lineChart>
        <c:grouping val="standard"/>
        <c:varyColors val="0"/>
        <c:ser>
          <c:idx val="0"/>
          <c:order val="0"/>
          <c:tx>
            <c:strRef>
              <c:f>Baidu!$A$103</c:f>
              <c:strCache>
                <c:ptCount val="1"/>
                <c:pt idx="0">
                  <c:v> 100G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Baidu!$M$103:$W$103</c:f>
              <c:numCache>
                <c:formatCode>_("$"* #,##0_);_("$"* \(#,##0\);_("$"* "-"??_);_(@_)</c:formatCode>
                <c:ptCount val="11"/>
                <c:pt idx="0">
                  <c:v>16.700707531722685</c:v>
                </c:pt>
                <c:pt idx="1">
                  <c:v>12.663932800000001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0CDA-E040-9B79-1884AC29E8BE}"/>
            </c:ext>
          </c:extLst>
        </c:ser>
        <c:ser>
          <c:idx val="1"/>
          <c:order val="1"/>
          <c:tx>
            <c:strRef>
              <c:f>Baidu!$A$104</c:f>
              <c:strCache>
                <c:ptCount val="1"/>
                <c:pt idx="0">
                  <c:v> 200G </c:v>
                </c:pt>
              </c:strCache>
            </c:strRef>
          </c:tx>
          <c:spPr>
            <a:ln>
              <a:solidFill>
                <a:srgbClr val="F79646"/>
              </a:solidFill>
            </a:ln>
          </c:spPr>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Baidu!$M$104:$W$104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0CDA-E040-9B79-1884AC29E8BE}"/>
            </c:ext>
          </c:extLst>
        </c:ser>
        <c:ser>
          <c:idx val="4"/>
          <c:order val="2"/>
          <c:tx>
            <c:strRef>
              <c:f>Baidu!$A$105</c:f>
              <c:strCache>
                <c:ptCount val="1"/>
                <c:pt idx="0">
                  <c:v> 400G </c:v>
                </c:pt>
              </c:strCache>
            </c:strRef>
          </c:tx>
          <c:spPr>
            <a:ln>
              <a:solidFill>
                <a:srgbClr val="C0504D"/>
              </a:solidFill>
            </a:ln>
          </c:spPr>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Baidu!$M$105:$W$105</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0CDA-E040-9B79-1884AC29E8BE}"/>
            </c:ext>
          </c:extLst>
        </c:ser>
        <c:ser>
          <c:idx val="2"/>
          <c:order val="3"/>
          <c:tx>
            <c:strRef>
              <c:f>Baidu!$A$106</c:f>
              <c:strCache>
                <c:ptCount val="1"/>
                <c:pt idx="0">
                  <c:v> 600/800G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Baidu!$M$106:$W$106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0CDA-E040-9B79-1884AC29E8BE}"/>
            </c:ext>
          </c:extLst>
        </c:ser>
        <c:ser>
          <c:idx val="3"/>
          <c:order val="4"/>
          <c:tx>
            <c:strRef>
              <c:f>Baidu!$A$107</c:f>
              <c:strCache>
                <c:ptCount val="1"/>
                <c:pt idx="0">
                  <c:v> 1.2/1.6T </c:v>
                </c:pt>
              </c:strCache>
            </c:strRef>
          </c:tx>
          <c:marker>
            <c:symbol val="none"/>
          </c:marker>
          <c:cat>
            <c:numRef>
              <c:f>Baidu!$M$93:$W$93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Baidu!$M$107:$W$107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0CDA-E040-9B79-1884AC29E8BE}"/>
            </c:ext>
          </c:extLst>
        </c:ser>
        <c:dLbls>
          <c:showLegendKey val="0"/>
          <c:showVal val="0"/>
          <c:showCatName val="0"/>
          <c:showSerName val="0"/>
          <c:showPercent val="0"/>
          <c:showBubbleSize val="0"/>
        </c:dLbls>
        <c:smooth val="0"/>
        <c:axId val="63648128"/>
        <c:axId val="63649664"/>
      </c:lineChart>
      <c:catAx>
        <c:axId val="63648128"/>
        <c:scaling>
          <c:orientation val="minMax"/>
        </c:scaling>
        <c:delete val="0"/>
        <c:axPos val="b"/>
        <c:numFmt formatCode="General" sourceLinked="1"/>
        <c:majorTickMark val="out"/>
        <c:minorTickMark val="none"/>
        <c:tickLblPos val="nextTo"/>
        <c:crossAx val="63649664"/>
        <c:crosses val="autoZero"/>
        <c:auto val="1"/>
        <c:lblAlgn val="ctr"/>
        <c:lblOffset val="100"/>
        <c:noMultiLvlLbl val="0"/>
      </c:catAx>
      <c:valAx>
        <c:axId val="63649664"/>
        <c:scaling>
          <c:orientation val="minMax"/>
          <c:min val="0"/>
        </c:scaling>
        <c:delete val="0"/>
        <c:axPos val="l"/>
        <c:majorGridlines/>
        <c:title>
          <c:tx>
            <c:rich>
              <a:bodyPr rot="-5400000" vert="horz"/>
              <a:lstStyle/>
              <a:p>
                <a:pPr>
                  <a:defRPr/>
                </a:pPr>
                <a:r>
                  <a:rPr lang="en-US"/>
                  <a:t>Annual sales ($ mn)</a:t>
                </a:r>
              </a:p>
            </c:rich>
          </c:tx>
          <c:layout>
            <c:manualLayout>
              <c:xMode val="edge"/>
              <c:yMode val="edge"/>
              <c:x val="1.8807089530003655E-2"/>
              <c:y val="0.27346301211276824"/>
            </c:manualLayout>
          </c:layout>
          <c:overlay val="0"/>
        </c:title>
        <c:numFmt formatCode="_(&quot;$&quot;* #,##0_);_(&quot;$&quot;* \(#,##0\);_(&quot;$&quot;* &quot;-&quot;??_);_(@_)" sourceLinked="1"/>
        <c:majorTickMark val="out"/>
        <c:minorTickMark val="none"/>
        <c:tickLblPos val="nextTo"/>
        <c:crossAx val="63648128"/>
        <c:crosses val="autoZero"/>
        <c:crossBetween val="between"/>
      </c:valAx>
    </c:plotArea>
    <c:legend>
      <c:legendPos val="r"/>
      <c:layout>
        <c:manualLayout>
          <c:xMode val="edge"/>
          <c:yMode val="edge"/>
          <c:x val="0.44674513740182131"/>
          <c:y val="4.4617683283712184E-2"/>
          <c:w val="0.17279181586786146"/>
          <c:h val="7.2937580533996599E-2"/>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Baidu!$A$114</c:f>
          <c:strCache>
            <c:ptCount val="1"/>
            <c:pt idx="0">
              <c:v>Ethernet transceivers % of total capex: Baidu</c:v>
            </c:pt>
          </c:strCache>
        </c:strRef>
      </c:tx>
      <c:layout>
        <c:manualLayout>
          <c:xMode val="edge"/>
          <c:yMode val="edge"/>
          <c:x val="0.18250699912510934"/>
          <c:y val="1.0396359145910444E-2"/>
        </c:manualLayout>
      </c:layout>
      <c:overlay val="1"/>
      <c:txPr>
        <a:bodyPr/>
        <a:lstStyle/>
        <a:p>
          <a:pPr>
            <a:defRPr sz="1200"/>
          </a:pPr>
          <a:endParaRPr lang="en-US"/>
        </a:p>
      </c:txPr>
    </c:title>
    <c:autoTitleDeleted val="0"/>
    <c:plotArea>
      <c:layout>
        <c:manualLayout>
          <c:layoutTarget val="inner"/>
          <c:xMode val="edge"/>
          <c:yMode val="edge"/>
          <c:x val="9.8863517060367459E-2"/>
          <c:y val="0.11489286633761235"/>
          <c:w val="0.870580927384077"/>
          <c:h val="0.75488413994481729"/>
        </c:manualLayout>
      </c:layout>
      <c:barChart>
        <c:barDir val="col"/>
        <c:grouping val="clustered"/>
        <c:varyColors val="0"/>
        <c:ser>
          <c:idx val="0"/>
          <c:order val="0"/>
          <c:invertIfNegative val="0"/>
          <c:cat>
            <c:numRef>
              <c:f>Baidu!$M$111:$W$111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Baidu!$M$114:$W$114</c:f>
              <c:numCache>
                <c:formatCode>0.0%</c:formatCode>
                <c:ptCount val="11"/>
                <c:pt idx="0">
                  <c:v>8.5022159965599236E-3</c:v>
                </c:pt>
                <c:pt idx="1">
                  <c:v>1.9511644191429249E-2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9E6-DB4E-AA12-CB532344D42C}"/>
            </c:ext>
          </c:extLst>
        </c:ser>
        <c:dLbls>
          <c:showLegendKey val="0"/>
          <c:showVal val="0"/>
          <c:showCatName val="0"/>
          <c:showSerName val="0"/>
          <c:showPercent val="0"/>
          <c:showBubbleSize val="0"/>
        </c:dLbls>
        <c:gapWidth val="150"/>
        <c:axId val="63658240"/>
        <c:axId val="63668224"/>
      </c:barChart>
      <c:catAx>
        <c:axId val="63658240"/>
        <c:scaling>
          <c:orientation val="minMax"/>
        </c:scaling>
        <c:delete val="0"/>
        <c:axPos val="b"/>
        <c:numFmt formatCode="General" sourceLinked="1"/>
        <c:majorTickMark val="out"/>
        <c:minorTickMark val="none"/>
        <c:tickLblPos val="nextTo"/>
        <c:crossAx val="63668224"/>
        <c:crosses val="autoZero"/>
        <c:auto val="1"/>
        <c:lblAlgn val="ctr"/>
        <c:lblOffset val="100"/>
        <c:noMultiLvlLbl val="0"/>
      </c:catAx>
      <c:valAx>
        <c:axId val="63668224"/>
        <c:scaling>
          <c:orientation val="minMax"/>
        </c:scaling>
        <c:delete val="0"/>
        <c:axPos val="l"/>
        <c:majorGridlines/>
        <c:numFmt formatCode="0.0%" sourceLinked="1"/>
        <c:majorTickMark val="out"/>
        <c:minorTickMark val="none"/>
        <c:tickLblPos val="nextTo"/>
        <c:crossAx val="63658240"/>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Baidu!$A$115</c:f>
          <c:strCache>
            <c:ptCount val="1"/>
            <c:pt idx="0">
              <c:v>DWDM transceivers % of total capex: Baidu</c:v>
            </c:pt>
          </c:strCache>
        </c:strRef>
      </c:tx>
      <c:overlay val="1"/>
      <c:txPr>
        <a:bodyPr/>
        <a:lstStyle/>
        <a:p>
          <a:pPr>
            <a:defRPr sz="1200"/>
          </a:pPr>
          <a:endParaRPr lang="en-US"/>
        </a:p>
      </c:txPr>
    </c:title>
    <c:autoTitleDeleted val="0"/>
    <c:plotArea>
      <c:layout>
        <c:manualLayout>
          <c:layoutTarget val="inner"/>
          <c:xMode val="edge"/>
          <c:yMode val="edge"/>
          <c:x val="9.8863517060367459E-2"/>
          <c:y val="9.3067220764071146E-2"/>
          <c:w val="0.870580927384077"/>
          <c:h val="0.79095290172061827"/>
        </c:manualLayout>
      </c:layout>
      <c:barChart>
        <c:barDir val="col"/>
        <c:grouping val="stacked"/>
        <c:varyColors val="0"/>
        <c:ser>
          <c:idx val="2"/>
          <c:order val="0"/>
          <c:tx>
            <c:strRef>
              <c:f>Baidu!$A$115</c:f>
              <c:strCache>
                <c:ptCount val="1"/>
                <c:pt idx="0">
                  <c:v>DWDM transceivers % of total capex: Baidu</c:v>
                </c:pt>
              </c:strCache>
            </c:strRef>
          </c:tx>
          <c:spPr>
            <a:solidFill>
              <a:srgbClr val="C00000"/>
            </a:solidFill>
          </c:spPr>
          <c:invertIfNegative val="0"/>
          <c:cat>
            <c:numRef>
              <c:f>Baidu!$M$111:$W$111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Baidu!$M$115:$W$115</c:f>
              <c:numCache>
                <c:formatCode>0.0%</c:formatCode>
                <c:ptCount val="11"/>
                <c:pt idx="0">
                  <c:v>1.3345356424938505E-2</c:v>
                </c:pt>
                <c:pt idx="1">
                  <c:v>1.5501409435930051E-2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dLbls>
          <c:showLegendKey val="0"/>
          <c:showVal val="0"/>
          <c:showCatName val="0"/>
          <c:showSerName val="0"/>
          <c:showPercent val="0"/>
          <c:showBubbleSize val="0"/>
        </c:dLbls>
        <c:gapWidth val="150"/>
        <c:overlap val="100"/>
        <c:axId val="63963136"/>
        <c:axId val="63964672"/>
      </c:barChart>
      <c:catAx>
        <c:axId val="63963136"/>
        <c:scaling>
          <c:orientation val="minMax"/>
        </c:scaling>
        <c:delete val="0"/>
        <c:axPos val="b"/>
        <c:numFmt formatCode="General" sourceLinked="1"/>
        <c:majorTickMark val="out"/>
        <c:minorTickMark val="none"/>
        <c:tickLblPos val="nextTo"/>
        <c:crossAx val="63964672"/>
        <c:crosses val="autoZero"/>
        <c:auto val="1"/>
        <c:lblAlgn val="ctr"/>
        <c:lblOffset val="100"/>
        <c:noMultiLvlLbl val="0"/>
      </c:catAx>
      <c:valAx>
        <c:axId val="63964672"/>
        <c:scaling>
          <c:orientation val="minMax"/>
        </c:scaling>
        <c:delete val="0"/>
        <c:axPos val="l"/>
        <c:majorGridlines/>
        <c:numFmt formatCode="0.0%" sourceLinked="0"/>
        <c:majorTickMark val="out"/>
        <c:minorTickMark val="none"/>
        <c:tickLblPos val="nextTo"/>
        <c:crossAx val="63963136"/>
        <c:crosses val="autoZero"/>
        <c:crossBetween val="between"/>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Baidu!$A$116</c:f>
          <c:strCache>
            <c:ptCount val="1"/>
            <c:pt idx="0">
              <c:v>Ethernet&amp;DWDM transceivers % of total capex: Baidu</c:v>
            </c:pt>
          </c:strCache>
        </c:strRef>
      </c:tx>
      <c:layout>
        <c:manualLayout>
          <c:xMode val="edge"/>
          <c:yMode val="edge"/>
          <c:x val="0.15688746833819259"/>
          <c:y val="2.7820707587933698E-2"/>
        </c:manualLayout>
      </c:layout>
      <c:overlay val="1"/>
      <c:txPr>
        <a:bodyPr/>
        <a:lstStyle/>
        <a:p>
          <a:pPr>
            <a:defRPr sz="1200"/>
          </a:pPr>
          <a:endParaRPr lang="en-US"/>
        </a:p>
      </c:txPr>
    </c:title>
    <c:autoTitleDeleted val="0"/>
    <c:plotArea>
      <c:layout>
        <c:manualLayout>
          <c:layoutTarget val="inner"/>
          <c:xMode val="edge"/>
          <c:yMode val="edge"/>
          <c:x val="9.3825740296316865E-2"/>
          <c:y val="9.7703988401466685E-2"/>
          <c:w val="0.870580927384077"/>
          <c:h val="0.79095290172061827"/>
        </c:manualLayout>
      </c:layout>
      <c:barChart>
        <c:barDir val="col"/>
        <c:grouping val="stacked"/>
        <c:varyColors val="0"/>
        <c:ser>
          <c:idx val="2"/>
          <c:order val="0"/>
          <c:tx>
            <c:v>Ethernet</c:v>
          </c:tx>
          <c:spPr>
            <a:solidFill>
              <a:srgbClr val="0070C0"/>
            </a:solidFill>
          </c:spPr>
          <c:invertIfNegative val="0"/>
          <c:cat>
            <c:numRef>
              <c:f>Baidu!$M$111:$W$111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Baidu!$M$114:$W$114</c:f>
              <c:numCache>
                <c:formatCode>0.0%</c:formatCode>
                <c:ptCount val="11"/>
                <c:pt idx="0">
                  <c:v>8.5022159965599236E-3</c:v>
                </c:pt>
                <c:pt idx="1">
                  <c:v>1.9511644191429249E-2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61EE-2347-9C5D-AF730E427A6F}"/>
            </c:ext>
          </c:extLst>
        </c:ser>
        <c:ser>
          <c:idx val="0"/>
          <c:order val="1"/>
          <c:tx>
            <c:v>DWDM</c:v>
          </c:tx>
          <c:spPr>
            <a:solidFill>
              <a:srgbClr val="C00000"/>
            </a:solidFill>
          </c:spPr>
          <c:invertIfNegative val="0"/>
          <c:cat>
            <c:numRef>
              <c:f>Baidu!$M$111:$W$111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Baidu!$M$115:$W$115</c:f>
              <c:numCache>
                <c:formatCode>0.0%</c:formatCode>
                <c:ptCount val="11"/>
                <c:pt idx="0">
                  <c:v>1.3345356424938505E-2</c:v>
                </c:pt>
                <c:pt idx="1">
                  <c:v>1.5501409435930051E-2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95E-AA46-81C8-D76D26A44DF9}"/>
            </c:ext>
          </c:extLst>
        </c:ser>
        <c:dLbls>
          <c:showLegendKey val="0"/>
          <c:showVal val="0"/>
          <c:showCatName val="0"/>
          <c:showSerName val="0"/>
          <c:showPercent val="0"/>
          <c:showBubbleSize val="0"/>
        </c:dLbls>
        <c:gapWidth val="150"/>
        <c:overlap val="100"/>
        <c:axId val="63982208"/>
        <c:axId val="63988096"/>
      </c:barChart>
      <c:catAx>
        <c:axId val="63982208"/>
        <c:scaling>
          <c:orientation val="minMax"/>
        </c:scaling>
        <c:delete val="0"/>
        <c:axPos val="b"/>
        <c:numFmt formatCode="General" sourceLinked="1"/>
        <c:majorTickMark val="out"/>
        <c:minorTickMark val="none"/>
        <c:tickLblPos val="nextTo"/>
        <c:crossAx val="63988096"/>
        <c:crosses val="autoZero"/>
        <c:auto val="1"/>
        <c:lblAlgn val="ctr"/>
        <c:lblOffset val="100"/>
        <c:noMultiLvlLbl val="0"/>
      </c:catAx>
      <c:valAx>
        <c:axId val="63988096"/>
        <c:scaling>
          <c:orientation val="minMax"/>
        </c:scaling>
        <c:delete val="0"/>
        <c:axPos val="l"/>
        <c:majorGridlines/>
        <c:numFmt formatCode="0.0%" sourceLinked="1"/>
        <c:majorTickMark val="out"/>
        <c:minorTickMark val="none"/>
        <c:tickLblPos val="nextTo"/>
        <c:crossAx val="63982208"/>
        <c:crosses val="autoZero"/>
        <c:crossBetween val="between"/>
      </c:valAx>
    </c:plotArea>
    <c:legend>
      <c:legendPos val="t"/>
      <c:layout>
        <c:manualLayout>
          <c:xMode val="edge"/>
          <c:yMode val="edge"/>
          <c:x val="0.35555028858168547"/>
          <c:y val="0.14374032253765745"/>
          <c:w val="0.29714206793225995"/>
          <c:h val="8.3846574274169791E-2"/>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ByteDance</a:t>
            </a:r>
          </a:p>
        </c:rich>
      </c:tx>
      <c:layout>
        <c:manualLayout>
          <c:xMode val="edge"/>
          <c:yMode val="edge"/>
          <c:x val="0.4529760663515352"/>
          <c:y val="1.853525399570953E-2"/>
        </c:manualLayout>
      </c:layout>
      <c:overlay val="1"/>
    </c:title>
    <c:autoTitleDeleted val="0"/>
    <c:plotArea>
      <c:layout>
        <c:manualLayout>
          <c:layoutTarget val="inner"/>
          <c:xMode val="edge"/>
          <c:yMode val="edge"/>
          <c:x val="0.14873277312825106"/>
          <c:y val="0.13443498513300384"/>
          <c:w val="0.82108005046409882"/>
          <c:h val="0.74958537317141027"/>
        </c:manualLayout>
      </c:layout>
      <c:lineChart>
        <c:grouping val="standard"/>
        <c:varyColors val="0"/>
        <c:ser>
          <c:idx val="0"/>
          <c:order val="0"/>
          <c:tx>
            <c:strRef>
              <c:f>ByteDance!$A$112</c:f>
              <c:strCache>
                <c:ptCount val="1"/>
                <c:pt idx="0">
                  <c:v>Ethernet</c:v>
                </c:pt>
              </c:strCache>
            </c:strRef>
          </c:tx>
          <c:cat>
            <c:numRef>
              <c:f>ByteDance!$C$112:$L$112</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ByteDance!$C$115:$L$115</c:f>
              <c:numCache>
                <c:formatCode>0%</c:formatCode>
                <c:ptCount val="10"/>
                <c:pt idx="0">
                  <c:v>0.86414936350371185</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dLbls>
          <c:showLegendKey val="0"/>
          <c:showVal val="0"/>
          <c:showCatName val="0"/>
          <c:showSerName val="0"/>
          <c:showPercent val="0"/>
          <c:showBubbleSize val="0"/>
        </c:dLbls>
        <c:marker val="1"/>
        <c:smooth val="0"/>
        <c:axId val="73487872"/>
        <c:axId val="73489408"/>
      </c:lineChart>
      <c:catAx>
        <c:axId val="73487872"/>
        <c:scaling>
          <c:orientation val="minMax"/>
        </c:scaling>
        <c:delete val="0"/>
        <c:axPos val="b"/>
        <c:numFmt formatCode="General" sourceLinked="1"/>
        <c:majorTickMark val="out"/>
        <c:minorTickMark val="none"/>
        <c:tickLblPos val="nextTo"/>
        <c:crossAx val="73489408"/>
        <c:crosses val="autoZero"/>
        <c:auto val="1"/>
        <c:lblAlgn val="ctr"/>
        <c:lblOffset val="100"/>
        <c:noMultiLvlLbl val="0"/>
      </c:catAx>
      <c:valAx>
        <c:axId val="73489408"/>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73487872"/>
        <c:crosses val="autoZero"/>
        <c:crossBetween val="between"/>
      </c:valAx>
    </c:plotArea>
    <c:legend>
      <c:legendPos val="t"/>
      <c:layout>
        <c:manualLayout>
          <c:xMode val="edge"/>
          <c:yMode val="edge"/>
          <c:x val="0.65121449621836736"/>
          <c:y val="3.6904135333566526E-2"/>
          <c:w val="0.31605572184408848"/>
          <c:h val="8.3416785351964104E-2"/>
        </c:manualLayout>
      </c:layout>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ByteDance!$A$95</c:f>
              <c:strCache>
                <c:ptCount val="1"/>
                <c:pt idx="0">
                  <c:v> 100G </c:v>
                </c:pt>
              </c:strCache>
            </c:strRef>
          </c:tx>
          <c:marker>
            <c:symbol val="none"/>
          </c:marker>
          <c:cat>
            <c:numRef>
              <c:f>ByteDance!$B$93:$L$93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ByteDance!$B$95:$L$95</c:f>
              <c:numCache>
                <c:formatCode>_(* #,##0_);_(* \(#,##0\);_(* "-"??_);_(@_)</c:formatCode>
                <c:ptCount val="11"/>
                <c:pt idx="0">
                  <c:v>36229.784933436276</c:v>
                </c:pt>
                <c:pt idx="1">
                  <c:v>104452.61942450001</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06EF-9B4B-A606-A48ED507A3D1}"/>
            </c:ext>
          </c:extLst>
        </c:ser>
        <c:ser>
          <c:idx val="4"/>
          <c:order val="1"/>
          <c:tx>
            <c:strRef>
              <c:f>ByteDance!$A$97</c:f>
              <c:strCache>
                <c:ptCount val="1"/>
                <c:pt idx="0">
                  <c:v> 400G </c:v>
                </c:pt>
              </c:strCache>
            </c:strRef>
          </c:tx>
          <c:spPr>
            <a:ln>
              <a:solidFill>
                <a:srgbClr val="C0504D"/>
              </a:solidFill>
            </a:ln>
          </c:spPr>
          <c:marker>
            <c:symbol val="none"/>
          </c:marker>
          <c:cat>
            <c:numRef>
              <c:f>ByteDance!$B$93:$L$93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ByteDance!$B$97:$L$97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06EF-9B4B-A606-A48ED507A3D1}"/>
            </c:ext>
          </c:extLst>
        </c:ser>
        <c:ser>
          <c:idx val="2"/>
          <c:order val="2"/>
          <c:tx>
            <c:strRef>
              <c:f>ByteDance!$A$98</c:f>
              <c:strCache>
                <c:ptCount val="1"/>
                <c:pt idx="0">
                  <c:v> 800G </c:v>
                </c:pt>
              </c:strCache>
            </c:strRef>
          </c:tx>
          <c:marker>
            <c:symbol val="none"/>
          </c:marker>
          <c:cat>
            <c:numRef>
              <c:f>ByteDance!$B$93:$L$93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ByteDance!$B$98:$L$98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06EF-9B4B-A606-A48ED507A3D1}"/>
            </c:ext>
          </c:extLst>
        </c:ser>
        <c:dLbls>
          <c:showLegendKey val="0"/>
          <c:showVal val="0"/>
          <c:showCatName val="0"/>
          <c:showSerName val="0"/>
          <c:showPercent val="0"/>
          <c:showBubbleSize val="0"/>
        </c:dLbls>
        <c:smooth val="0"/>
        <c:axId val="73513216"/>
        <c:axId val="73519104"/>
      </c:lineChart>
      <c:catAx>
        <c:axId val="73513216"/>
        <c:scaling>
          <c:orientation val="minMax"/>
        </c:scaling>
        <c:delete val="0"/>
        <c:axPos val="b"/>
        <c:numFmt formatCode="General" sourceLinked="1"/>
        <c:majorTickMark val="out"/>
        <c:minorTickMark val="none"/>
        <c:tickLblPos val="nextTo"/>
        <c:crossAx val="73519104"/>
        <c:crosses val="autoZero"/>
        <c:auto val="1"/>
        <c:lblAlgn val="ctr"/>
        <c:lblOffset val="100"/>
        <c:noMultiLvlLbl val="0"/>
      </c:catAx>
      <c:valAx>
        <c:axId val="73519104"/>
        <c:scaling>
          <c:orientation val="minMax"/>
          <c:min val="0"/>
        </c:scaling>
        <c:delete val="0"/>
        <c:axPos val="l"/>
        <c:majorGridlines/>
        <c:title>
          <c:tx>
            <c:rich>
              <a:bodyPr rot="-5400000" vert="horz"/>
              <a:lstStyle/>
              <a:p>
                <a:pPr>
                  <a:defRPr/>
                </a:pPr>
                <a:r>
                  <a:rPr lang="en-US"/>
                  <a:t>Annual units consumed</a:t>
                </a:r>
              </a:p>
            </c:rich>
          </c:tx>
          <c:layout>
            <c:manualLayout>
              <c:xMode val="edge"/>
              <c:yMode val="edge"/>
              <c:x val="9.72229746611801E-3"/>
              <c:y val="0.22812158860765241"/>
            </c:manualLayout>
          </c:layout>
          <c:overlay val="0"/>
        </c:title>
        <c:numFmt formatCode="_(* #,##0_);_(* \(#,##0\);_(* &quot;-&quot;??_);_(@_)" sourceLinked="1"/>
        <c:majorTickMark val="out"/>
        <c:minorTickMark val="none"/>
        <c:tickLblPos val="nextTo"/>
        <c:crossAx val="73513216"/>
        <c:crosses val="autoZero"/>
        <c:crossBetween val="between"/>
      </c:valAx>
    </c:plotArea>
    <c:legend>
      <c:legendPos val="r"/>
      <c:layout>
        <c:manualLayout>
          <c:xMode val="edge"/>
          <c:yMode val="edge"/>
          <c:x val="0.20840365707321482"/>
          <c:y val="5.4252006973388542E-2"/>
          <c:w val="0.16050614569679936"/>
          <c:h val="0.27526563664033188"/>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784972016942567"/>
          <c:y val="4.6583327896436988E-2"/>
          <c:w val="0.85100496300429618"/>
          <c:h val="0.8326195683872849"/>
        </c:manualLayout>
      </c:layout>
      <c:lineChart>
        <c:grouping val="standard"/>
        <c:varyColors val="0"/>
        <c:ser>
          <c:idx val="0"/>
          <c:order val="0"/>
          <c:tx>
            <c:strRef>
              <c:f>ByteDance!$A$95</c:f>
              <c:strCache>
                <c:ptCount val="1"/>
                <c:pt idx="0">
                  <c:v> 100G </c:v>
                </c:pt>
              </c:strCache>
            </c:strRef>
          </c:tx>
          <c:marker>
            <c:symbol val="none"/>
          </c:marker>
          <c:cat>
            <c:numRef>
              <c:f>ByteDance!$M$93:$W$93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ByteDance!$M$95:$W$95</c:f>
              <c:numCache>
                <c:formatCode>_("$"* #,##0_);_("$"* \(#,##0\);_("$"* "-"??_);_(@_)</c:formatCode>
                <c:ptCount val="11"/>
                <c:pt idx="0">
                  <c:v>7.6562987209463902</c:v>
                </c:pt>
                <c:pt idx="1">
                  <c:v>11.976749904339364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EC52-FB42-967F-EC2236C52A38}"/>
            </c:ext>
          </c:extLst>
        </c:ser>
        <c:ser>
          <c:idx val="1"/>
          <c:order val="1"/>
          <c:tx>
            <c:strRef>
              <c:f>ByteDance!$A$96</c:f>
              <c:strCache>
                <c:ptCount val="1"/>
                <c:pt idx="0">
                  <c:v> 200G </c:v>
                </c:pt>
              </c:strCache>
            </c:strRef>
          </c:tx>
          <c:spPr>
            <a:ln>
              <a:solidFill>
                <a:srgbClr val="F79646"/>
              </a:solidFill>
            </a:ln>
          </c:spPr>
          <c:marker>
            <c:symbol val="none"/>
          </c:marker>
          <c:cat>
            <c:numRef>
              <c:f>ByteDance!$M$93:$W$93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ByteDance!$M$96:$W$96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EC52-FB42-967F-EC2236C52A38}"/>
            </c:ext>
          </c:extLst>
        </c:ser>
        <c:ser>
          <c:idx val="4"/>
          <c:order val="2"/>
          <c:tx>
            <c:strRef>
              <c:f>ByteDance!$A$97</c:f>
              <c:strCache>
                <c:ptCount val="1"/>
                <c:pt idx="0">
                  <c:v> 400G </c:v>
                </c:pt>
              </c:strCache>
            </c:strRef>
          </c:tx>
          <c:spPr>
            <a:ln>
              <a:solidFill>
                <a:srgbClr val="C0504D"/>
              </a:solidFill>
            </a:ln>
          </c:spPr>
          <c:marker>
            <c:symbol val="none"/>
          </c:marker>
          <c:cat>
            <c:numRef>
              <c:f>ByteDance!$M$93:$W$93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ByteDance!$M$97:$W$97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EC52-FB42-967F-EC2236C52A38}"/>
            </c:ext>
          </c:extLst>
        </c:ser>
        <c:ser>
          <c:idx val="2"/>
          <c:order val="3"/>
          <c:tx>
            <c:strRef>
              <c:f>ByteDance!$A$98</c:f>
              <c:strCache>
                <c:ptCount val="1"/>
                <c:pt idx="0">
                  <c:v> 800G </c:v>
                </c:pt>
              </c:strCache>
            </c:strRef>
          </c:tx>
          <c:marker>
            <c:symbol val="none"/>
          </c:marker>
          <c:cat>
            <c:numRef>
              <c:f>ByteDance!$M$93:$W$93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ByteDance!$M$98:$W$98</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EC52-FB42-967F-EC2236C52A38}"/>
            </c:ext>
          </c:extLst>
        </c:ser>
        <c:ser>
          <c:idx val="3"/>
          <c:order val="4"/>
          <c:tx>
            <c:strRef>
              <c:f>ByteDance!$A$99</c:f>
              <c:strCache>
                <c:ptCount val="1"/>
                <c:pt idx="0">
                  <c:v> 1.6T </c:v>
                </c:pt>
              </c:strCache>
            </c:strRef>
          </c:tx>
          <c:marker>
            <c:symbol val="none"/>
          </c:marker>
          <c:cat>
            <c:numRef>
              <c:f>ByteDance!$M$93:$W$93</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ByteDance!$M$99:$W$99</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EC52-FB42-967F-EC2236C52A38}"/>
            </c:ext>
          </c:extLst>
        </c:ser>
        <c:dLbls>
          <c:showLegendKey val="0"/>
          <c:showVal val="0"/>
          <c:showCatName val="0"/>
          <c:showSerName val="0"/>
          <c:showPercent val="0"/>
          <c:showBubbleSize val="0"/>
        </c:dLbls>
        <c:smooth val="0"/>
        <c:axId val="73553024"/>
        <c:axId val="73554560"/>
      </c:lineChart>
      <c:catAx>
        <c:axId val="73553024"/>
        <c:scaling>
          <c:orientation val="minMax"/>
        </c:scaling>
        <c:delete val="0"/>
        <c:axPos val="b"/>
        <c:numFmt formatCode="General" sourceLinked="1"/>
        <c:majorTickMark val="out"/>
        <c:minorTickMark val="none"/>
        <c:tickLblPos val="nextTo"/>
        <c:crossAx val="73554560"/>
        <c:crosses val="autoZero"/>
        <c:auto val="1"/>
        <c:lblAlgn val="ctr"/>
        <c:lblOffset val="100"/>
        <c:noMultiLvlLbl val="0"/>
      </c:catAx>
      <c:valAx>
        <c:axId val="73554560"/>
        <c:scaling>
          <c:orientation val="minMax"/>
          <c:min val="0"/>
        </c:scaling>
        <c:delete val="0"/>
        <c:axPos val="l"/>
        <c:majorGridlines/>
        <c:title>
          <c:tx>
            <c:rich>
              <a:bodyPr rot="-5400000" vert="horz"/>
              <a:lstStyle/>
              <a:p>
                <a:pPr>
                  <a:defRPr/>
                </a:pPr>
                <a:r>
                  <a:rPr lang="en-US"/>
                  <a:t>Annual</a:t>
                </a:r>
                <a:r>
                  <a:rPr lang="en-US" baseline="0"/>
                  <a:t> sales ($ mn)</a:t>
                </a:r>
                <a:endParaRPr lang="en-US"/>
              </a:p>
            </c:rich>
          </c:tx>
          <c:layout>
            <c:manualLayout>
              <c:xMode val="edge"/>
              <c:yMode val="edge"/>
              <c:x val="5.9451710512586709E-3"/>
              <c:y val="0.28378436813907937"/>
            </c:manualLayout>
          </c:layout>
          <c:overlay val="0"/>
        </c:title>
        <c:numFmt formatCode="_(&quot;$&quot;* #,##0_);_(&quot;$&quot;* \(#,##0\);_(&quot;$&quot;* &quot;-&quot;??_);_(@_)" sourceLinked="1"/>
        <c:majorTickMark val="out"/>
        <c:minorTickMark val="none"/>
        <c:tickLblPos val="nextTo"/>
        <c:crossAx val="73553024"/>
        <c:crosses val="autoZero"/>
        <c:crossBetween val="between"/>
      </c:valAx>
    </c:plotArea>
    <c:legend>
      <c:legendPos val="r"/>
      <c:layout>
        <c:manualLayout>
          <c:xMode val="edge"/>
          <c:yMode val="edge"/>
          <c:x val="0.14598804917033747"/>
          <c:y val="6.3886693057108659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74144825455562"/>
          <c:y val="7.8129831783283407E-2"/>
          <c:w val="0.79607133886397974"/>
          <c:h val="0.8058903744688618"/>
        </c:manualLayout>
      </c:layout>
      <c:lineChart>
        <c:grouping val="standard"/>
        <c:varyColors val="0"/>
        <c:ser>
          <c:idx val="0"/>
          <c:order val="0"/>
          <c:tx>
            <c:strRef>
              <c:f>CloudAllOther!$A$121</c:f>
              <c:strCache>
                <c:ptCount val="1"/>
                <c:pt idx="0">
                  <c:v>Ethernet</c:v>
                </c:pt>
              </c:strCache>
            </c:strRef>
          </c:tx>
          <c:cat>
            <c:numRef>
              <c:f>CloudAllOther!$C$121:$L$121</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CloudAllOther!$C$124:$L$124</c:f>
              <c:numCache>
                <c:formatCode>0%</c:formatCode>
                <c:ptCount val="10"/>
                <c:pt idx="0">
                  <c:v>1.1520954470827669</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0-09FE-7541-BA18-E979CEA1B2B1}"/>
            </c:ext>
          </c:extLst>
        </c:ser>
        <c:ser>
          <c:idx val="1"/>
          <c:order val="1"/>
          <c:tx>
            <c:strRef>
              <c:f>CloudAllOther!$A$126</c:f>
              <c:strCache>
                <c:ptCount val="1"/>
                <c:pt idx="0">
                  <c:v>DWDM</c:v>
                </c:pt>
              </c:strCache>
            </c:strRef>
          </c:tx>
          <c:marker>
            <c:symbol val="square"/>
            <c:size val="5"/>
          </c:marker>
          <c:cat>
            <c:numRef>
              <c:f>CloudAllOther!$C$121:$L$121</c:f>
              <c:numCache>
                <c:formatCode>General</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CloudAllOther!$C$129:$L$129</c:f>
              <c:numCache>
                <c:formatCode>0%</c:formatCode>
                <c:ptCount val="10"/>
                <c:pt idx="0">
                  <c:v>1.6344824445954247</c:v>
                </c:pt>
                <c:pt idx="1">
                  <c:v>0</c:v>
                </c:pt>
                <c:pt idx="2">
                  <c:v>0</c:v>
                </c:pt>
                <c:pt idx="3">
                  <c:v>0</c:v>
                </c:pt>
                <c:pt idx="4">
                  <c:v>0</c:v>
                </c:pt>
                <c:pt idx="5">
                  <c:v>0</c:v>
                </c:pt>
                <c:pt idx="6">
                  <c:v>0</c:v>
                </c:pt>
                <c:pt idx="7">
                  <c:v>0</c:v>
                </c:pt>
                <c:pt idx="8">
                  <c:v>0</c:v>
                </c:pt>
                <c:pt idx="9">
                  <c:v>0</c:v>
                </c:pt>
              </c:numCache>
            </c:numRef>
          </c:val>
          <c:smooth val="1"/>
          <c:extLst>
            <c:ext xmlns:c16="http://schemas.microsoft.com/office/drawing/2014/chart" uri="{C3380CC4-5D6E-409C-BE32-E72D297353CC}">
              <c16:uniqueId val="{00000001-09FE-7541-BA18-E979CEA1B2B1}"/>
            </c:ext>
          </c:extLst>
        </c:ser>
        <c:dLbls>
          <c:showLegendKey val="0"/>
          <c:showVal val="0"/>
          <c:showCatName val="0"/>
          <c:showSerName val="0"/>
          <c:showPercent val="0"/>
          <c:showBubbleSize val="0"/>
        </c:dLbls>
        <c:marker val="1"/>
        <c:smooth val="0"/>
        <c:axId val="85505152"/>
        <c:axId val="85506688"/>
      </c:lineChart>
      <c:catAx>
        <c:axId val="85505152"/>
        <c:scaling>
          <c:orientation val="minMax"/>
        </c:scaling>
        <c:delete val="0"/>
        <c:axPos val="b"/>
        <c:numFmt formatCode="General" sourceLinked="1"/>
        <c:majorTickMark val="out"/>
        <c:minorTickMark val="none"/>
        <c:tickLblPos val="nextTo"/>
        <c:crossAx val="85506688"/>
        <c:crosses val="autoZero"/>
        <c:auto val="1"/>
        <c:lblAlgn val="ctr"/>
        <c:lblOffset val="100"/>
        <c:noMultiLvlLbl val="0"/>
      </c:catAx>
      <c:valAx>
        <c:axId val="85506688"/>
        <c:scaling>
          <c:orientation val="minMax"/>
        </c:scaling>
        <c:delete val="0"/>
        <c:axPos val="l"/>
        <c:majorGridlines/>
        <c:title>
          <c:tx>
            <c:rich>
              <a:bodyPr rot="-5400000" vert="horz"/>
              <a:lstStyle/>
              <a:p>
                <a:pPr>
                  <a:defRPr/>
                </a:pPr>
                <a:r>
                  <a:rPr lang="en-US"/>
                  <a:t>Growth in cumulative deployed bandwidth</a:t>
                </a:r>
              </a:p>
              <a:p>
                <a:pPr>
                  <a:defRPr/>
                </a:pPr>
                <a:endParaRPr lang="en-US"/>
              </a:p>
            </c:rich>
          </c:tx>
          <c:layout>
            <c:manualLayout>
              <c:xMode val="edge"/>
              <c:yMode val="edge"/>
              <c:x val="4.6430644225188625E-3"/>
              <c:y val="0.15049941673957423"/>
            </c:manualLayout>
          </c:layout>
          <c:overlay val="0"/>
        </c:title>
        <c:numFmt formatCode="0%" sourceLinked="1"/>
        <c:majorTickMark val="out"/>
        <c:minorTickMark val="none"/>
        <c:tickLblPos val="nextTo"/>
        <c:crossAx val="85505152"/>
        <c:crosses val="autoZero"/>
        <c:crossBetween val="between"/>
      </c:valAx>
    </c:plotArea>
    <c:legend>
      <c:legendPos val="t"/>
      <c:layout>
        <c:manualLayout>
          <c:xMode val="edge"/>
          <c:yMode val="edge"/>
          <c:x val="0.63722348128148776"/>
          <c:y val="0.17766664560771156"/>
          <c:w val="0.31605572184408848"/>
          <c:h val="0.25702380807237779"/>
        </c:manualLayout>
      </c:layout>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9746704789042618"/>
          <c:y val="5.1400554097404488E-2"/>
          <c:w val="0.78618869767505806"/>
          <c:h val="0.8326195683872849"/>
        </c:manualLayout>
      </c:layout>
      <c:lineChart>
        <c:grouping val="standard"/>
        <c:varyColors val="0"/>
        <c:ser>
          <c:idx val="0"/>
          <c:order val="0"/>
          <c:tx>
            <c:strRef>
              <c:f>CloudAllOther!$A$103</c:f>
              <c:strCache>
                <c:ptCount val="1"/>
                <c:pt idx="0">
                  <c:v> 100G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CloudAllOther!$B$103:$L$103</c:f>
              <c:numCache>
                <c:formatCode>_(* #,##0_);_(* \(#,##0\);_(* "-"??_);_(@_)</c:formatCode>
                <c:ptCount val="11"/>
                <c:pt idx="0">
                  <c:v>992140.72503156902</c:v>
                </c:pt>
                <c:pt idx="1">
                  <c:v>1301564.0708895004</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614D-084A-9C53-3C59FA1F8019}"/>
            </c:ext>
          </c:extLst>
        </c:ser>
        <c:ser>
          <c:idx val="1"/>
          <c:order val="1"/>
          <c:tx>
            <c:strRef>
              <c:f>CloudAllOther!$A$104</c:f>
              <c:strCache>
                <c:ptCount val="1"/>
                <c:pt idx="0">
                  <c:v> 200G </c:v>
                </c:pt>
              </c:strCache>
            </c:strRef>
          </c:tx>
          <c:spPr>
            <a:ln>
              <a:solidFill>
                <a:srgbClr val="F79646"/>
              </a:solidFill>
            </a:ln>
          </c:spPr>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CloudAllOther!$B$104:$L$104</c:f>
              <c:numCache>
                <c:formatCode>_(* #,##0_);_(* \(#,##0\);_(* "-"??_);_(@_)</c:formatCode>
                <c:ptCount val="11"/>
                <c:pt idx="0">
                  <c:v>0</c:v>
                </c:pt>
                <c:pt idx="1">
                  <c:v>500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1-614D-084A-9C53-3C59FA1F8019}"/>
            </c:ext>
          </c:extLst>
        </c:ser>
        <c:ser>
          <c:idx val="4"/>
          <c:order val="2"/>
          <c:tx>
            <c:strRef>
              <c:f>CloudAllOther!$A$105</c:f>
              <c:strCache>
                <c:ptCount val="1"/>
                <c:pt idx="0">
                  <c:v> 400G </c:v>
                </c:pt>
              </c:strCache>
            </c:strRef>
          </c:tx>
          <c:spPr>
            <a:ln>
              <a:solidFill>
                <a:srgbClr val="C0504D"/>
              </a:solidFill>
            </a:ln>
          </c:spPr>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CloudAllOther!$B$105:$L$105</c:f>
              <c:numCache>
                <c:formatCode>_(* #,##0_);_(* \(#,##0\);_(* "-"??_);_(@_)</c:formatCode>
                <c:ptCount val="11"/>
                <c:pt idx="0">
                  <c:v>0</c:v>
                </c:pt>
                <c:pt idx="1">
                  <c:v>7.2705054945054712</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614D-084A-9C53-3C59FA1F8019}"/>
            </c:ext>
          </c:extLst>
        </c:ser>
        <c:ser>
          <c:idx val="2"/>
          <c:order val="3"/>
          <c:tx>
            <c:strRef>
              <c:f>CloudAllOther!$A$106</c:f>
              <c:strCache>
                <c:ptCount val="1"/>
                <c:pt idx="0">
                  <c:v> 800G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CloudAllOther!$B$106:$L$106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614D-084A-9C53-3C59FA1F8019}"/>
            </c:ext>
          </c:extLst>
        </c:ser>
        <c:ser>
          <c:idx val="3"/>
          <c:order val="4"/>
          <c:tx>
            <c:strRef>
              <c:f>CloudAllOther!$A$107</c:f>
              <c:strCache>
                <c:ptCount val="1"/>
                <c:pt idx="0">
                  <c:v> 1.6T </c:v>
                </c:pt>
              </c:strCache>
            </c:strRef>
          </c:tx>
          <c:marker>
            <c:symbol val="none"/>
          </c:marker>
          <c:cat>
            <c:numRef>
              <c:f>CloudAllOther!$B$101:$L$101</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CloudAllOther!$B$107:$L$107</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4-614D-084A-9C53-3C59FA1F8019}"/>
            </c:ext>
          </c:extLst>
        </c:ser>
        <c:dLbls>
          <c:showLegendKey val="0"/>
          <c:showVal val="0"/>
          <c:showCatName val="0"/>
          <c:showSerName val="0"/>
          <c:showPercent val="0"/>
          <c:showBubbleSize val="0"/>
        </c:dLbls>
        <c:smooth val="0"/>
        <c:axId val="85544960"/>
        <c:axId val="85546496"/>
      </c:lineChart>
      <c:catAx>
        <c:axId val="85544960"/>
        <c:scaling>
          <c:orientation val="minMax"/>
        </c:scaling>
        <c:delete val="0"/>
        <c:axPos val="b"/>
        <c:numFmt formatCode="General" sourceLinked="1"/>
        <c:majorTickMark val="out"/>
        <c:minorTickMark val="none"/>
        <c:tickLblPos val="nextTo"/>
        <c:crossAx val="85546496"/>
        <c:crosses val="autoZero"/>
        <c:auto val="1"/>
        <c:lblAlgn val="ctr"/>
        <c:lblOffset val="100"/>
        <c:noMultiLvlLbl val="0"/>
      </c:catAx>
      <c:valAx>
        <c:axId val="85546496"/>
        <c:scaling>
          <c:orientation val="minMax"/>
          <c:min val="0"/>
        </c:scaling>
        <c:delete val="0"/>
        <c:axPos val="l"/>
        <c:majorGridlines/>
        <c:title>
          <c:tx>
            <c:rich>
              <a:bodyPr rot="-5400000" vert="horz"/>
              <a:lstStyle/>
              <a:p>
                <a:pPr>
                  <a:defRPr/>
                </a:pPr>
                <a:r>
                  <a:rPr lang="en-US"/>
                  <a:t>Annual units consumed</a:t>
                </a:r>
              </a:p>
            </c:rich>
          </c:tx>
          <c:overlay val="0"/>
        </c:title>
        <c:numFmt formatCode="_(* #,##0_);_(* \(#,##0\);_(* &quot;-&quot;??_);_(@_)" sourceLinked="1"/>
        <c:majorTickMark val="out"/>
        <c:minorTickMark val="none"/>
        <c:tickLblPos val="nextTo"/>
        <c:crossAx val="85544960"/>
        <c:crosses val="autoZero"/>
        <c:crossBetween val="between"/>
      </c:valAx>
    </c:plotArea>
    <c:legend>
      <c:legendPos val="r"/>
      <c:layout>
        <c:manualLayout>
          <c:xMode val="edge"/>
          <c:yMode val="edge"/>
          <c:x val="0.20840364706938277"/>
          <c:y val="6.3886875732228968E-2"/>
          <c:w val="0.16050614569679936"/>
          <c:h val="0.35716063173764179"/>
        </c:manualLayout>
      </c:layout>
      <c:overlay val="0"/>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image" Target="../media/image1.png"/><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 Id="rId9" Type="http://schemas.openxmlformats.org/officeDocument/2006/relationships/chart" Target="../charts/chart7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image" Target="../media/image1.png"/><Relationship Id="rId4" Type="http://schemas.openxmlformats.org/officeDocument/2006/relationships/chart" Target="../charts/chart78.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85.xml"/><Relationship Id="rId3" Type="http://schemas.openxmlformats.org/officeDocument/2006/relationships/chart" Target="../charts/chart80.xml"/><Relationship Id="rId7" Type="http://schemas.openxmlformats.org/officeDocument/2006/relationships/chart" Target="../charts/chart84.xml"/><Relationship Id="rId2" Type="http://schemas.openxmlformats.org/officeDocument/2006/relationships/chart" Target="../charts/chart79.xml"/><Relationship Id="rId1" Type="http://schemas.openxmlformats.org/officeDocument/2006/relationships/image" Target="../media/image1.png"/><Relationship Id="rId6" Type="http://schemas.openxmlformats.org/officeDocument/2006/relationships/chart" Target="../charts/chart83.xml"/><Relationship Id="rId5" Type="http://schemas.openxmlformats.org/officeDocument/2006/relationships/chart" Target="../charts/chart82.xml"/><Relationship Id="rId4" Type="http://schemas.openxmlformats.org/officeDocument/2006/relationships/chart" Target="../charts/chart81.xml"/><Relationship Id="rId9" Type="http://schemas.openxmlformats.org/officeDocument/2006/relationships/chart" Target="../charts/chart86.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93.xml"/><Relationship Id="rId3" Type="http://schemas.openxmlformats.org/officeDocument/2006/relationships/chart" Target="../charts/chart88.xml"/><Relationship Id="rId7" Type="http://schemas.openxmlformats.org/officeDocument/2006/relationships/chart" Target="../charts/chart92.xml"/><Relationship Id="rId2" Type="http://schemas.openxmlformats.org/officeDocument/2006/relationships/chart" Target="../charts/chart87.xml"/><Relationship Id="rId1" Type="http://schemas.openxmlformats.org/officeDocument/2006/relationships/image" Target="../media/image1.png"/><Relationship Id="rId6" Type="http://schemas.openxmlformats.org/officeDocument/2006/relationships/chart" Target="../charts/chart91.xml"/><Relationship Id="rId5" Type="http://schemas.openxmlformats.org/officeDocument/2006/relationships/chart" Target="../charts/chart90.xml"/><Relationship Id="rId4" Type="http://schemas.openxmlformats.org/officeDocument/2006/relationships/chart" Target="../charts/chart89.xml"/><Relationship Id="rId9" Type="http://schemas.openxmlformats.org/officeDocument/2006/relationships/chart" Target="../charts/chart9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image" Target="../media/image1.png"/><Relationship Id="rId4" Type="http://schemas.openxmlformats.org/officeDocument/2006/relationships/chart" Target="../charts/chart9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image" Target="../media/image1.png"/><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112.xml"/><Relationship Id="rId3" Type="http://schemas.openxmlformats.org/officeDocument/2006/relationships/chart" Target="../charts/chart107.xml"/><Relationship Id="rId7" Type="http://schemas.openxmlformats.org/officeDocument/2006/relationships/chart" Target="../charts/chart111.xml"/><Relationship Id="rId2" Type="http://schemas.openxmlformats.org/officeDocument/2006/relationships/chart" Target="../charts/chart106.xml"/><Relationship Id="rId1" Type="http://schemas.openxmlformats.org/officeDocument/2006/relationships/image" Target="../media/image1.png"/><Relationship Id="rId6" Type="http://schemas.openxmlformats.org/officeDocument/2006/relationships/chart" Target="../charts/chart110.xml"/><Relationship Id="rId5" Type="http://schemas.openxmlformats.org/officeDocument/2006/relationships/chart" Target="../charts/chart109.xml"/><Relationship Id="rId4" Type="http://schemas.openxmlformats.org/officeDocument/2006/relationships/chart" Target="../charts/chart10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chart" Target="../charts/chart15.xml"/><Relationship Id="rId39" Type="http://schemas.openxmlformats.org/officeDocument/2006/relationships/chart" Target="../charts/chart27.xml"/><Relationship Id="rId21" Type="http://schemas.openxmlformats.org/officeDocument/2006/relationships/chart" Target="../charts/chart10.xml"/><Relationship Id="rId34" Type="http://schemas.openxmlformats.org/officeDocument/2006/relationships/chart" Target="../charts/chart22.xml"/><Relationship Id="rId7" Type="http://schemas.openxmlformats.org/officeDocument/2006/relationships/image" Target="../media/image7.png"/><Relationship Id="rId12" Type="http://schemas.openxmlformats.org/officeDocument/2006/relationships/chart" Target="../charts/chart5.xml"/><Relationship Id="rId17" Type="http://schemas.openxmlformats.org/officeDocument/2006/relationships/chart" Target="../charts/chart7.xml"/><Relationship Id="rId25" Type="http://schemas.openxmlformats.org/officeDocument/2006/relationships/chart" Target="../charts/chart14.xml"/><Relationship Id="rId33" Type="http://schemas.openxmlformats.org/officeDocument/2006/relationships/image" Target="../media/image12.png"/><Relationship Id="rId38" Type="http://schemas.openxmlformats.org/officeDocument/2006/relationships/chart" Target="../charts/chart26.xml"/><Relationship Id="rId2" Type="http://schemas.openxmlformats.org/officeDocument/2006/relationships/image" Target="../media/image2.png"/><Relationship Id="rId16" Type="http://schemas.openxmlformats.org/officeDocument/2006/relationships/chart" Target="../charts/chart6.xml"/><Relationship Id="rId20" Type="http://schemas.openxmlformats.org/officeDocument/2006/relationships/chart" Target="../charts/chart9.xml"/><Relationship Id="rId29" Type="http://schemas.openxmlformats.org/officeDocument/2006/relationships/chart" Target="../charts/chart18.xml"/><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chart" Target="../charts/chart4.xml"/><Relationship Id="rId24" Type="http://schemas.openxmlformats.org/officeDocument/2006/relationships/chart" Target="../charts/chart13.xml"/><Relationship Id="rId32" Type="http://schemas.openxmlformats.org/officeDocument/2006/relationships/chart" Target="../charts/chart21.xml"/><Relationship Id="rId37" Type="http://schemas.openxmlformats.org/officeDocument/2006/relationships/chart" Target="../charts/chart25.xml"/><Relationship Id="rId5" Type="http://schemas.openxmlformats.org/officeDocument/2006/relationships/image" Target="../media/image5.png"/><Relationship Id="rId15" Type="http://schemas.openxmlformats.org/officeDocument/2006/relationships/image" Target="../media/image10.png"/><Relationship Id="rId23" Type="http://schemas.openxmlformats.org/officeDocument/2006/relationships/chart" Target="../charts/chart12.xml"/><Relationship Id="rId28" Type="http://schemas.openxmlformats.org/officeDocument/2006/relationships/chart" Target="../charts/chart17.xml"/><Relationship Id="rId36" Type="http://schemas.openxmlformats.org/officeDocument/2006/relationships/chart" Target="../charts/chart24.xml"/><Relationship Id="rId10" Type="http://schemas.openxmlformats.org/officeDocument/2006/relationships/chart" Target="../charts/chart3.xml"/><Relationship Id="rId19" Type="http://schemas.openxmlformats.org/officeDocument/2006/relationships/chart" Target="../charts/chart8.xml"/><Relationship Id="rId31" Type="http://schemas.openxmlformats.org/officeDocument/2006/relationships/chart" Target="../charts/chart20.xml"/><Relationship Id="rId4" Type="http://schemas.openxmlformats.org/officeDocument/2006/relationships/image" Target="../media/image4.png"/><Relationship Id="rId9" Type="http://schemas.openxmlformats.org/officeDocument/2006/relationships/chart" Target="../charts/chart2.xml"/><Relationship Id="rId14" Type="http://schemas.openxmlformats.org/officeDocument/2006/relationships/image" Target="../media/image9.png"/><Relationship Id="rId22" Type="http://schemas.openxmlformats.org/officeDocument/2006/relationships/chart" Target="../charts/chart11.xml"/><Relationship Id="rId27" Type="http://schemas.openxmlformats.org/officeDocument/2006/relationships/chart" Target="../charts/chart16.xml"/><Relationship Id="rId30" Type="http://schemas.openxmlformats.org/officeDocument/2006/relationships/chart" Target="../charts/chart19.xml"/><Relationship Id="rId35" Type="http://schemas.openxmlformats.org/officeDocument/2006/relationships/chart" Target="../charts/chart23.xml"/><Relationship Id="rId8" Type="http://schemas.openxmlformats.org/officeDocument/2006/relationships/chart" Target="../charts/chart1.xml"/><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image" Target="../media/image1.png"/><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 Id="rId9"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2" Type="http://schemas.openxmlformats.org/officeDocument/2006/relationships/chart" Target="../charts/chart36.xml"/><Relationship Id="rId1" Type="http://schemas.openxmlformats.org/officeDocument/2006/relationships/image" Target="../media/image1.png"/><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image" Target="../media/image1.png"/><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 Id="rId9" Type="http://schemas.openxmlformats.org/officeDocument/2006/relationships/chart" Target="../charts/chart5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image" Target="../media/image1.png"/><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 Id="rId9" Type="http://schemas.openxmlformats.org/officeDocument/2006/relationships/chart" Target="../charts/chart5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6.xml"/><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image" Target="../media/image1.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 Id="rId9" Type="http://schemas.openxmlformats.org/officeDocument/2006/relationships/chart" Target="../charts/chart67.xml"/></Relationships>
</file>

<file path=xl/drawings/drawing1.xml><?xml version="1.0" encoding="utf-8"?>
<xdr:wsDr xmlns:xdr="http://schemas.openxmlformats.org/drawingml/2006/spreadsheetDrawing" xmlns:a="http://schemas.openxmlformats.org/drawingml/2006/main">
  <xdr:twoCellAnchor editAs="oneCell">
    <xdr:from>
      <xdr:col>7</xdr:col>
      <xdr:colOff>27214</xdr:colOff>
      <xdr:row>0</xdr:row>
      <xdr:rowOff>99786</xdr:rowOff>
    </xdr:from>
    <xdr:to>
      <xdr:col>11</xdr:col>
      <xdr:colOff>394390</xdr:colOff>
      <xdr:row>3</xdr:row>
      <xdr:rowOff>139130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326664" y="99786"/>
          <a:ext cx="2932576" cy="6235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38101</xdr:colOff>
      <xdr:row>1</xdr:row>
      <xdr:rowOff>184150</xdr:rowOff>
    </xdr:from>
    <xdr:to>
      <xdr:col>22</xdr:col>
      <xdr:colOff>532680</xdr:colOff>
      <xdr:row>4</xdr:row>
      <xdr:rowOff>123104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4592301" y="374650"/>
          <a:ext cx="2437679" cy="650154"/>
        </a:xfrm>
        <a:prstGeom prst="rect">
          <a:avLst/>
        </a:prstGeom>
      </xdr:spPr>
    </xdr:pic>
    <xdr:clientData/>
  </xdr:twoCellAnchor>
  <xdr:twoCellAnchor>
    <xdr:from>
      <xdr:col>1</xdr:col>
      <xdr:colOff>42334</xdr:colOff>
      <xdr:row>22</xdr:row>
      <xdr:rowOff>48682</xdr:rowOff>
    </xdr:from>
    <xdr:to>
      <xdr:col>9</xdr:col>
      <xdr:colOff>31750</xdr:colOff>
      <xdr:row>35</xdr:row>
      <xdr:rowOff>86783</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55562</xdr:colOff>
      <xdr:row>8</xdr:row>
      <xdr:rowOff>105833</xdr:rowOff>
    </xdr:from>
    <xdr:to>
      <xdr:col>9</xdr:col>
      <xdr:colOff>51594</xdr:colOff>
      <xdr:row>21</xdr:row>
      <xdr:rowOff>128058</xdr:rowOff>
    </xdr:to>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387878</xdr:colOff>
      <xdr:row>8</xdr:row>
      <xdr:rowOff>105833</xdr:rowOff>
    </xdr:from>
    <xdr:to>
      <xdr:col>25</xdr:col>
      <xdr:colOff>428888</xdr:colOff>
      <xdr:row>21</xdr:row>
      <xdr:rowOff>128058</xdr:rowOff>
    </xdr:to>
    <xdr:graphicFrame macro="">
      <xdr:nvGraphicFramePr>
        <xdr:cNvPr id="14" name="Chart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136526</xdr:colOff>
      <xdr:row>8</xdr:row>
      <xdr:rowOff>105833</xdr:rowOff>
    </xdr:from>
    <xdr:to>
      <xdr:col>17</xdr:col>
      <xdr:colOff>362744</xdr:colOff>
      <xdr:row>21</xdr:row>
      <xdr:rowOff>128058</xdr:rowOff>
    </xdr:to>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505881</xdr:colOff>
      <xdr:row>8</xdr:row>
      <xdr:rowOff>123295</xdr:rowOff>
    </xdr:from>
    <xdr:to>
      <xdr:col>33</xdr:col>
      <xdr:colOff>499268</xdr:colOff>
      <xdr:row>21</xdr:row>
      <xdr:rowOff>145520</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175684</xdr:colOff>
      <xdr:row>22</xdr:row>
      <xdr:rowOff>77788</xdr:rowOff>
    </xdr:from>
    <xdr:to>
      <xdr:col>17</xdr:col>
      <xdr:colOff>328083</xdr:colOff>
      <xdr:row>35</xdr:row>
      <xdr:rowOff>162983</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452966</xdr:colOff>
      <xdr:row>22</xdr:row>
      <xdr:rowOff>105833</xdr:rowOff>
    </xdr:from>
    <xdr:to>
      <xdr:col>25</xdr:col>
      <xdr:colOff>419100</xdr:colOff>
      <xdr:row>36</xdr:row>
      <xdr:rowOff>27517</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514349</xdr:colOff>
      <xdr:row>22</xdr:row>
      <xdr:rowOff>59266</xdr:rowOff>
    </xdr:from>
    <xdr:to>
      <xdr:col>32</xdr:col>
      <xdr:colOff>469900</xdr:colOff>
      <xdr:row>35</xdr:row>
      <xdr:rowOff>184150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139701</xdr:colOff>
      <xdr:row>1</xdr:row>
      <xdr:rowOff>196850</xdr:rowOff>
    </xdr:from>
    <xdr:to>
      <xdr:col>22</xdr:col>
      <xdr:colOff>634279</xdr:colOff>
      <xdr:row>4</xdr:row>
      <xdr:rowOff>135804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4884401" y="387350"/>
          <a:ext cx="2437678" cy="650154"/>
        </a:xfrm>
        <a:prstGeom prst="rect">
          <a:avLst/>
        </a:prstGeom>
      </xdr:spPr>
    </xdr:pic>
    <xdr:clientData/>
  </xdr:twoCellAnchor>
  <xdr:twoCellAnchor>
    <xdr:from>
      <xdr:col>1</xdr:col>
      <xdr:colOff>77257</xdr:colOff>
      <xdr:row>22</xdr:row>
      <xdr:rowOff>153458</xdr:rowOff>
    </xdr:from>
    <xdr:to>
      <xdr:col>9</xdr:col>
      <xdr:colOff>42333</xdr:colOff>
      <xdr:row>36</xdr:row>
      <xdr:rowOff>69850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38365</xdr:colOff>
      <xdr:row>8</xdr:row>
      <xdr:rowOff>122236</xdr:rowOff>
    </xdr:from>
    <xdr:to>
      <xdr:col>9</xdr:col>
      <xdr:colOff>39687</xdr:colOff>
      <xdr:row>21</xdr:row>
      <xdr:rowOff>144461</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25400</xdr:colOff>
      <xdr:row>8</xdr:row>
      <xdr:rowOff>131761</xdr:rowOff>
    </xdr:from>
    <xdr:to>
      <xdr:col>18</xdr:col>
      <xdr:colOff>0</xdr:colOff>
      <xdr:row>21</xdr:row>
      <xdr:rowOff>153986</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571501</xdr:colOff>
      <xdr:row>2</xdr:row>
      <xdr:rowOff>44450</xdr:rowOff>
    </xdr:from>
    <xdr:to>
      <xdr:col>22</xdr:col>
      <xdr:colOff>418379</xdr:colOff>
      <xdr:row>5</xdr:row>
      <xdr:rowOff>34204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4465301" y="476250"/>
          <a:ext cx="2437678" cy="650154"/>
        </a:xfrm>
        <a:prstGeom prst="rect">
          <a:avLst/>
        </a:prstGeom>
      </xdr:spPr>
    </xdr:pic>
    <xdr:clientData/>
  </xdr:twoCellAnchor>
  <xdr:twoCellAnchor>
    <xdr:from>
      <xdr:col>1</xdr:col>
      <xdr:colOff>24694</xdr:colOff>
      <xdr:row>22</xdr:row>
      <xdr:rowOff>137583</xdr:rowOff>
    </xdr:from>
    <xdr:to>
      <xdr:col>8</xdr:col>
      <xdr:colOff>553861</xdr:colOff>
      <xdr:row>35</xdr:row>
      <xdr:rowOff>72495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63499</xdr:colOff>
      <xdr:row>8</xdr:row>
      <xdr:rowOff>129118</xdr:rowOff>
    </xdr:from>
    <xdr:to>
      <xdr:col>8</xdr:col>
      <xdr:colOff>586050</xdr:colOff>
      <xdr:row>21</xdr:row>
      <xdr:rowOff>151343</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259820</xdr:colOff>
      <xdr:row>8</xdr:row>
      <xdr:rowOff>151343</xdr:rowOff>
    </xdr:from>
    <xdr:to>
      <xdr:col>25</xdr:col>
      <xdr:colOff>201348</xdr:colOff>
      <xdr:row>21</xdr:row>
      <xdr:rowOff>173568</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86783</xdr:colOff>
      <xdr:row>8</xdr:row>
      <xdr:rowOff>100543</xdr:rowOff>
    </xdr:from>
    <xdr:to>
      <xdr:col>17</xdr:col>
      <xdr:colOff>73288</xdr:colOff>
      <xdr:row>21</xdr:row>
      <xdr:rowOff>122768</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303741</xdr:colOff>
      <xdr:row>8</xdr:row>
      <xdr:rowOff>106893</xdr:rowOff>
    </xdr:from>
    <xdr:to>
      <xdr:col>33</xdr:col>
      <xdr:colOff>202935</xdr:colOff>
      <xdr:row>21</xdr:row>
      <xdr:rowOff>135468</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112184</xdr:colOff>
      <xdr:row>22</xdr:row>
      <xdr:rowOff>189442</xdr:rowOff>
    </xdr:from>
    <xdr:to>
      <xdr:col>17</xdr:col>
      <xdr:colOff>48683</xdr:colOff>
      <xdr:row>35</xdr:row>
      <xdr:rowOff>120650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300567</xdr:colOff>
      <xdr:row>22</xdr:row>
      <xdr:rowOff>201083</xdr:rowOff>
    </xdr:from>
    <xdr:to>
      <xdr:col>25</xdr:col>
      <xdr:colOff>226484</xdr:colOff>
      <xdr:row>35</xdr:row>
      <xdr:rowOff>150283</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334434</xdr:colOff>
      <xdr:row>23</xdr:row>
      <xdr:rowOff>-1</xdr:rowOff>
    </xdr:from>
    <xdr:to>
      <xdr:col>33</xdr:col>
      <xdr:colOff>194732</xdr:colOff>
      <xdr:row>35</xdr:row>
      <xdr:rowOff>152399</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165101</xdr:colOff>
      <xdr:row>1</xdr:row>
      <xdr:rowOff>31750</xdr:rowOff>
    </xdr:from>
    <xdr:to>
      <xdr:col>22</xdr:col>
      <xdr:colOff>630046</xdr:colOff>
      <xdr:row>3</xdr:row>
      <xdr:rowOff>237404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4528801" y="222250"/>
          <a:ext cx="2408045" cy="650154"/>
        </a:xfrm>
        <a:prstGeom prst="rect">
          <a:avLst/>
        </a:prstGeom>
      </xdr:spPr>
    </xdr:pic>
    <xdr:clientData/>
  </xdr:twoCellAnchor>
  <xdr:twoCellAnchor>
    <xdr:from>
      <xdr:col>1</xdr:col>
      <xdr:colOff>61206</xdr:colOff>
      <xdr:row>22</xdr:row>
      <xdr:rowOff>116768</xdr:rowOff>
    </xdr:from>
    <xdr:to>
      <xdr:col>9</xdr:col>
      <xdr:colOff>178327</xdr:colOff>
      <xdr:row>36</xdr:row>
      <xdr:rowOff>110419</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91282</xdr:colOff>
      <xdr:row>8</xdr:row>
      <xdr:rowOff>134938</xdr:rowOff>
    </xdr:from>
    <xdr:to>
      <xdr:col>9</xdr:col>
      <xdr:colOff>92604</xdr:colOff>
      <xdr:row>21</xdr:row>
      <xdr:rowOff>157163</xdr:rowOff>
    </xdr:to>
    <xdr:graphicFrame macro="">
      <xdr:nvGraphicFramePr>
        <xdr:cNvPr id="11" name="Chart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40481</xdr:colOff>
      <xdr:row>8</xdr:row>
      <xdr:rowOff>144463</xdr:rowOff>
    </xdr:from>
    <xdr:to>
      <xdr:col>26</xdr:col>
      <xdr:colOff>70909</xdr:colOff>
      <xdr:row>21</xdr:row>
      <xdr:rowOff>166688</xdr:rowOff>
    </xdr:to>
    <xdr:graphicFrame macro="">
      <xdr:nvGraphicFramePr>
        <xdr:cNvPr id="12" name="Chart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76200</xdr:colOff>
      <xdr:row>8</xdr:row>
      <xdr:rowOff>134938</xdr:rowOff>
    </xdr:from>
    <xdr:to>
      <xdr:col>17</xdr:col>
      <xdr:colOff>571500</xdr:colOff>
      <xdr:row>21</xdr:row>
      <xdr:rowOff>157163</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223309</xdr:colOff>
      <xdr:row>8</xdr:row>
      <xdr:rowOff>144463</xdr:rowOff>
    </xdr:from>
    <xdr:to>
      <xdr:col>34</xdr:col>
      <xdr:colOff>227278</xdr:colOff>
      <xdr:row>21</xdr:row>
      <xdr:rowOff>166688</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93134</xdr:colOff>
      <xdr:row>22</xdr:row>
      <xdr:rowOff>70379</xdr:rowOff>
    </xdr:from>
    <xdr:to>
      <xdr:col>17</xdr:col>
      <xdr:colOff>550333</xdr:colOff>
      <xdr:row>36</xdr:row>
      <xdr:rowOff>95250</xdr:rowOff>
    </xdr:to>
    <xdr:graphicFrame macro="">
      <xdr:nvGraphicFramePr>
        <xdr:cNvPr id="15" name="Chart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40217</xdr:colOff>
      <xdr:row>22</xdr:row>
      <xdr:rowOff>95250</xdr:rowOff>
    </xdr:from>
    <xdr:to>
      <xdr:col>26</xdr:col>
      <xdr:colOff>71967</xdr:colOff>
      <xdr:row>36</xdr:row>
      <xdr:rowOff>105833</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232834</xdr:colOff>
      <xdr:row>22</xdr:row>
      <xdr:rowOff>118533</xdr:rowOff>
    </xdr:from>
    <xdr:to>
      <xdr:col>34</xdr:col>
      <xdr:colOff>220133</xdr:colOff>
      <xdr:row>36</xdr:row>
      <xdr:rowOff>129116</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63501</xdr:colOff>
      <xdr:row>1</xdr:row>
      <xdr:rowOff>146050</xdr:rowOff>
    </xdr:from>
    <xdr:to>
      <xdr:col>22</xdr:col>
      <xdr:colOff>558079</xdr:colOff>
      <xdr:row>4</xdr:row>
      <xdr:rowOff>85004</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103601" y="336550"/>
          <a:ext cx="2437678" cy="650154"/>
        </a:xfrm>
        <a:prstGeom prst="rect">
          <a:avLst/>
        </a:prstGeom>
      </xdr:spPr>
    </xdr:pic>
    <xdr:clientData/>
  </xdr:twoCellAnchor>
  <xdr:twoCellAnchor>
    <xdr:from>
      <xdr:col>1</xdr:col>
      <xdr:colOff>0</xdr:colOff>
      <xdr:row>22</xdr:row>
      <xdr:rowOff>63852</xdr:rowOff>
    </xdr:from>
    <xdr:to>
      <xdr:col>8</xdr:col>
      <xdr:colOff>211667</xdr:colOff>
      <xdr:row>36</xdr:row>
      <xdr:rowOff>51153</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105833</xdr:colOff>
      <xdr:row>8</xdr:row>
      <xdr:rowOff>26458</xdr:rowOff>
    </xdr:from>
    <xdr:to>
      <xdr:col>8</xdr:col>
      <xdr:colOff>223572</xdr:colOff>
      <xdr:row>21</xdr:row>
      <xdr:rowOff>48682</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895878</xdr:colOff>
      <xdr:row>8</xdr:row>
      <xdr:rowOff>99483</xdr:rowOff>
    </xdr:from>
    <xdr:to>
      <xdr:col>15</xdr:col>
      <xdr:colOff>602456</xdr:colOff>
      <xdr:row>21</xdr:row>
      <xdr:rowOff>121707</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649288</xdr:colOff>
      <xdr:row>1</xdr:row>
      <xdr:rowOff>73025</xdr:rowOff>
    </xdr:from>
    <xdr:to>
      <xdr:col>22</xdr:col>
      <xdr:colOff>686666</xdr:colOff>
      <xdr:row>4</xdr:row>
      <xdr:rowOff>11979</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7413288" y="263525"/>
          <a:ext cx="2437678" cy="650154"/>
        </a:xfrm>
        <a:prstGeom prst="rect">
          <a:avLst/>
        </a:prstGeom>
      </xdr:spPr>
    </xdr:pic>
    <xdr:clientData/>
  </xdr:twoCellAnchor>
  <xdr:twoCellAnchor>
    <xdr:from>
      <xdr:col>1</xdr:col>
      <xdr:colOff>96839</xdr:colOff>
      <xdr:row>22</xdr:row>
      <xdr:rowOff>166688</xdr:rowOff>
    </xdr:from>
    <xdr:to>
      <xdr:col>6</xdr:col>
      <xdr:colOff>619126</xdr:colOff>
      <xdr:row>35</xdr:row>
      <xdr:rowOff>190500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103188</xdr:colOff>
      <xdr:row>8</xdr:row>
      <xdr:rowOff>77788</xdr:rowOff>
    </xdr:from>
    <xdr:to>
      <xdr:col>6</xdr:col>
      <xdr:colOff>627063</xdr:colOff>
      <xdr:row>22</xdr:row>
      <xdr:rowOff>42863</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138112</xdr:colOff>
      <xdr:row>8</xdr:row>
      <xdr:rowOff>79375</xdr:rowOff>
    </xdr:from>
    <xdr:to>
      <xdr:col>13</xdr:col>
      <xdr:colOff>12700</xdr:colOff>
      <xdr:row>22</xdr:row>
      <xdr:rowOff>44450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166687</xdr:colOff>
      <xdr:row>8</xdr:row>
      <xdr:rowOff>60325</xdr:rowOff>
    </xdr:from>
    <xdr:to>
      <xdr:col>19</xdr:col>
      <xdr:colOff>155575</xdr:colOff>
      <xdr:row>22</xdr:row>
      <xdr:rowOff>25400</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204787</xdr:colOff>
      <xdr:row>8</xdr:row>
      <xdr:rowOff>77788</xdr:rowOff>
    </xdr:from>
    <xdr:to>
      <xdr:col>25</xdr:col>
      <xdr:colOff>271462</xdr:colOff>
      <xdr:row>22</xdr:row>
      <xdr:rowOff>42863</xdr:rowOff>
    </xdr:to>
    <xdr:graphicFrame macro="">
      <xdr:nvGraphicFramePr>
        <xdr:cNvPr id="11" name="Chart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19</xdr:col>
      <xdr:colOff>76201</xdr:colOff>
      <xdr:row>2</xdr:row>
      <xdr:rowOff>19050</xdr:rowOff>
    </xdr:from>
    <xdr:to>
      <xdr:col>22</xdr:col>
      <xdr:colOff>570779</xdr:colOff>
      <xdr:row>5</xdr:row>
      <xdr:rowOff>8804</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5951201" y="450850"/>
          <a:ext cx="2437678" cy="650154"/>
        </a:xfrm>
        <a:prstGeom prst="rect">
          <a:avLst/>
        </a:prstGeom>
      </xdr:spPr>
    </xdr:pic>
    <xdr:clientData/>
  </xdr:twoCellAnchor>
  <xdr:twoCellAnchor>
    <xdr:from>
      <xdr:col>1</xdr:col>
      <xdr:colOff>250824</xdr:colOff>
      <xdr:row>143</xdr:row>
      <xdr:rowOff>144639</xdr:rowOff>
    </xdr:from>
    <xdr:to>
      <xdr:col>9</xdr:col>
      <xdr:colOff>85371</xdr:colOff>
      <xdr:row>157</xdr:row>
      <xdr:rowOff>131939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22</xdr:col>
      <xdr:colOff>494578</xdr:colOff>
      <xdr:row>3</xdr:row>
      <xdr:rowOff>205654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5328900" y="190500"/>
          <a:ext cx="2437678" cy="650154"/>
        </a:xfrm>
        <a:prstGeom prst="rect">
          <a:avLst/>
        </a:prstGeom>
      </xdr:spPr>
    </xdr:pic>
    <xdr:clientData/>
  </xdr:twoCellAnchor>
  <xdr:twoCellAnchor>
    <xdr:from>
      <xdr:col>1</xdr:col>
      <xdr:colOff>250824</xdr:colOff>
      <xdr:row>144</xdr:row>
      <xdr:rowOff>144639</xdr:rowOff>
    </xdr:from>
    <xdr:to>
      <xdr:col>9</xdr:col>
      <xdr:colOff>85371</xdr:colOff>
      <xdr:row>158</xdr:row>
      <xdr:rowOff>131939</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19</xdr:col>
      <xdr:colOff>0</xdr:colOff>
      <xdr:row>1</xdr:row>
      <xdr:rowOff>61046</xdr:rowOff>
    </xdr:from>
    <xdr:to>
      <xdr:col>22</xdr:col>
      <xdr:colOff>494578</xdr:colOff>
      <xdr:row>4</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6395700" y="251546"/>
          <a:ext cx="2437678" cy="650154"/>
        </a:xfrm>
        <a:prstGeom prst="rect">
          <a:avLst/>
        </a:prstGeom>
      </xdr:spPr>
    </xdr:pic>
    <xdr:clientData/>
  </xdr:twoCellAnchor>
  <xdr:twoCellAnchor>
    <xdr:from>
      <xdr:col>1</xdr:col>
      <xdr:colOff>263524</xdr:colOff>
      <xdr:row>144</xdr:row>
      <xdr:rowOff>110772</xdr:rowOff>
    </xdr:from>
    <xdr:to>
      <xdr:col>8</xdr:col>
      <xdr:colOff>440971</xdr:colOff>
      <xdr:row>158</xdr:row>
      <xdr:rowOff>98072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610322</xdr:colOff>
      <xdr:row>2</xdr:row>
      <xdr:rowOff>0</xdr:rowOff>
    </xdr:from>
    <xdr:to>
      <xdr:col>12</xdr:col>
      <xdr:colOff>0</xdr:colOff>
      <xdr:row>4</xdr:row>
      <xdr:rowOff>180254</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1443422" y="431800"/>
          <a:ext cx="2437678" cy="6501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16</xdr:row>
      <xdr:rowOff>114300</xdr:rowOff>
    </xdr:from>
    <xdr:to>
      <xdr:col>8</xdr:col>
      <xdr:colOff>462787</xdr:colOff>
      <xdr:row>25</xdr:row>
      <xdr:rowOff>77367</xdr:rowOff>
    </xdr:to>
    <xdr:grpSp>
      <xdr:nvGrpSpPr>
        <xdr:cNvPr id="2" name="Group 19">
          <a:extLst>
            <a:ext uri="{FF2B5EF4-FFF2-40B4-BE49-F238E27FC236}">
              <a16:creationId xmlns:a16="http://schemas.microsoft.com/office/drawing/2014/main" id="{00000000-0008-0000-0100-000002000000}"/>
            </a:ext>
          </a:extLst>
        </xdr:cNvPr>
        <xdr:cNvGrpSpPr>
          <a:grpSpLocks/>
        </xdr:cNvGrpSpPr>
      </xdr:nvGrpSpPr>
      <xdr:grpSpPr bwMode="auto">
        <a:xfrm>
          <a:off x="341710" y="3430191"/>
          <a:ext cx="5341968" cy="1409676"/>
          <a:chOff x="158" y="204"/>
          <a:chExt cx="534" cy="149"/>
        </a:xfrm>
      </xdr:grpSpPr>
      <xdr:sp macro="" textlink="">
        <xdr:nvSpPr>
          <xdr:cNvPr id="3" name="Text Box 9">
            <a:extLst>
              <a:ext uri="{FF2B5EF4-FFF2-40B4-BE49-F238E27FC236}">
                <a16:creationId xmlns:a16="http://schemas.microsoft.com/office/drawing/2014/main" id="{00000000-0008-0000-0100-000003000000}"/>
              </a:ext>
            </a:extLst>
          </xdr:cNvPr>
          <xdr:cNvSpPr txBox="1">
            <a:spLocks noChangeArrowheads="1"/>
          </xdr:cNvSpPr>
        </xdr:nvSpPr>
        <xdr:spPr bwMode="auto">
          <a:xfrm>
            <a:off x="162" y="234"/>
            <a:ext cx="137" cy="93"/>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100" b="0" i="0" strike="noStrike">
                <a:solidFill>
                  <a:srgbClr val="000000"/>
                </a:solidFill>
                <a:latin typeface="Arial"/>
                <a:cs typeface="Arial"/>
              </a:rPr>
              <a:t>LightCounting proprietary vendor shipment data</a:t>
            </a:r>
          </a:p>
          <a:p>
            <a:pPr algn="ctr" rtl="0">
              <a:defRPr sz="1000"/>
            </a:pPr>
            <a:endParaRPr lang="en-US" sz="11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00000000-0008-0000-0100-000004000000}"/>
              </a:ext>
            </a:extLst>
          </xdr:cNvPr>
          <xdr:cNvSpPr txBox="1">
            <a:spLocks noChangeArrowheads="1"/>
          </xdr:cNvSpPr>
        </xdr:nvSpPr>
        <xdr:spPr bwMode="auto">
          <a:xfrm>
            <a:off x="567" y="241"/>
            <a:ext cx="125" cy="6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Preliminary</a:t>
            </a:r>
          </a:p>
          <a:p>
            <a:pPr algn="ctr" rtl="0">
              <a:defRPr sz="1000"/>
            </a:pPr>
            <a:r>
              <a:rPr lang="en-US" sz="1200" b="0" i="0" strike="noStrike">
                <a:solidFill>
                  <a:srgbClr val="000000"/>
                </a:solidFill>
                <a:latin typeface="Arial"/>
                <a:cs typeface="Arial"/>
              </a:rPr>
              <a:t>Forecast</a:t>
            </a:r>
          </a:p>
        </xdr:txBody>
      </xdr:sp>
      <xdr:sp macro="" textlink="">
        <xdr:nvSpPr>
          <xdr:cNvPr id="5" name="Text Box 11">
            <a:extLst>
              <a:ext uri="{FF2B5EF4-FFF2-40B4-BE49-F238E27FC236}">
                <a16:creationId xmlns:a16="http://schemas.microsoft.com/office/drawing/2014/main" id="{00000000-0008-0000-0100-000005000000}"/>
              </a:ext>
            </a:extLst>
          </xdr:cNvPr>
          <xdr:cNvSpPr txBox="1">
            <a:spLocks noChangeArrowheads="1"/>
          </xdr:cNvSpPr>
        </xdr:nvSpPr>
        <xdr:spPr bwMode="auto">
          <a:xfrm>
            <a:off x="323" y="204"/>
            <a:ext cx="192" cy="73"/>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Historical Trend Extrapolation</a:t>
            </a:r>
          </a:p>
        </xdr:txBody>
      </xdr:sp>
      <xdr:sp macro="" textlink="">
        <xdr:nvSpPr>
          <xdr:cNvPr id="6" name="Text Box 12">
            <a:extLst>
              <a:ext uri="{FF2B5EF4-FFF2-40B4-BE49-F238E27FC236}">
                <a16:creationId xmlns:a16="http://schemas.microsoft.com/office/drawing/2014/main" id="{00000000-0008-0000-0100-000006000000}"/>
              </a:ext>
            </a:extLst>
          </xdr:cNvPr>
          <xdr:cNvSpPr txBox="1">
            <a:spLocks noChangeArrowheads="1"/>
          </xdr:cNvSpPr>
        </xdr:nvSpPr>
        <xdr:spPr bwMode="auto">
          <a:xfrm>
            <a:off x="322" y="277"/>
            <a:ext cx="192" cy="76"/>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Interviews with industry participants</a:t>
            </a:r>
            <a:endParaRPr lang="en-US" sz="1200" b="0" i="0" strike="noStrike">
              <a:solidFill>
                <a:srgbClr val="000000"/>
              </a:solidFill>
              <a:latin typeface="Arial"/>
              <a:ea typeface="+mn-ea"/>
              <a:cs typeface="Arial"/>
            </a:endParaRPr>
          </a:p>
          <a:p>
            <a:pPr algn="ctr" rtl="0">
              <a:defRPr sz="1000"/>
            </a:pPr>
            <a:endParaRPr lang="en-US" sz="1000" b="0" i="0" strike="noStrike">
              <a:solidFill>
                <a:srgbClr val="000000"/>
              </a:solidFill>
              <a:latin typeface="Arial"/>
              <a:cs typeface="Arial"/>
            </a:endParaRPr>
          </a:p>
        </xdr:txBody>
      </xdr:sp>
      <xdr:sp macro="" textlink="">
        <xdr:nvSpPr>
          <xdr:cNvPr id="7" name="AutoShape 16">
            <a:extLst>
              <a:ext uri="{FF2B5EF4-FFF2-40B4-BE49-F238E27FC236}">
                <a16:creationId xmlns:a16="http://schemas.microsoft.com/office/drawing/2014/main" id="{00000000-0008-0000-0100-000007000000}"/>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8" name="Line 17">
            <a:extLst>
              <a:ext uri="{FF2B5EF4-FFF2-40B4-BE49-F238E27FC236}">
                <a16:creationId xmlns:a16="http://schemas.microsoft.com/office/drawing/2014/main" id="{00000000-0008-0000-0100-000008000000}"/>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9" name="Line 18">
            <a:extLst>
              <a:ext uri="{FF2B5EF4-FFF2-40B4-BE49-F238E27FC236}">
                <a16:creationId xmlns:a16="http://schemas.microsoft.com/office/drawing/2014/main" id="{00000000-0008-0000-0100-000009000000}"/>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twoCellAnchor>
    <xdr:from>
      <xdr:col>11</xdr:col>
      <xdr:colOff>514350</xdr:colOff>
      <xdr:row>17</xdr:row>
      <xdr:rowOff>123825</xdr:rowOff>
    </xdr:from>
    <xdr:to>
      <xdr:col>14</xdr:col>
      <xdr:colOff>9525</xdr:colOff>
      <xdr:row>23</xdr:row>
      <xdr:rowOff>123825</xdr:rowOff>
    </xdr:to>
    <xdr:sp macro="" textlink="">
      <xdr:nvSpPr>
        <xdr:cNvPr id="10" name="Text Box 10">
          <a:extLst>
            <a:ext uri="{FF2B5EF4-FFF2-40B4-BE49-F238E27FC236}">
              <a16:creationId xmlns:a16="http://schemas.microsoft.com/office/drawing/2014/main" id="{00000000-0008-0000-0100-00000A000000}"/>
            </a:ext>
          </a:extLst>
        </xdr:cNvPr>
        <xdr:cNvSpPr txBox="1">
          <a:spLocks noChangeArrowheads="1"/>
        </xdr:cNvSpPr>
      </xdr:nvSpPr>
      <xdr:spPr bwMode="auto">
        <a:xfrm>
          <a:off x="7658100" y="2047875"/>
          <a:ext cx="1552575" cy="9525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a:t>
          </a:r>
        </a:p>
        <a:p>
          <a:pPr algn="ctr" rtl="0">
            <a:defRPr sz="1000"/>
          </a:pPr>
          <a:r>
            <a:rPr lang="en-US" sz="1200" b="0" i="0" strike="noStrike">
              <a:solidFill>
                <a:srgbClr val="000000"/>
              </a:solidFill>
              <a:latin typeface="Arial"/>
              <a:cs typeface="Arial"/>
            </a:rPr>
            <a:t>Forecast</a:t>
          </a:r>
        </a:p>
      </xdr:txBody>
    </xdr:sp>
    <xdr:clientData/>
  </xdr:twoCellAnchor>
  <xdr:twoCellAnchor>
    <xdr:from>
      <xdr:col>9</xdr:col>
      <xdr:colOff>285750</xdr:colOff>
      <xdr:row>17</xdr:row>
      <xdr:rowOff>142875</xdr:rowOff>
    </xdr:from>
    <xdr:to>
      <xdr:col>11</xdr:col>
      <xdr:colOff>209550</xdr:colOff>
      <xdr:row>19</xdr:row>
      <xdr:rowOff>34484</xdr:rowOff>
    </xdr:to>
    <xdr:sp macro="" textlink="">
      <xdr:nvSpPr>
        <xdr:cNvPr id="11" name="Text Box 11">
          <a:extLst>
            <a:ext uri="{FF2B5EF4-FFF2-40B4-BE49-F238E27FC236}">
              <a16:creationId xmlns:a16="http://schemas.microsoft.com/office/drawing/2014/main" id="{00000000-0008-0000-0100-00000B000000}"/>
            </a:ext>
          </a:extLst>
        </xdr:cNvPr>
        <xdr:cNvSpPr txBox="1">
          <a:spLocks noChangeArrowheads="1"/>
        </xdr:cNvSpPr>
      </xdr:nvSpPr>
      <xdr:spPr bwMode="auto">
        <a:xfrm>
          <a:off x="6172200" y="2066925"/>
          <a:ext cx="1181100" cy="209109"/>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Sanity</a:t>
          </a:r>
          <a:r>
            <a:rPr lang="en-US" sz="1000" b="0" i="0" strike="noStrike" baseline="0">
              <a:solidFill>
                <a:srgbClr val="000000"/>
              </a:solidFill>
              <a:latin typeface="Arial"/>
              <a:cs typeface="Arial"/>
            </a:rPr>
            <a:t> checks</a:t>
          </a:r>
          <a:endParaRPr lang="en-US" sz="1000" b="0" i="0" strike="noStrike">
            <a:solidFill>
              <a:srgbClr val="000000"/>
            </a:solidFill>
            <a:latin typeface="Arial"/>
            <a:cs typeface="Arial"/>
          </a:endParaRPr>
        </a:p>
      </xdr:txBody>
    </xdr:sp>
    <xdr:clientData/>
  </xdr:twoCellAnchor>
  <xdr:twoCellAnchor>
    <xdr:from>
      <xdr:col>9</xdr:col>
      <xdr:colOff>285750</xdr:colOff>
      <xdr:row>21</xdr:row>
      <xdr:rowOff>119938</xdr:rowOff>
    </xdr:from>
    <xdr:to>
      <xdr:col>11</xdr:col>
      <xdr:colOff>209550</xdr:colOff>
      <xdr:row>23</xdr:row>
      <xdr:rowOff>47626</xdr:rowOff>
    </xdr:to>
    <xdr:sp macro="" textlink="">
      <xdr:nvSpPr>
        <xdr:cNvPr id="12" name="Text Box 12">
          <a:extLst>
            <a:ext uri="{FF2B5EF4-FFF2-40B4-BE49-F238E27FC236}">
              <a16:creationId xmlns:a16="http://schemas.microsoft.com/office/drawing/2014/main" id="{00000000-0008-0000-0100-00000C000000}"/>
            </a:ext>
          </a:extLst>
        </xdr:cNvPr>
        <xdr:cNvSpPr txBox="1">
          <a:spLocks noChangeArrowheads="1"/>
        </xdr:cNvSpPr>
      </xdr:nvSpPr>
      <xdr:spPr bwMode="auto">
        <a:xfrm>
          <a:off x="6172200" y="2678988"/>
          <a:ext cx="1181100" cy="245188"/>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review</a:t>
          </a:r>
        </a:p>
        <a:p>
          <a:pPr algn="ctr" rtl="0">
            <a:defRPr sz="1000"/>
          </a:pPr>
          <a:endParaRPr lang="en-US" sz="1000" b="0" i="0" strike="noStrike">
            <a:solidFill>
              <a:srgbClr val="000000"/>
            </a:solidFill>
            <a:latin typeface="Arial"/>
            <a:cs typeface="Arial"/>
          </a:endParaRPr>
        </a:p>
      </xdr:txBody>
    </xdr:sp>
    <xdr:clientData/>
  </xdr:twoCellAnchor>
  <xdr:twoCellAnchor>
    <xdr:from>
      <xdr:col>8</xdr:col>
      <xdr:colOff>466725</xdr:colOff>
      <xdr:row>18</xdr:row>
      <xdr:rowOff>88680</xdr:rowOff>
    </xdr:from>
    <xdr:to>
      <xdr:col>9</xdr:col>
      <xdr:colOff>285750</xdr:colOff>
      <xdr:row>19</xdr:row>
      <xdr:rowOff>95250</xdr:rowOff>
    </xdr:to>
    <xdr:cxnSp macro="">
      <xdr:nvCxnSpPr>
        <xdr:cNvPr id="13" name="Straight Arrow Connector 12">
          <a:extLst>
            <a:ext uri="{FF2B5EF4-FFF2-40B4-BE49-F238E27FC236}">
              <a16:creationId xmlns:a16="http://schemas.microsoft.com/office/drawing/2014/main" id="{00000000-0008-0000-0100-00000D000000}"/>
            </a:ext>
          </a:extLst>
        </xdr:cNvPr>
        <xdr:cNvCxnSpPr>
          <a:endCxn id="11" idx="1"/>
        </xdr:cNvCxnSpPr>
      </xdr:nvCxnSpPr>
      <xdr:spPr>
        <a:xfrm flipV="1">
          <a:off x="5724525" y="2171480"/>
          <a:ext cx="447675" cy="16532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476250</xdr:colOff>
      <xdr:row>22</xdr:row>
      <xdr:rowOff>9525</xdr:rowOff>
    </xdr:from>
    <xdr:to>
      <xdr:col>9</xdr:col>
      <xdr:colOff>285750</xdr:colOff>
      <xdr:row>22</xdr:row>
      <xdr:rowOff>83782</xdr:rowOff>
    </xdr:to>
    <xdr:cxnSp macro="">
      <xdr:nvCxnSpPr>
        <xdr:cNvPr id="14" name="Straight Arrow Connector 13">
          <a:extLst>
            <a:ext uri="{FF2B5EF4-FFF2-40B4-BE49-F238E27FC236}">
              <a16:creationId xmlns:a16="http://schemas.microsoft.com/office/drawing/2014/main" id="{00000000-0008-0000-0100-00000E000000}"/>
            </a:ext>
          </a:extLst>
        </xdr:cNvPr>
        <xdr:cNvCxnSpPr>
          <a:endCxn id="12" idx="1"/>
        </xdr:cNvCxnSpPr>
      </xdr:nvCxnSpPr>
      <xdr:spPr>
        <a:xfrm>
          <a:off x="5734050" y="2727325"/>
          <a:ext cx="438150" cy="7425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18</xdr:row>
      <xdr:rowOff>85725</xdr:rowOff>
    </xdr:from>
    <xdr:to>
      <xdr:col>11</xdr:col>
      <xdr:colOff>514350</xdr:colOff>
      <xdr:row>18</xdr:row>
      <xdr:rowOff>142875</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a:off x="7353300" y="2168525"/>
          <a:ext cx="304800" cy="571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21</xdr:row>
      <xdr:rowOff>152400</xdr:rowOff>
    </xdr:from>
    <xdr:to>
      <xdr:col>11</xdr:col>
      <xdr:colOff>514350</xdr:colOff>
      <xdr:row>22</xdr:row>
      <xdr:rowOff>85725</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flipV="1">
          <a:off x="7353300" y="2711450"/>
          <a:ext cx="304800" cy="92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453571</xdr:colOff>
      <xdr:row>0</xdr:row>
      <xdr:rowOff>72571</xdr:rowOff>
    </xdr:from>
    <xdr:to>
      <xdr:col>14</xdr:col>
      <xdr:colOff>635348</xdr:colOff>
      <xdr:row>3</xdr:row>
      <xdr:rowOff>111915</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968671" y="72571"/>
          <a:ext cx="2878146" cy="62354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530418</xdr:colOff>
      <xdr:row>0</xdr:row>
      <xdr:rowOff>63162</xdr:rowOff>
    </xdr:from>
    <xdr:to>
      <xdr:col>13</xdr:col>
      <xdr:colOff>38100</xdr:colOff>
      <xdr:row>3</xdr:row>
      <xdr:rowOff>78316</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0425835" y="63162"/>
          <a:ext cx="2750415" cy="628987"/>
        </a:xfrm>
        <a:prstGeom prst="rect">
          <a:avLst/>
        </a:prstGeom>
      </xdr:spPr>
    </xdr:pic>
    <xdr:clientData/>
  </xdr:twoCellAnchor>
  <xdr:twoCellAnchor>
    <xdr:from>
      <xdr:col>12</xdr:col>
      <xdr:colOff>341137</xdr:colOff>
      <xdr:row>152</xdr:row>
      <xdr:rowOff>10054</xdr:rowOff>
    </xdr:from>
    <xdr:to>
      <xdr:col>20</xdr:col>
      <xdr:colOff>0</xdr:colOff>
      <xdr:row>166</xdr:row>
      <xdr:rowOff>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184750</xdr:colOff>
      <xdr:row>198</xdr:row>
      <xdr:rowOff>0</xdr:rowOff>
    </xdr:from>
    <xdr:to>
      <xdr:col>10</xdr:col>
      <xdr:colOff>99025</xdr:colOff>
      <xdr:row>211</xdr:row>
      <xdr:rowOff>131233</xdr:rowOff>
    </xdr:to>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197</xdr:row>
      <xdr:rowOff>190500</xdr:rowOff>
    </xdr:from>
    <xdr:to>
      <xdr:col>21</xdr:col>
      <xdr:colOff>100543</xdr:colOff>
      <xdr:row>211</xdr:row>
      <xdr:rowOff>121708</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152400</xdr:colOff>
      <xdr:row>8</xdr:row>
      <xdr:rowOff>169862</xdr:rowOff>
    </xdr:from>
    <xdr:to>
      <xdr:col>3</xdr:col>
      <xdr:colOff>223043</xdr:colOff>
      <xdr:row>22</xdr:row>
      <xdr:rowOff>139700</xdr:rowOff>
    </xdr:to>
    <xdr:graphicFrame macro="">
      <xdr:nvGraphicFramePr>
        <xdr:cNvPr id="12" name="Chart 11">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99025</xdr:colOff>
      <xdr:row>9</xdr:row>
      <xdr:rowOff>0</xdr:rowOff>
    </xdr:from>
    <xdr:to>
      <xdr:col>16</xdr:col>
      <xdr:colOff>398268</xdr:colOff>
      <xdr:row>22</xdr:row>
      <xdr:rowOff>160338</xdr:rowOff>
    </xdr:to>
    <xdr:graphicFrame macro="">
      <xdr:nvGraphicFramePr>
        <xdr:cNvPr id="13" name="Chart 12">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261143</xdr:colOff>
      <xdr:row>8</xdr:row>
      <xdr:rowOff>169862</xdr:rowOff>
    </xdr:from>
    <xdr:to>
      <xdr:col>9</xdr:col>
      <xdr:colOff>598486</xdr:colOff>
      <xdr:row>22</xdr:row>
      <xdr:rowOff>139700</xdr:rowOff>
    </xdr:to>
    <xdr:graphicFrame macro="">
      <xdr:nvGraphicFramePr>
        <xdr:cNvPr id="14" name="Chart 13">
          <a:extLst>
            <a:ext uri="{FF2B5EF4-FFF2-40B4-BE49-F238E27FC236}">
              <a16:creationId xmlns:a16="http://schemas.microsoft.com/office/drawing/2014/main" id="{00000000-0008-0000-1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508000</xdr:colOff>
      <xdr:row>9</xdr:row>
      <xdr:rowOff>0</xdr:rowOff>
    </xdr:from>
    <xdr:to>
      <xdr:col>22</xdr:col>
      <xdr:colOff>845343</xdr:colOff>
      <xdr:row>22</xdr:row>
      <xdr:rowOff>160338</xdr:rowOff>
    </xdr:to>
    <xdr:graphicFrame macro="">
      <xdr:nvGraphicFramePr>
        <xdr:cNvPr id="15" name="Chart 14">
          <a:extLst>
            <a:ext uri="{FF2B5EF4-FFF2-40B4-BE49-F238E27FC236}">
              <a16:creationId xmlns:a16="http://schemas.microsoft.com/office/drawing/2014/main" id="{00000000-0008-0000-1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141288</xdr:colOff>
      <xdr:row>0</xdr:row>
      <xdr:rowOff>136524</xdr:rowOff>
    </xdr:from>
    <xdr:to>
      <xdr:col>18</xdr:col>
      <xdr:colOff>521566</xdr:colOff>
      <xdr:row>3</xdr:row>
      <xdr:rowOff>151678</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9444038" y="136524"/>
          <a:ext cx="2356716" cy="650154"/>
        </a:xfrm>
        <a:prstGeom prst="rect">
          <a:avLst/>
        </a:prstGeom>
      </xdr:spPr>
    </xdr:pic>
    <xdr:clientData/>
  </xdr:twoCellAnchor>
  <xdr:twoCellAnchor>
    <xdr:from>
      <xdr:col>10</xdr:col>
      <xdr:colOff>651631</xdr:colOff>
      <xdr:row>4</xdr:row>
      <xdr:rowOff>190498</xdr:rowOff>
    </xdr:from>
    <xdr:to>
      <xdr:col>19</xdr:col>
      <xdr:colOff>531812</xdr:colOff>
      <xdr:row>22</xdr:row>
      <xdr:rowOff>111124</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42031</xdr:colOff>
      <xdr:row>4</xdr:row>
      <xdr:rowOff>192086</xdr:rowOff>
    </xdr:from>
    <xdr:to>
      <xdr:col>11</xdr:col>
      <xdr:colOff>88899</xdr:colOff>
      <xdr:row>22</xdr:row>
      <xdr:rowOff>112712</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3</xdr:col>
      <xdr:colOff>707159</xdr:colOff>
      <xdr:row>0</xdr:row>
      <xdr:rowOff>153988</xdr:rowOff>
    </xdr:from>
    <xdr:to>
      <xdr:col>6</xdr:col>
      <xdr:colOff>31750</xdr:colOff>
      <xdr:row>3</xdr:row>
      <xdr:rowOff>169142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033347" y="153988"/>
          <a:ext cx="2364653" cy="634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370115</xdr:colOff>
      <xdr:row>1</xdr:row>
      <xdr:rowOff>75594</xdr:rowOff>
    </xdr:from>
    <xdr:to>
      <xdr:col>12</xdr:col>
      <xdr:colOff>708664</xdr:colOff>
      <xdr:row>4</xdr:row>
      <xdr:rowOff>9105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7790544" y="257023"/>
          <a:ext cx="3074493" cy="632011"/>
        </a:xfrm>
        <a:prstGeom prst="rect">
          <a:avLst/>
        </a:prstGeom>
      </xdr:spPr>
    </xdr:pic>
    <xdr:clientData/>
  </xdr:twoCellAnchor>
  <xdr:twoCellAnchor editAs="oneCell">
    <xdr:from>
      <xdr:col>1</xdr:col>
      <xdr:colOff>0</xdr:colOff>
      <xdr:row>129</xdr:row>
      <xdr:rowOff>0</xdr:rowOff>
    </xdr:from>
    <xdr:to>
      <xdr:col>5</xdr:col>
      <xdr:colOff>714827</xdr:colOff>
      <xdr:row>138</xdr:row>
      <xdr:rowOff>163287</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326571" y="10404929"/>
          <a:ext cx="4688113" cy="1959428"/>
        </a:xfrm>
        <a:prstGeom prst="rect">
          <a:avLst/>
        </a:prstGeom>
      </xdr:spPr>
    </xdr:pic>
    <xdr:clientData/>
  </xdr:twoCellAnchor>
  <xdr:twoCellAnchor editAs="oneCell">
    <xdr:from>
      <xdr:col>1</xdr:col>
      <xdr:colOff>38101</xdr:colOff>
      <xdr:row>59</xdr:row>
      <xdr:rowOff>82551</xdr:rowOff>
    </xdr:from>
    <xdr:to>
      <xdr:col>4</xdr:col>
      <xdr:colOff>558801</xdr:colOff>
      <xdr:row>67</xdr:row>
      <xdr:rowOff>76201</xdr:rowOff>
    </xdr:to>
    <xdr:pic>
      <xdr:nvPicPr>
        <xdr:cNvPr id="37" name="Picture 36">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1" y="5054601"/>
          <a:ext cx="3721100" cy="1568450"/>
        </a:xfrm>
        <a:prstGeom prst="rect">
          <a:avLst/>
        </a:prstGeom>
        <a:noFill/>
      </xdr:spPr>
    </xdr:pic>
    <xdr:clientData/>
  </xdr:twoCellAnchor>
  <xdr:twoCellAnchor editAs="oneCell">
    <xdr:from>
      <xdr:col>1</xdr:col>
      <xdr:colOff>1</xdr:colOff>
      <xdr:row>69</xdr:row>
      <xdr:rowOff>0</xdr:rowOff>
    </xdr:from>
    <xdr:to>
      <xdr:col>4</xdr:col>
      <xdr:colOff>635001</xdr:colOff>
      <xdr:row>78</xdr:row>
      <xdr:rowOff>44450</xdr:rowOff>
    </xdr:to>
    <xdr:pic>
      <xdr:nvPicPr>
        <xdr:cNvPr id="38" name="image22.png" descr="A close up of a logo&#10;&#10;Description automatically generated">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4"/>
        <a:stretch>
          <a:fillRect/>
        </a:stretch>
      </xdr:blipFill>
      <xdr:spPr bwMode="auto">
        <a:xfrm>
          <a:off x="304801" y="6940550"/>
          <a:ext cx="3835400" cy="1816100"/>
        </a:xfrm>
        <a:prstGeom prst="rect">
          <a:avLst/>
        </a:prstGeom>
      </xdr:spPr>
    </xdr:pic>
    <xdr:clientData/>
  </xdr:twoCellAnchor>
  <xdr:twoCellAnchor editAs="oneCell">
    <xdr:from>
      <xdr:col>1</xdr:col>
      <xdr:colOff>154213</xdr:colOff>
      <xdr:row>80</xdr:row>
      <xdr:rowOff>190500</xdr:rowOff>
    </xdr:from>
    <xdr:to>
      <xdr:col>3</xdr:col>
      <xdr:colOff>397646</xdr:colOff>
      <xdr:row>89</xdr:row>
      <xdr:rowOff>4232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5"/>
        <a:stretch>
          <a:fillRect/>
        </a:stretch>
      </xdr:blipFill>
      <xdr:spPr>
        <a:xfrm>
          <a:off x="462642" y="9398000"/>
          <a:ext cx="2719933" cy="1623785"/>
        </a:xfrm>
        <a:prstGeom prst="rect">
          <a:avLst/>
        </a:prstGeom>
      </xdr:spPr>
    </xdr:pic>
    <xdr:clientData/>
  </xdr:twoCellAnchor>
  <xdr:twoCellAnchor editAs="oneCell">
    <xdr:from>
      <xdr:col>1</xdr:col>
      <xdr:colOff>1</xdr:colOff>
      <xdr:row>92</xdr:row>
      <xdr:rowOff>0</xdr:rowOff>
    </xdr:from>
    <xdr:to>
      <xdr:col>4</xdr:col>
      <xdr:colOff>54429</xdr:colOff>
      <xdr:row>103</xdr:row>
      <xdr:rowOff>2604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stretch>
          <a:fillRect/>
        </a:stretch>
      </xdr:blipFill>
      <xdr:spPr>
        <a:xfrm>
          <a:off x="308430" y="11547929"/>
          <a:ext cx="3256642" cy="1798747"/>
        </a:xfrm>
        <a:prstGeom prst="rect">
          <a:avLst/>
        </a:prstGeom>
      </xdr:spPr>
    </xdr:pic>
    <xdr:clientData/>
  </xdr:twoCellAnchor>
  <xdr:twoCellAnchor editAs="oneCell">
    <xdr:from>
      <xdr:col>1</xdr:col>
      <xdr:colOff>90713</xdr:colOff>
      <xdr:row>105</xdr:row>
      <xdr:rowOff>63500</xdr:rowOff>
    </xdr:from>
    <xdr:to>
      <xdr:col>6</xdr:col>
      <xdr:colOff>83518</xdr:colOff>
      <xdr:row>115</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7"/>
        <a:stretch>
          <a:fillRect/>
        </a:stretch>
      </xdr:blipFill>
      <xdr:spPr>
        <a:xfrm>
          <a:off x="399142" y="16981714"/>
          <a:ext cx="4682733" cy="2059215"/>
        </a:xfrm>
        <a:prstGeom prst="rect">
          <a:avLst/>
        </a:prstGeom>
      </xdr:spPr>
    </xdr:pic>
    <xdr:clientData/>
  </xdr:twoCellAnchor>
  <xdr:twoCellAnchor>
    <xdr:from>
      <xdr:col>1</xdr:col>
      <xdr:colOff>204106</xdr:colOff>
      <xdr:row>159</xdr:row>
      <xdr:rowOff>88901</xdr:rowOff>
    </xdr:from>
    <xdr:to>
      <xdr:col>6</xdr:col>
      <xdr:colOff>553357</xdr:colOff>
      <xdr:row>171</xdr:row>
      <xdr:rowOff>163286</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136071</xdr:colOff>
      <xdr:row>174</xdr:row>
      <xdr:rowOff>116114</xdr:rowOff>
    </xdr:from>
    <xdr:to>
      <xdr:col>5</xdr:col>
      <xdr:colOff>730251</xdr:colOff>
      <xdr:row>185</xdr:row>
      <xdr:rowOff>81643</xdr:rowOff>
    </xdr:to>
    <xdr:graphicFrame macro="">
      <xdr:nvGraphicFramePr>
        <xdr:cNvPr id="39" name="Chart 38">
          <a:extLst>
            <a:ext uri="{FF2B5EF4-FFF2-40B4-BE49-F238E27FC236}">
              <a16:creationId xmlns:a16="http://schemas.microsoft.com/office/drawing/2014/main" id="{00000000-0008-0000-03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99786</xdr:colOff>
      <xdr:row>187</xdr:row>
      <xdr:rowOff>79828</xdr:rowOff>
    </xdr:from>
    <xdr:to>
      <xdr:col>5</xdr:col>
      <xdr:colOff>671286</xdr:colOff>
      <xdr:row>199</xdr:row>
      <xdr:rowOff>36286</xdr:rowOff>
    </xdr:to>
    <xdr:graphicFrame macro="">
      <xdr:nvGraphicFramePr>
        <xdr:cNvPr id="40" name="Chart 39">
          <a:extLst>
            <a:ext uri="{FF2B5EF4-FFF2-40B4-BE49-F238E27FC236}">
              <a16:creationId xmlns:a16="http://schemas.microsoft.com/office/drawing/2014/main" id="{00000000-0008-0000-03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61686</xdr:colOff>
      <xdr:row>214</xdr:row>
      <xdr:rowOff>96155</xdr:rowOff>
    </xdr:from>
    <xdr:to>
      <xdr:col>6</xdr:col>
      <xdr:colOff>190500</xdr:colOff>
      <xdr:row>226</xdr:row>
      <xdr:rowOff>99785</xdr:rowOff>
    </xdr:to>
    <xdr:graphicFrame macro="">
      <xdr:nvGraphicFramePr>
        <xdr:cNvPr id="41" name="Chart 40">
          <a:extLst>
            <a:ext uri="{FF2B5EF4-FFF2-40B4-BE49-F238E27FC236}">
              <a16:creationId xmlns:a16="http://schemas.microsoft.com/office/drawing/2014/main" id="{00000000-0008-0000-03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102506</xdr:colOff>
      <xdr:row>201</xdr:row>
      <xdr:rowOff>68944</xdr:rowOff>
    </xdr:from>
    <xdr:to>
      <xdr:col>6</xdr:col>
      <xdr:colOff>580572</xdr:colOff>
      <xdr:row>213</xdr:row>
      <xdr:rowOff>-1</xdr:rowOff>
    </xdr:to>
    <xdr:graphicFrame macro="">
      <xdr:nvGraphicFramePr>
        <xdr:cNvPr id="42" name="Chart 41">
          <a:extLst>
            <a:ext uri="{FF2B5EF4-FFF2-40B4-BE49-F238E27FC236}">
              <a16:creationId xmlns:a16="http://schemas.microsoft.com/office/drawing/2014/main" id="{00000000-0008-0000-03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1</xdr:colOff>
      <xdr:row>231</xdr:row>
      <xdr:rowOff>0</xdr:rowOff>
    </xdr:from>
    <xdr:to>
      <xdr:col>7</xdr:col>
      <xdr:colOff>408879</xdr:colOff>
      <xdr:row>242</xdr:row>
      <xdr:rowOff>163285</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3"/>
        <a:stretch>
          <a:fillRect/>
        </a:stretch>
      </xdr:blipFill>
      <xdr:spPr>
        <a:xfrm>
          <a:off x="308430" y="38871071"/>
          <a:ext cx="5824520" cy="2358571"/>
        </a:xfrm>
        <a:prstGeom prst="rect">
          <a:avLst/>
        </a:prstGeom>
      </xdr:spPr>
    </xdr:pic>
    <xdr:clientData/>
  </xdr:twoCellAnchor>
  <xdr:twoCellAnchor editAs="oneCell">
    <xdr:from>
      <xdr:col>7</xdr:col>
      <xdr:colOff>444501</xdr:colOff>
      <xdr:row>230</xdr:row>
      <xdr:rowOff>190499</xdr:rowOff>
    </xdr:from>
    <xdr:to>
      <xdr:col>14</xdr:col>
      <xdr:colOff>721744</xdr:colOff>
      <xdr:row>242</xdr:row>
      <xdr:rowOff>154213</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14"/>
        <a:stretch>
          <a:fillRect/>
        </a:stretch>
      </xdr:blipFill>
      <xdr:spPr>
        <a:xfrm>
          <a:off x="6168572" y="38662428"/>
          <a:ext cx="6228101" cy="2358571"/>
        </a:xfrm>
        <a:prstGeom prst="rect">
          <a:avLst/>
        </a:prstGeom>
      </xdr:spPr>
    </xdr:pic>
    <xdr:clientData/>
  </xdr:twoCellAnchor>
  <xdr:twoCellAnchor editAs="oneCell">
    <xdr:from>
      <xdr:col>15</xdr:col>
      <xdr:colOff>326571</xdr:colOff>
      <xdr:row>231</xdr:row>
      <xdr:rowOff>18144</xdr:rowOff>
    </xdr:from>
    <xdr:to>
      <xdr:col>22</xdr:col>
      <xdr:colOff>51344</xdr:colOff>
      <xdr:row>242</xdr:row>
      <xdr:rowOff>172358</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15"/>
        <a:stretch>
          <a:fillRect/>
        </a:stretch>
      </xdr:blipFill>
      <xdr:spPr>
        <a:xfrm>
          <a:off x="12473214" y="38689644"/>
          <a:ext cx="6156417" cy="2349500"/>
        </a:xfrm>
        <a:prstGeom prst="rect">
          <a:avLst/>
        </a:prstGeom>
      </xdr:spPr>
    </xdr:pic>
    <xdr:clientData/>
  </xdr:twoCellAnchor>
  <xdr:twoCellAnchor>
    <xdr:from>
      <xdr:col>1</xdr:col>
      <xdr:colOff>77107</xdr:colOff>
      <xdr:row>117</xdr:row>
      <xdr:rowOff>59872</xdr:rowOff>
    </xdr:from>
    <xdr:to>
      <xdr:col>6</xdr:col>
      <xdr:colOff>45357</xdr:colOff>
      <xdr:row>126</xdr:row>
      <xdr:rowOff>81643</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378732" y="22800810"/>
          <a:ext cx="4651375" cy="1807708"/>
          <a:chOff x="385536" y="16179801"/>
          <a:chExt cx="5028292" cy="2090056"/>
        </a:xfrm>
      </xdr:grpSpPr>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385536" y="16181615"/>
          <a:ext cx="2816678" cy="208824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43" name="Chart 42">
            <a:extLst>
              <a:ext uri="{FF2B5EF4-FFF2-40B4-BE49-F238E27FC236}">
                <a16:creationId xmlns:a16="http://schemas.microsoft.com/office/drawing/2014/main" id="{00000000-0008-0000-0300-00002B000000}"/>
              </a:ext>
            </a:extLst>
          </xdr:cNvPr>
          <xdr:cNvGraphicFramePr/>
        </xdr:nvGraphicFramePr>
        <xdr:xfrm>
          <a:off x="2597150" y="16179801"/>
          <a:ext cx="2816678" cy="2088242"/>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editAs="oneCell">
    <xdr:from>
      <xdr:col>25</xdr:col>
      <xdr:colOff>136073</xdr:colOff>
      <xdr:row>230</xdr:row>
      <xdr:rowOff>163285</xdr:rowOff>
    </xdr:from>
    <xdr:to>
      <xdr:col>32</xdr:col>
      <xdr:colOff>345143</xdr:colOff>
      <xdr:row>242</xdr:row>
      <xdr:rowOff>172357</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8"/>
        <a:stretch>
          <a:fillRect/>
        </a:stretch>
      </xdr:blipFill>
      <xdr:spPr>
        <a:xfrm>
          <a:off x="18723430" y="38834785"/>
          <a:ext cx="4717570" cy="2403929"/>
        </a:xfrm>
        <a:prstGeom prst="rect">
          <a:avLst/>
        </a:prstGeom>
      </xdr:spPr>
    </xdr:pic>
    <xdr:clientData/>
  </xdr:twoCellAnchor>
  <xdr:twoCellAnchor>
    <xdr:from>
      <xdr:col>1</xdr:col>
      <xdr:colOff>131534</xdr:colOff>
      <xdr:row>398</xdr:row>
      <xdr:rowOff>70756</xdr:rowOff>
    </xdr:from>
    <xdr:to>
      <xdr:col>6</xdr:col>
      <xdr:colOff>417285</xdr:colOff>
      <xdr:row>410</xdr:row>
      <xdr:rowOff>163286</xdr:rowOff>
    </xdr:to>
    <xdr:graphicFrame macro="">
      <xdr:nvGraphicFramePr>
        <xdr:cNvPr id="11" name="Chart 10">
          <a:extLst>
            <a:ext uri="{FF2B5EF4-FFF2-40B4-BE49-F238E27FC236}">
              <a16:creationId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122463</xdr:colOff>
      <xdr:row>413</xdr:row>
      <xdr:rowOff>143328</xdr:rowOff>
    </xdr:from>
    <xdr:to>
      <xdr:col>6</xdr:col>
      <xdr:colOff>408214</xdr:colOff>
      <xdr:row>426</xdr:row>
      <xdr:rowOff>0</xdr:rowOff>
    </xdr:to>
    <xdr:graphicFrame macro="">
      <xdr:nvGraphicFramePr>
        <xdr:cNvPr id="13" name="Chart 12">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149678</xdr:colOff>
      <xdr:row>263</xdr:row>
      <xdr:rowOff>143328</xdr:rowOff>
    </xdr:from>
    <xdr:to>
      <xdr:col>6</xdr:col>
      <xdr:colOff>408215</xdr:colOff>
      <xdr:row>277</xdr:row>
      <xdr:rowOff>92528</xdr:rowOff>
    </xdr:to>
    <xdr:graphicFrame macro="">
      <xdr:nvGraphicFramePr>
        <xdr:cNvPr id="48" name="Chart 47">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86178</xdr:colOff>
      <xdr:row>476</xdr:row>
      <xdr:rowOff>34470</xdr:rowOff>
    </xdr:from>
    <xdr:to>
      <xdr:col>6</xdr:col>
      <xdr:colOff>598715</xdr:colOff>
      <xdr:row>488</xdr:row>
      <xdr:rowOff>127000</xdr:rowOff>
    </xdr:to>
    <xdr:graphicFrame macro="">
      <xdr:nvGraphicFramePr>
        <xdr:cNvPr id="49" name="Chart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149677</xdr:colOff>
      <xdr:row>491</xdr:row>
      <xdr:rowOff>143328</xdr:rowOff>
    </xdr:from>
    <xdr:to>
      <xdr:col>6</xdr:col>
      <xdr:colOff>662214</xdr:colOff>
      <xdr:row>504</xdr:row>
      <xdr:rowOff>36286</xdr:rowOff>
    </xdr:to>
    <xdr:graphicFrame macro="">
      <xdr:nvGraphicFramePr>
        <xdr:cNvPr id="50" name="Chart 49">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131534</xdr:colOff>
      <xdr:row>445</xdr:row>
      <xdr:rowOff>70756</xdr:rowOff>
    </xdr:from>
    <xdr:to>
      <xdr:col>6</xdr:col>
      <xdr:colOff>417285</xdr:colOff>
      <xdr:row>457</xdr:row>
      <xdr:rowOff>163286</xdr:rowOff>
    </xdr:to>
    <xdr:graphicFrame macro="">
      <xdr:nvGraphicFramePr>
        <xdr:cNvPr id="51" name="Chart 5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122463</xdr:colOff>
      <xdr:row>460</xdr:row>
      <xdr:rowOff>143328</xdr:rowOff>
    </xdr:from>
    <xdr:to>
      <xdr:col>6</xdr:col>
      <xdr:colOff>408214</xdr:colOff>
      <xdr:row>473</xdr:row>
      <xdr:rowOff>0</xdr:rowOff>
    </xdr:to>
    <xdr:graphicFrame macro="">
      <xdr:nvGraphicFramePr>
        <xdr:cNvPr id="52" name="Chart 51">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9978</xdr:colOff>
      <xdr:row>371</xdr:row>
      <xdr:rowOff>0</xdr:rowOff>
    </xdr:from>
    <xdr:to>
      <xdr:col>6</xdr:col>
      <xdr:colOff>311151</xdr:colOff>
      <xdr:row>383</xdr:row>
      <xdr:rowOff>36286</xdr:rowOff>
    </xdr:to>
    <xdr:graphicFrame macro="">
      <xdr:nvGraphicFramePr>
        <xdr:cNvPr id="54" name="Chart 53">
          <a:extLst>
            <a:ext uri="{FF2B5EF4-FFF2-40B4-BE49-F238E27FC236}">
              <a16:creationId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9978</xdr:colOff>
      <xdr:row>386</xdr:row>
      <xdr:rowOff>88599</xdr:rowOff>
    </xdr:from>
    <xdr:to>
      <xdr:col>3</xdr:col>
      <xdr:colOff>313871</xdr:colOff>
      <xdr:row>395</xdr:row>
      <xdr:rowOff>108792</xdr:rowOff>
    </xdr:to>
    <xdr:graphicFrame macro="">
      <xdr:nvGraphicFramePr>
        <xdr:cNvPr id="59" name="Chart 58">
          <a:extLst>
            <a:ext uri="{FF2B5EF4-FFF2-40B4-BE49-F238E27FC236}">
              <a16:creationId xmlns:a16="http://schemas.microsoft.com/office/drawing/2014/main" id="{00000000-0008-0000-03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1051696</xdr:colOff>
      <xdr:row>386</xdr:row>
      <xdr:rowOff>88599</xdr:rowOff>
    </xdr:from>
    <xdr:to>
      <xdr:col>6</xdr:col>
      <xdr:colOff>297450</xdr:colOff>
      <xdr:row>395</xdr:row>
      <xdr:rowOff>108792</xdr:rowOff>
    </xdr:to>
    <xdr:graphicFrame macro="">
      <xdr:nvGraphicFramePr>
        <xdr:cNvPr id="60" name="Chart 59">
          <a:extLst>
            <a:ext uri="{FF2B5EF4-FFF2-40B4-BE49-F238E27FC236}">
              <a16:creationId xmlns:a16="http://schemas.microsoft.com/office/drawing/2014/main" id="{00000000-0008-0000-03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149677</xdr:colOff>
      <xdr:row>280</xdr:row>
      <xdr:rowOff>143328</xdr:rowOff>
    </xdr:from>
    <xdr:to>
      <xdr:col>6</xdr:col>
      <xdr:colOff>469899</xdr:colOff>
      <xdr:row>294</xdr:row>
      <xdr:rowOff>92528</xdr:rowOff>
    </xdr:to>
    <xdr:graphicFrame macro="">
      <xdr:nvGraphicFramePr>
        <xdr:cNvPr id="58" name="Chart 57">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136977</xdr:colOff>
      <xdr:row>299</xdr:row>
      <xdr:rowOff>112484</xdr:rowOff>
    </xdr:from>
    <xdr:to>
      <xdr:col>6</xdr:col>
      <xdr:colOff>419100</xdr:colOff>
      <xdr:row>312</xdr:row>
      <xdr:rowOff>88900</xdr:rowOff>
    </xdr:to>
    <xdr:graphicFrame macro="">
      <xdr:nvGraphicFramePr>
        <xdr:cNvPr id="63" name="Chart 62">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95248</xdr:colOff>
      <xdr:row>316</xdr:row>
      <xdr:rowOff>70756</xdr:rowOff>
    </xdr:from>
    <xdr:to>
      <xdr:col>6</xdr:col>
      <xdr:colOff>469899</xdr:colOff>
      <xdr:row>328</xdr:row>
      <xdr:rowOff>63500</xdr:rowOff>
    </xdr:to>
    <xdr:graphicFrame macro="">
      <xdr:nvGraphicFramePr>
        <xdr:cNvPr id="64" name="Chart 63">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33563</xdr:colOff>
      <xdr:row>334</xdr:row>
      <xdr:rowOff>41728</xdr:rowOff>
    </xdr:from>
    <xdr:to>
      <xdr:col>6</xdr:col>
      <xdr:colOff>342900</xdr:colOff>
      <xdr:row>346</xdr:row>
      <xdr:rowOff>12700</xdr:rowOff>
    </xdr:to>
    <xdr:graphicFrame macro="">
      <xdr:nvGraphicFramePr>
        <xdr:cNvPr id="65" name="Chart 64">
          <a:extLst>
            <a:ext uri="{FF2B5EF4-FFF2-40B4-BE49-F238E27FC236}">
              <a16:creationId xmlns:a16="http://schemas.microsoft.com/office/drawing/2014/main" id="{00000000-0008-0000-03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xdr:col>
      <xdr:colOff>1</xdr:colOff>
      <xdr:row>142</xdr:row>
      <xdr:rowOff>0</xdr:rowOff>
    </xdr:from>
    <xdr:to>
      <xdr:col>6</xdr:col>
      <xdr:colOff>571501</xdr:colOff>
      <xdr:row>157</xdr:row>
      <xdr:rowOff>783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3"/>
        <a:stretch>
          <a:fillRect/>
        </a:stretch>
      </xdr:blipFill>
      <xdr:spPr>
        <a:xfrm>
          <a:off x="308430" y="24302357"/>
          <a:ext cx="5261428" cy="2994355"/>
        </a:xfrm>
        <a:prstGeom prst="rect">
          <a:avLst/>
        </a:prstGeom>
      </xdr:spPr>
    </xdr:pic>
    <xdr:clientData/>
  </xdr:twoCellAnchor>
  <xdr:twoCellAnchor>
    <xdr:from>
      <xdr:col>1</xdr:col>
      <xdr:colOff>25400</xdr:colOff>
      <xdr:row>354</xdr:row>
      <xdr:rowOff>101600</xdr:rowOff>
    </xdr:from>
    <xdr:to>
      <xdr:col>6</xdr:col>
      <xdr:colOff>311151</xdr:colOff>
      <xdr:row>367</xdr:row>
      <xdr:rowOff>161472</xdr:rowOff>
    </xdr:to>
    <xdr:graphicFrame macro="">
      <xdr:nvGraphicFramePr>
        <xdr:cNvPr id="15" name="Chart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xdr:colOff>
      <xdr:row>247</xdr:row>
      <xdr:rowOff>0</xdr:rowOff>
    </xdr:from>
    <xdr:to>
      <xdr:col>5</xdr:col>
      <xdr:colOff>114300</xdr:colOff>
      <xdr:row>260</xdr:row>
      <xdr:rowOff>152400</xdr:rowOff>
    </xdr:to>
    <xdr:graphicFrame macro="">
      <xdr:nvGraphicFramePr>
        <xdr:cNvPr id="21" name="Chart 20">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xdr:col>
      <xdr:colOff>63500</xdr:colOff>
      <xdr:row>247</xdr:row>
      <xdr:rowOff>0</xdr:rowOff>
    </xdr:from>
    <xdr:to>
      <xdr:col>10</xdr:col>
      <xdr:colOff>253999</xdr:colOff>
      <xdr:row>260</xdr:row>
      <xdr:rowOff>152400</xdr:rowOff>
    </xdr:to>
    <xdr:graphicFrame macro="">
      <xdr:nvGraphicFramePr>
        <xdr:cNvPr id="23" name="Chart 22">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77106</xdr:colOff>
      <xdr:row>7</xdr:row>
      <xdr:rowOff>0</xdr:rowOff>
    </xdr:from>
    <xdr:to>
      <xdr:col>6</xdr:col>
      <xdr:colOff>469898</xdr:colOff>
      <xdr:row>20</xdr:row>
      <xdr:rowOff>129117</xdr:rowOff>
    </xdr:to>
    <xdr:graphicFrame macro="">
      <xdr:nvGraphicFramePr>
        <xdr:cNvPr id="16" name="Chart 15">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105833</xdr:colOff>
      <xdr:row>24</xdr:row>
      <xdr:rowOff>10583</xdr:rowOff>
    </xdr:from>
    <xdr:to>
      <xdr:col>6</xdr:col>
      <xdr:colOff>391584</xdr:colOff>
      <xdr:row>36</xdr:row>
      <xdr:rowOff>99483</xdr:rowOff>
    </xdr:to>
    <xdr:graphicFrame macro="">
      <xdr:nvGraphicFramePr>
        <xdr:cNvPr id="61" name="Chart 60">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89958</xdr:colOff>
      <xdr:row>39</xdr:row>
      <xdr:rowOff>152400</xdr:rowOff>
    </xdr:from>
    <xdr:to>
      <xdr:col>6</xdr:col>
      <xdr:colOff>412750</xdr:colOff>
      <xdr:row>53</xdr:row>
      <xdr:rowOff>80434</xdr:rowOff>
    </xdr:to>
    <xdr:graphicFrame macro="">
      <xdr:nvGraphicFramePr>
        <xdr:cNvPr id="17" name="Chart 16">
          <a:extLst>
            <a:ext uri="{FF2B5EF4-FFF2-40B4-BE49-F238E27FC236}">
              <a16:creationId xmlns:a16="http://schemas.microsoft.com/office/drawing/2014/main" id="{00000000-0008-0000-03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220134</xdr:colOff>
      <xdr:row>0</xdr:row>
      <xdr:rowOff>15699</xdr:rowOff>
    </xdr:from>
    <xdr:to>
      <xdr:col>20</xdr:col>
      <xdr:colOff>678969</xdr:colOff>
      <xdr:row>3</xdr:row>
      <xdr:rowOff>33851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2525759" y="15699"/>
          <a:ext cx="2409873" cy="637277"/>
        </a:xfrm>
        <a:prstGeom prst="rect">
          <a:avLst/>
        </a:prstGeom>
      </xdr:spPr>
    </xdr:pic>
    <xdr:clientData/>
  </xdr:twoCellAnchor>
  <xdr:twoCellAnchor>
    <xdr:from>
      <xdr:col>1</xdr:col>
      <xdr:colOff>82550</xdr:colOff>
      <xdr:row>23</xdr:row>
      <xdr:rowOff>52708</xdr:rowOff>
    </xdr:from>
    <xdr:to>
      <xdr:col>7</xdr:col>
      <xdr:colOff>307975</xdr:colOff>
      <xdr:row>37</xdr:row>
      <xdr:rowOff>74645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96838</xdr:colOff>
      <xdr:row>8</xdr:row>
      <xdr:rowOff>115886</xdr:rowOff>
    </xdr:from>
    <xdr:to>
      <xdr:col>7</xdr:col>
      <xdr:colOff>317500</xdr:colOff>
      <xdr:row>22</xdr:row>
      <xdr:rowOff>74611</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8</xdr:row>
      <xdr:rowOff>125411</xdr:rowOff>
    </xdr:from>
    <xdr:to>
      <xdr:col>16</xdr:col>
      <xdr:colOff>649514</xdr:colOff>
      <xdr:row>22</xdr:row>
      <xdr:rowOff>84136</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420687</xdr:colOff>
      <xdr:row>8</xdr:row>
      <xdr:rowOff>114298</xdr:rowOff>
    </xdr:from>
    <xdr:to>
      <xdr:col>12</xdr:col>
      <xdr:colOff>0</xdr:colOff>
      <xdr:row>22</xdr:row>
      <xdr:rowOff>79373</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18143</xdr:colOff>
      <xdr:row>8</xdr:row>
      <xdr:rowOff>65540</xdr:rowOff>
    </xdr:from>
    <xdr:to>
      <xdr:col>23</xdr:col>
      <xdr:colOff>0</xdr:colOff>
      <xdr:row>22</xdr:row>
      <xdr:rowOff>30615</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431800</xdr:colOff>
      <xdr:row>23</xdr:row>
      <xdr:rowOff>95250</xdr:rowOff>
    </xdr:from>
    <xdr:to>
      <xdr:col>12</xdr:col>
      <xdr:colOff>0</xdr:colOff>
      <xdr:row>37</xdr:row>
      <xdr:rowOff>60325</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23</xdr:row>
      <xdr:rowOff>107950</xdr:rowOff>
    </xdr:from>
    <xdr:to>
      <xdr:col>16</xdr:col>
      <xdr:colOff>825500</xdr:colOff>
      <xdr:row>37</xdr:row>
      <xdr:rowOff>73025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177800</xdr:colOff>
      <xdr:row>23</xdr:row>
      <xdr:rowOff>114300</xdr:rowOff>
    </xdr:from>
    <xdr:to>
      <xdr:col>23</xdr:col>
      <xdr:colOff>0</xdr:colOff>
      <xdr:row>37</xdr:row>
      <xdr:rowOff>127000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533401</xdr:colOff>
      <xdr:row>0</xdr:row>
      <xdr:rowOff>184150</xdr:rowOff>
    </xdr:from>
    <xdr:to>
      <xdr:col>22</xdr:col>
      <xdr:colOff>380279</xdr:colOff>
      <xdr:row>3</xdr:row>
      <xdr:rowOff>199304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7297401" y="184150"/>
          <a:ext cx="2437678" cy="650154"/>
        </a:xfrm>
        <a:prstGeom prst="rect">
          <a:avLst/>
        </a:prstGeom>
      </xdr:spPr>
    </xdr:pic>
    <xdr:clientData/>
  </xdr:twoCellAnchor>
  <xdr:twoCellAnchor>
    <xdr:from>
      <xdr:col>1</xdr:col>
      <xdr:colOff>92780</xdr:colOff>
      <xdr:row>23</xdr:row>
      <xdr:rowOff>9877</xdr:rowOff>
    </xdr:from>
    <xdr:to>
      <xdr:col>6</xdr:col>
      <xdr:colOff>857250</xdr:colOff>
      <xdr:row>37</xdr:row>
      <xdr:rowOff>31750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79375</xdr:colOff>
      <xdr:row>8</xdr:row>
      <xdr:rowOff>67204</xdr:rowOff>
    </xdr:from>
    <xdr:to>
      <xdr:col>6</xdr:col>
      <xdr:colOff>861218</xdr:colOff>
      <xdr:row>22</xdr:row>
      <xdr:rowOff>83080</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104245</xdr:colOff>
      <xdr:row>8</xdr:row>
      <xdr:rowOff>75142</xdr:rowOff>
    </xdr:from>
    <xdr:to>
      <xdr:col>14</xdr:col>
      <xdr:colOff>190500</xdr:colOff>
      <xdr:row>22</xdr:row>
      <xdr:rowOff>0</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297391</xdr:colOff>
      <xdr:row>8</xdr:row>
      <xdr:rowOff>529</xdr:rowOff>
    </xdr:from>
    <xdr:to>
      <xdr:col>22</xdr:col>
      <xdr:colOff>139700</xdr:colOff>
      <xdr:row>22</xdr:row>
      <xdr:rowOff>16405</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233890</xdr:colOff>
      <xdr:row>8</xdr:row>
      <xdr:rowOff>16404</xdr:rowOff>
    </xdr:from>
    <xdr:to>
      <xdr:col>30</xdr:col>
      <xdr:colOff>38100</xdr:colOff>
      <xdr:row>22</xdr:row>
      <xdr:rowOff>32280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99484</xdr:colOff>
      <xdr:row>22</xdr:row>
      <xdr:rowOff>186266</xdr:rowOff>
    </xdr:from>
    <xdr:to>
      <xdr:col>14</xdr:col>
      <xdr:colOff>191558</xdr:colOff>
      <xdr:row>37</xdr:row>
      <xdr:rowOff>31750</xdr:rowOff>
    </xdr:to>
    <xdr:graphicFrame macro="">
      <xdr:nvGraphicFramePr>
        <xdr:cNvPr id="13" name="Chart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292629</xdr:colOff>
      <xdr:row>22</xdr:row>
      <xdr:rowOff>171451</xdr:rowOff>
    </xdr:from>
    <xdr:to>
      <xdr:col>22</xdr:col>
      <xdr:colOff>169862</xdr:colOff>
      <xdr:row>36</xdr:row>
      <xdr:rowOff>166159</xdr:rowOff>
    </xdr:to>
    <xdr:graphicFrame macro="">
      <xdr:nvGraphicFramePr>
        <xdr:cNvPr id="14" name="Chart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271463</xdr:colOff>
      <xdr:row>22</xdr:row>
      <xdr:rowOff>177800</xdr:rowOff>
    </xdr:from>
    <xdr:to>
      <xdr:col>30</xdr:col>
      <xdr:colOff>41275</xdr:colOff>
      <xdr:row>36</xdr:row>
      <xdr:rowOff>193675</xdr:rowOff>
    </xdr:to>
    <xdr:graphicFrame macro="">
      <xdr:nvGraphicFramePr>
        <xdr:cNvPr id="15" name="Chart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63501</xdr:colOff>
      <xdr:row>1</xdr:row>
      <xdr:rowOff>44450</xdr:rowOff>
    </xdr:from>
    <xdr:to>
      <xdr:col>22</xdr:col>
      <xdr:colOff>438092</xdr:colOff>
      <xdr:row>3</xdr:row>
      <xdr:rowOff>228600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6548101" y="234950"/>
          <a:ext cx="2368491" cy="628650"/>
        </a:xfrm>
        <a:prstGeom prst="rect">
          <a:avLst/>
        </a:prstGeom>
      </xdr:spPr>
    </xdr:pic>
    <xdr:clientData/>
  </xdr:twoCellAnchor>
  <xdr:twoCellAnchor>
    <xdr:from>
      <xdr:col>1</xdr:col>
      <xdr:colOff>34524</xdr:colOff>
      <xdr:row>22</xdr:row>
      <xdr:rowOff>84666</xdr:rowOff>
    </xdr:from>
    <xdr:to>
      <xdr:col>8</xdr:col>
      <xdr:colOff>393508</xdr:colOff>
      <xdr:row>36</xdr:row>
      <xdr:rowOff>3847</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8</xdr:row>
      <xdr:rowOff>37042</xdr:rowOff>
    </xdr:from>
    <xdr:to>
      <xdr:col>8</xdr:col>
      <xdr:colOff>403489</xdr:colOff>
      <xdr:row>21</xdr:row>
      <xdr:rowOff>59268</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69321</xdr:colOff>
      <xdr:row>8</xdr:row>
      <xdr:rowOff>26989</xdr:rowOff>
    </xdr:from>
    <xdr:to>
      <xdr:col>24</xdr:col>
      <xdr:colOff>455614</xdr:colOff>
      <xdr:row>21</xdr:row>
      <xdr:rowOff>51860</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70907</xdr:colOff>
      <xdr:row>8</xdr:row>
      <xdr:rowOff>42863</xdr:rowOff>
    </xdr:from>
    <xdr:to>
      <xdr:col>16</xdr:col>
      <xdr:colOff>586051</xdr:colOff>
      <xdr:row>21</xdr:row>
      <xdr:rowOff>67734</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6880</xdr:colOff>
      <xdr:row>8</xdr:row>
      <xdr:rowOff>44452</xdr:rowOff>
    </xdr:from>
    <xdr:to>
      <xdr:col>31</xdr:col>
      <xdr:colOff>533400</xdr:colOff>
      <xdr:row>21</xdr:row>
      <xdr:rowOff>69323</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97223</xdr:colOff>
      <xdr:row>22</xdr:row>
      <xdr:rowOff>64845</xdr:rowOff>
    </xdr:from>
    <xdr:to>
      <xdr:col>16</xdr:col>
      <xdr:colOff>567266</xdr:colOff>
      <xdr:row>35</xdr:row>
      <xdr:rowOff>194733</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72496</xdr:colOff>
      <xdr:row>22</xdr:row>
      <xdr:rowOff>96310</xdr:rowOff>
    </xdr:from>
    <xdr:to>
      <xdr:col>24</xdr:col>
      <xdr:colOff>414338</xdr:colOff>
      <xdr:row>35</xdr:row>
      <xdr:rowOff>192089</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646112</xdr:colOff>
      <xdr:row>22</xdr:row>
      <xdr:rowOff>33338</xdr:rowOff>
    </xdr:from>
    <xdr:to>
      <xdr:col>31</xdr:col>
      <xdr:colOff>558799</xdr:colOff>
      <xdr:row>35</xdr:row>
      <xdr:rowOff>133351</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38101</xdr:colOff>
      <xdr:row>1</xdr:row>
      <xdr:rowOff>110066</xdr:rowOff>
    </xdr:from>
    <xdr:to>
      <xdr:col>23</xdr:col>
      <xdr:colOff>488229</xdr:colOff>
      <xdr:row>4</xdr:row>
      <xdr:rowOff>40553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6780934" y="289983"/>
          <a:ext cx="2386878" cy="628987"/>
        </a:xfrm>
        <a:prstGeom prst="rect">
          <a:avLst/>
        </a:prstGeom>
      </xdr:spPr>
    </xdr:pic>
    <xdr:clientData/>
  </xdr:twoCellAnchor>
  <xdr:twoCellAnchor>
    <xdr:from>
      <xdr:col>1</xdr:col>
      <xdr:colOff>52915</xdr:colOff>
      <xdr:row>23</xdr:row>
      <xdr:rowOff>32456</xdr:rowOff>
    </xdr:from>
    <xdr:to>
      <xdr:col>8</xdr:col>
      <xdr:colOff>571499</xdr:colOff>
      <xdr:row>36</xdr:row>
      <xdr:rowOff>112889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7938</xdr:colOff>
      <xdr:row>8</xdr:row>
      <xdr:rowOff>95249</xdr:rowOff>
    </xdr:from>
    <xdr:to>
      <xdr:col>8</xdr:col>
      <xdr:colOff>570177</xdr:colOff>
      <xdr:row>21</xdr:row>
      <xdr:rowOff>117474</xdr:rowOff>
    </xdr:to>
    <xdr:graphicFrame macro="">
      <xdr:nvGraphicFramePr>
        <xdr:cNvPr id="10" name="Chart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5822</xdr:colOff>
      <xdr:row>8</xdr:row>
      <xdr:rowOff>196850</xdr:rowOff>
    </xdr:from>
    <xdr:to>
      <xdr:col>24</xdr:col>
      <xdr:colOff>498475</xdr:colOff>
      <xdr:row>21</xdr:row>
      <xdr:rowOff>144462</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4232</xdr:colOff>
      <xdr:row>8</xdr:row>
      <xdr:rowOff>152400</xdr:rowOff>
    </xdr:from>
    <xdr:to>
      <xdr:col>16</xdr:col>
      <xdr:colOff>474662</xdr:colOff>
      <xdr:row>21</xdr:row>
      <xdr:rowOff>112712</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228070</xdr:colOff>
      <xdr:row>9</xdr:row>
      <xdr:rowOff>15875</xdr:rowOff>
    </xdr:from>
    <xdr:to>
      <xdr:col>32</xdr:col>
      <xdr:colOff>282575</xdr:colOff>
      <xdr:row>21</xdr:row>
      <xdr:rowOff>88900</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687914</xdr:colOff>
      <xdr:row>23</xdr:row>
      <xdr:rowOff>7759</xdr:rowOff>
    </xdr:from>
    <xdr:to>
      <xdr:col>16</xdr:col>
      <xdr:colOff>556683</xdr:colOff>
      <xdr:row>36</xdr:row>
      <xdr:rowOff>120650</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16933</xdr:colOff>
      <xdr:row>22</xdr:row>
      <xdr:rowOff>195438</xdr:rowOff>
    </xdr:from>
    <xdr:to>
      <xdr:col>24</xdr:col>
      <xdr:colOff>492478</xdr:colOff>
      <xdr:row>36</xdr:row>
      <xdr:rowOff>117122</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266700</xdr:colOff>
      <xdr:row>22</xdr:row>
      <xdr:rowOff>139700</xdr:rowOff>
    </xdr:from>
    <xdr:to>
      <xdr:col>32</xdr:col>
      <xdr:colOff>216958</xdr:colOff>
      <xdr:row>36</xdr:row>
      <xdr:rowOff>47978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342901</xdr:colOff>
      <xdr:row>0</xdr:row>
      <xdr:rowOff>158750</xdr:rowOff>
    </xdr:from>
    <xdr:to>
      <xdr:col>22</xdr:col>
      <xdr:colOff>189779</xdr:colOff>
      <xdr:row>3</xdr:row>
      <xdr:rowOff>173904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4338301" y="158750"/>
          <a:ext cx="2437678" cy="650154"/>
        </a:xfrm>
        <a:prstGeom prst="rect">
          <a:avLst/>
        </a:prstGeom>
      </xdr:spPr>
    </xdr:pic>
    <xdr:clientData/>
  </xdr:twoCellAnchor>
  <xdr:twoCellAnchor>
    <xdr:from>
      <xdr:col>1</xdr:col>
      <xdr:colOff>109361</xdr:colOff>
      <xdr:row>22</xdr:row>
      <xdr:rowOff>42332</xdr:rowOff>
    </xdr:from>
    <xdr:to>
      <xdr:col>8</xdr:col>
      <xdr:colOff>349954</xdr:colOff>
      <xdr:row>35</xdr:row>
      <xdr:rowOff>147459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95250</xdr:colOff>
      <xdr:row>8</xdr:row>
      <xdr:rowOff>52917</xdr:rowOff>
    </xdr:from>
    <xdr:to>
      <xdr:col>8</xdr:col>
      <xdr:colOff>391583</xdr:colOff>
      <xdr:row>21</xdr:row>
      <xdr:rowOff>75142</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310972</xdr:colOff>
      <xdr:row>8</xdr:row>
      <xdr:rowOff>55033</xdr:rowOff>
    </xdr:from>
    <xdr:to>
      <xdr:col>23</xdr:col>
      <xdr:colOff>295275</xdr:colOff>
      <xdr:row>21</xdr:row>
      <xdr:rowOff>82726</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56795</xdr:colOff>
      <xdr:row>8</xdr:row>
      <xdr:rowOff>73731</xdr:rowOff>
    </xdr:from>
    <xdr:to>
      <xdr:col>16</xdr:col>
      <xdr:colOff>258232</xdr:colOff>
      <xdr:row>21</xdr:row>
      <xdr:rowOff>95956</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558978</xdr:colOff>
      <xdr:row>8</xdr:row>
      <xdr:rowOff>83257</xdr:rowOff>
    </xdr:from>
    <xdr:to>
      <xdr:col>30</xdr:col>
      <xdr:colOff>509942</xdr:colOff>
      <xdr:row>21</xdr:row>
      <xdr:rowOff>104600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64911</xdr:colOff>
      <xdr:row>22</xdr:row>
      <xdr:rowOff>46566</xdr:rowOff>
    </xdr:from>
    <xdr:to>
      <xdr:col>16</xdr:col>
      <xdr:colOff>268816</xdr:colOff>
      <xdr:row>36</xdr:row>
      <xdr:rowOff>17107</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374120</xdr:colOff>
      <xdr:row>22</xdr:row>
      <xdr:rowOff>64559</xdr:rowOff>
    </xdr:from>
    <xdr:to>
      <xdr:col>23</xdr:col>
      <xdr:colOff>282045</xdr:colOff>
      <xdr:row>35</xdr:row>
      <xdr:rowOff>189443</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538163</xdr:colOff>
      <xdr:row>22</xdr:row>
      <xdr:rowOff>80963</xdr:rowOff>
    </xdr:from>
    <xdr:to>
      <xdr:col>30</xdr:col>
      <xdr:colOff>477838</xdr:colOff>
      <xdr:row>35</xdr:row>
      <xdr:rowOff>180975</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ruptcie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Rimlee" id="{268B825A-7185-4400-ACC3-63F3955E9AC1}" userId="Rimlee"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Products" displayName="Products" ref="A10:F110" totalsRowShown="0" headerRowDxfId="458" dataDxfId="457">
  <autoFilter ref="A10:F110" xr:uid="{00000000-0009-0000-0100-000005000000}"/>
  <tableColumns count="6">
    <tableColumn id="1" xr3:uid="{00000000-0010-0000-0000-000001000000}" name="LookupCodes" dataDxfId="456"/>
    <tableColumn id="2" xr3:uid="{00000000-0010-0000-0000-000002000000}" name="DataRate" dataDxfId="455"/>
    <tableColumn id="3" xr3:uid="{00000000-0010-0000-0000-000003000000}" name="Reach" dataDxfId="454"/>
    <tableColumn id="4" xr3:uid="{00000000-0010-0000-0000-000004000000}" name="FormFactor" dataDxfId="453"/>
    <tableColumn id="5" xr3:uid="{00000000-0010-0000-0000-000005000000}" name="Type" dataDxfId="452"/>
    <tableColumn id="6" xr3:uid="{00000000-0010-0000-0000-000006000000}" name="speed coef" dataDxfId="45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9000000}" name="tblBaiduUnits" displayName="tblBaiduUnits" ref="A40:W89" totalsRowShown="0" headerRowDxfId="250" dataDxfId="249">
  <autoFilter ref="A40:W89" xr:uid="{00000000-0009-0000-0100-000006000000}"/>
  <tableColumns count="23">
    <tableColumn id="1" xr3:uid="{00000000-0010-0000-0900-000001000000}" name="Products" dataDxfId="248"/>
    <tableColumn id="23" xr3:uid="{00000000-0010-0000-0900-000017000000}" name="cv_2018" dataDxfId="247"/>
    <tableColumn id="24" xr3:uid="{00000000-0010-0000-0900-000018000000}" name="cv_2019" dataDxfId="246"/>
    <tableColumn id="25" xr3:uid="{00000000-0010-0000-0900-000019000000}" name="cv_2020" dataDxfId="245"/>
    <tableColumn id="26" xr3:uid="{00000000-0010-0000-0900-00001A000000}" name="cv_2021" dataDxfId="244"/>
    <tableColumn id="27" xr3:uid="{00000000-0010-0000-0900-00001B000000}" name="cv_2022" dataDxfId="243"/>
    <tableColumn id="28" xr3:uid="{00000000-0010-0000-0900-00001C000000}" name="cv_2023" dataDxfId="242"/>
    <tableColumn id="29" xr3:uid="{00000000-0010-0000-0900-00001D000000}" name="cv_2024" dataDxfId="241"/>
    <tableColumn id="30" xr3:uid="{00000000-0010-0000-0900-00001E000000}" name="cv_2025" dataDxfId="240"/>
    <tableColumn id="31" xr3:uid="{00000000-0010-0000-0900-00001F000000}" name="cv_2026" dataDxfId="239"/>
    <tableColumn id="32" xr3:uid="{00000000-0010-0000-0900-000020000000}" name="cv_2027" dataDxfId="238"/>
    <tableColumn id="33" xr3:uid="{00000000-0010-0000-0900-000021000000}" name="cv_2028" dataDxfId="237"/>
    <tableColumn id="36" xr3:uid="{00000000-0010-0000-0900-000024000000}" name="sl_2018" dataDxfId="236" dataCellStyle="Currency">
      <calculatedColumnFormula array="1">INDEX(tblPrices[cv_2018], MATCH(tblTencentUnits[[#This Row],[Products]],tblPrices[Products],0), 0)* tblTencentUnits[[#This Row],[cv_2018]]/10^6</calculatedColumnFormula>
    </tableColumn>
    <tableColumn id="37" xr3:uid="{00000000-0010-0000-0900-000025000000}" name="sl_2019" dataDxfId="235" dataCellStyle="Currency">
      <calculatedColumnFormula array="1">INDEX(tblPrices[cv_2019], MATCH(tblTencentUnits[[#This Row],[Products]],tblPrices[Products],0), 0)* tblTencentUnits[[#This Row],[cv_2019]]/10^6</calculatedColumnFormula>
    </tableColumn>
    <tableColumn id="38" xr3:uid="{00000000-0010-0000-0900-000026000000}" name="sl_2020" dataDxfId="234" dataCellStyle="Currency">
      <calculatedColumnFormula array="1">INDEX(tblPrices[cv_2020], MATCH(tblTencentUnits[[#This Row],[Products]],tblPrices[Products],0), 0)* tblTencentUnits[[#This Row],[cv_2020]]/10^6</calculatedColumnFormula>
    </tableColumn>
    <tableColumn id="39" xr3:uid="{00000000-0010-0000-0900-000027000000}" name="sl_2021" dataDxfId="233" dataCellStyle="Currency">
      <calculatedColumnFormula array="1">INDEX(tblPrices[cv_2021], MATCH(tblTencentUnits[[#This Row],[Products]],tblPrices[Products],0), 0)* tblTencentUnits[[#This Row],[cv_2021]]/10^6</calculatedColumnFormula>
    </tableColumn>
    <tableColumn id="40" xr3:uid="{00000000-0010-0000-0900-000028000000}" name="sl_2022" dataDxfId="232" dataCellStyle="Currency">
      <calculatedColumnFormula array="1">INDEX(tblPrices[cv_2022], MATCH(tblTencentUnits[[#This Row],[Products]],tblPrices[Products],0), 0)* tblTencentUnits[[#This Row],[cv_2022]]/10^6</calculatedColumnFormula>
    </tableColumn>
    <tableColumn id="41" xr3:uid="{00000000-0010-0000-0900-000029000000}" name="sl_2023" dataDxfId="231" dataCellStyle="Currency">
      <calculatedColumnFormula array="1">INDEX(tblPrices[cv_2023], MATCH(tblTencentUnits[[#This Row],[Products]],tblPrices[Products],0), 0)* tblTencentUnits[[#This Row],[cv_2023]]/10^6</calculatedColumnFormula>
    </tableColumn>
    <tableColumn id="42" xr3:uid="{00000000-0010-0000-0900-00002A000000}" name="sl_2024" dataDxfId="230" dataCellStyle="Currency">
      <calculatedColumnFormula array="1">INDEX(tblPrices[cv_2024], MATCH(tblTencentUnits[[#This Row],[Products]],tblPrices[Products],0), 0)* tblTencentUnits[[#This Row],[cv_2024]]/10^6</calculatedColumnFormula>
    </tableColumn>
    <tableColumn id="43" xr3:uid="{00000000-0010-0000-0900-00002B000000}" name="sl_2025" dataDxfId="229" dataCellStyle="Currency">
      <calculatedColumnFormula array="1">INDEX(tblPrices[cv_2025], MATCH(tblTencentUnits[[#This Row],[Products]],tblPrices[Products],0), 0)* tblTencentUnits[[#This Row],[cv_2025]]/10^6</calculatedColumnFormula>
    </tableColumn>
    <tableColumn id="44" xr3:uid="{00000000-0010-0000-0900-00002C000000}" name="sl_2026" dataDxfId="228" dataCellStyle="Currency">
      <calculatedColumnFormula array="1">INDEX(tblPrices[cv_2026], MATCH(tblTencentUnits[[#This Row],[Products]],tblPrices[Products],0), 0)* tblTencentUnits[[#This Row],[cv_2026]]/10^6</calculatedColumnFormula>
    </tableColumn>
    <tableColumn id="45" xr3:uid="{00000000-0010-0000-0900-00002D000000}" name="sl_2027" dataDxfId="227" dataCellStyle="Currency">
      <calculatedColumnFormula array="1">INDEX(tblPrices[cv_2027], MATCH(tblTencentUnits[[#This Row],[Products]],tblPrices[Products],0), 0)* tblTencentUnits[[#This Row],[cv_2027]]/10^6</calculatedColumnFormula>
    </tableColumn>
    <tableColumn id="46" xr3:uid="{00000000-0010-0000-0900-00002E000000}" name="sl_2028" dataDxfId="226" dataCellStyle="Currency">
      <calculatedColumnFormula array="1">INDEX(tblPrices[cv_2028], MATCH(tblTencentUnits[[#This Row],[Products]],tblPrices[Products],0), 0)* tblTencentUnits[[#This Row],[cv_2028]]/10^6</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blByteDanceUnits" displayName="tblByteDanceUnits" ref="A40:W89" totalsRowShown="0" headerRowDxfId="225" dataDxfId="224">
  <autoFilter ref="A40:W89" xr:uid="{00000000-0009-0000-0100-000007000000}"/>
  <tableColumns count="23">
    <tableColumn id="1" xr3:uid="{00000000-0010-0000-0A00-000001000000}" name="Products" dataDxfId="223"/>
    <tableColumn id="23" xr3:uid="{00000000-0010-0000-0A00-000017000000}" name="cv_2018" dataDxfId="222"/>
    <tableColumn id="24" xr3:uid="{00000000-0010-0000-0A00-000018000000}" name="cv_2019" dataDxfId="221"/>
    <tableColumn id="25" xr3:uid="{00000000-0010-0000-0A00-000019000000}" name="cv_2020" dataDxfId="220"/>
    <tableColumn id="26" xr3:uid="{00000000-0010-0000-0A00-00001A000000}" name="cv_2021" dataDxfId="219"/>
    <tableColumn id="27" xr3:uid="{00000000-0010-0000-0A00-00001B000000}" name="cv_2022" dataDxfId="218"/>
    <tableColumn id="28" xr3:uid="{00000000-0010-0000-0A00-00001C000000}" name="cv_2023" dataDxfId="217"/>
    <tableColumn id="29" xr3:uid="{00000000-0010-0000-0A00-00001D000000}" name="cv_2024" dataDxfId="216"/>
    <tableColumn id="30" xr3:uid="{00000000-0010-0000-0A00-00001E000000}" name="cv_2025" dataDxfId="215"/>
    <tableColumn id="31" xr3:uid="{00000000-0010-0000-0A00-00001F000000}" name="cv_2026" dataDxfId="214"/>
    <tableColumn id="32" xr3:uid="{00000000-0010-0000-0A00-000020000000}" name="cv_2027" dataDxfId="213"/>
    <tableColumn id="33" xr3:uid="{00000000-0010-0000-0A00-000021000000}" name="cv_2028" dataDxfId="212"/>
    <tableColumn id="36" xr3:uid="{00000000-0010-0000-0A00-000024000000}" name="sl_2018" dataDxfId="211" dataCellStyle="Currency">
      <calculatedColumnFormula array="1">INDEX(tblPrices[cv_2018], MATCH(tblBaiduUnits[[#This Row],[Products]],tblPrices[Products],0), 0)* tblBaiduUnits[[#This Row],[cv_2018]]/10^6</calculatedColumnFormula>
    </tableColumn>
    <tableColumn id="37" xr3:uid="{00000000-0010-0000-0A00-000025000000}" name="sl_2019" dataDxfId="210" dataCellStyle="Currency">
      <calculatedColumnFormula array="1">INDEX(tblPrices[cv_2019], MATCH(tblBaiduUnits[[#This Row],[Products]],tblPrices[Products],0), 0)* tblBaiduUnits[[#This Row],[cv_2019]]/10^6</calculatedColumnFormula>
    </tableColumn>
    <tableColumn id="38" xr3:uid="{00000000-0010-0000-0A00-000026000000}" name="sl_2020" dataDxfId="209" dataCellStyle="Currency">
      <calculatedColumnFormula array="1">INDEX(tblPrices[cv_2020], MATCH(tblBaiduUnits[[#This Row],[Products]],tblPrices[Products],0), 0)* tblBaiduUnits[[#This Row],[cv_2020]]/10^6</calculatedColumnFormula>
    </tableColumn>
    <tableColumn id="39" xr3:uid="{00000000-0010-0000-0A00-000027000000}" name="sl_2021" dataDxfId="208" dataCellStyle="Currency">
      <calculatedColumnFormula array="1">INDEX(tblPrices[cv_2021], MATCH(tblBaiduUnits[[#This Row],[Products]],tblPrices[Products],0), 0)* tblBaiduUnits[[#This Row],[cv_2021]]/10^6</calculatedColumnFormula>
    </tableColumn>
    <tableColumn id="40" xr3:uid="{00000000-0010-0000-0A00-000028000000}" name="sl_2022" dataDxfId="207" dataCellStyle="Currency">
      <calculatedColumnFormula array="1">INDEX(tblPrices[cv_2022], MATCH(tblBaiduUnits[[#This Row],[Products]],tblPrices[Products],0), 0)* tblBaiduUnits[[#This Row],[cv_2022]]/10^6</calculatedColumnFormula>
    </tableColumn>
    <tableColumn id="41" xr3:uid="{00000000-0010-0000-0A00-000029000000}" name="sl_2023" dataDxfId="206" dataCellStyle="Currency">
      <calculatedColumnFormula array="1">INDEX(tblPrices[cv_2023], MATCH(tblBaiduUnits[[#This Row],[Products]],tblPrices[Products],0), 0)* tblBaiduUnits[[#This Row],[cv_2023]]/10^6</calculatedColumnFormula>
    </tableColumn>
    <tableColumn id="42" xr3:uid="{00000000-0010-0000-0A00-00002A000000}" name="sl_2024" dataDxfId="205" dataCellStyle="Currency">
      <calculatedColumnFormula array="1">INDEX(tblPrices[cv_2024], MATCH(tblBaiduUnits[[#This Row],[Products]],tblPrices[Products],0), 0)* tblBaiduUnits[[#This Row],[cv_2024]]/10^6</calculatedColumnFormula>
    </tableColumn>
    <tableColumn id="43" xr3:uid="{00000000-0010-0000-0A00-00002B000000}" name="sl_2025" dataDxfId="204" dataCellStyle="Currency">
      <calculatedColumnFormula array="1">INDEX(tblPrices[cv_2025], MATCH(tblBaiduUnits[[#This Row],[Products]],tblPrices[Products],0), 0)* tblBaiduUnits[[#This Row],[cv_2025]]/10^6</calculatedColumnFormula>
    </tableColumn>
    <tableColumn id="44" xr3:uid="{00000000-0010-0000-0A00-00002C000000}" name="sl_2026" dataDxfId="203" dataCellStyle="Currency">
      <calculatedColumnFormula array="1">INDEX(tblPrices[cv_2026], MATCH(tblBaiduUnits[[#This Row],[Products]],tblPrices[Products],0), 0)* tblBaiduUnits[[#This Row],[cv_2026]]/10^6</calculatedColumnFormula>
    </tableColumn>
    <tableColumn id="45" xr3:uid="{00000000-0010-0000-0A00-00002D000000}" name="sl_2027" dataDxfId="202" dataCellStyle="Currency">
      <calculatedColumnFormula array="1">INDEX(tblPrices[cv_2027], MATCH(tblBaiduUnits[[#This Row],[Products]],tblPrices[Products],0), 0)* tblBaiduUnits[[#This Row],[cv_2027]]/10^6</calculatedColumnFormula>
    </tableColumn>
    <tableColumn id="46" xr3:uid="{00000000-0010-0000-0A00-00002E000000}" name="sl_2028" dataDxfId="201" dataCellStyle="Currency">
      <calculatedColumnFormula array="1">INDEX(tblPrices[cv_2028], MATCH(tblBaiduUnits[[#This Row],[Products]],tblPrices[Products],0), 0)* tblBaiduUnits[[#This Row],[cv_2028]]/10^6</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blCloudAOUnits" displayName="tblCloudAOUnits" ref="A40:W97" totalsRowShown="0" headerRowDxfId="200" dataDxfId="199">
  <autoFilter ref="A40:W97" xr:uid="{00000000-0009-0000-0100-000008000000}"/>
  <tableColumns count="23">
    <tableColumn id="1" xr3:uid="{00000000-0010-0000-0B00-000001000000}" name="Products" dataDxfId="198"/>
    <tableColumn id="23" xr3:uid="{00000000-0010-0000-0B00-000017000000}" name="cv_2018" dataDxfId="197"/>
    <tableColumn id="24" xr3:uid="{00000000-0010-0000-0B00-000018000000}" name="cv_2019" dataDxfId="196"/>
    <tableColumn id="25" xr3:uid="{00000000-0010-0000-0B00-000019000000}" name="cv_2020" dataDxfId="195"/>
    <tableColumn id="26" xr3:uid="{00000000-0010-0000-0B00-00001A000000}" name="cv_2021" dataDxfId="194"/>
    <tableColumn id="27" xr3:uid="{00000000-0010-0000-0B00-00001B000000}" name="cv_2022" dataDxfId="193"/>
    <tableColumn id="28" xr3:uid="{00000000-0010-0000-0B00-00001C000000}" name="cv_2023" dataDxfId="192"/>
    <tableColumn id="29" xr3:uid="{00000000-0010-0000-0B00-00001D000000}" name="cv_2024" dataDxfId="191"/>
    <tableColumn id="30" xr3:uid="{00000000-0010-0000-0B00-00001E000000}" name="cv_2025" dataDxfId="190"/>
    <tableColumn id="31" xr3:uid="{00000000-0010-0000-0B00-00001F000000}" name="cv_2026" dataDxfId="189"/>
    <tableColumn id="32" xr3:uid="{00000000-0010-0000-0B00-000020000000}" name="cv_2027" dataDxfId="188"/>
    <tableColumn id="33" xr3:uid="{00000000-0010-0000-0B00-000021000000}" name="cv_2028" dataDxfId="187"/>
    <tableColumn id="36" xr3:uid="{00000000-0010-0000-0B00-000024000000}" name="sl_2018" dataDxfId="186" dataCellStyle="Currency">
      <calculatedColumnFormula array="1">INDEX(tblPrices[cv_2018], MATCH(tblBaiduUnits[[#This Row],[Products]],tblPrices[Products],0), 0)* tblBaiduUnits[[#This Row],[cv_2018]]/10^6</calculatedColumnFormula>
    </tableColumn>
    <tableColumn id="37" xr3:uid="{00000000-0010-0000-0B00-000025000000}" name="sl_2019" dataDxfId="185" dataCellStyle="Currency">
      <calculatedColumnFormula array="1">INDEX(tblPrices[cv_2019], MATCH(tblBaiduUnits[[#This Row],[Products]],tblPrices[Products],0), 0)* tblBaiduUnits[[#This Row],[cv_2019]]/10^6</calculatedColumnFormula>
    </tableColumn>
    <tableColumn id="38" xr3:uid="{00000000-0010-0000-0B00-000026000000}" name="sl_2020" dataDxfId="184" dataCellStyle="Currency">
      <calculatedColumnFormula array="1">INDEX(tblPrices[cv_2020], MATCH(tblBaiduUnits[[#This Row],[Products]],tblPrices[Products],0), 0)* tblBaiduUnits[[#This Row],[cv_2020]]/10^6</calculatedColumnFormula>
    </tableColumn>
    <tableColumn id="39" xr3:uid="{00000000-0010-0000-0B00-000027000000}" name="sl_2021" dataDxfId="183" dataCellStyle="Currency">
      <calculatedColumnFormula array="1">INDEX(tblPrices[cv_2021], MATCH(tblBaiduUnits[[#This Row],[Products]],tblPrices[Products],0), 0)* tblBaiduUnits[[#This Row],[cv_2021]]/10^6</calculatedColumnFormula>
    </tableColumn>
    <tableColumn id="40" xr3:uid="{00000000-0010-0000-0B00-000028000000}" name="sl_2022" dataDxfId="182" dataCellStyle="Currency">
      <calculatedColumnFormula array="1">INDEX(tblPrices[cv_2022], MATCH(tblBaiduUnits[[#This Row],[Products]],tblPrices[Products],0), 0)* tblBaiduUnits[[#This Row],[cv_2022]]/10^6</calculatedColumnFormula>
    </tableColumn>
    <tableColumn id="41" xr3:uid="{00000000-0010-0000-0B00-000029000000}" name="sl_2023" dataDxfId="181" dataCellStyle="Currency">
      <calculatedColumnFormula array="1">INDEX(tblPrices[cv_2023], MATCH(tblBaiduUnits[[#This Row],[Products]],tblPrices[Products],0), 0)* tblBaiduUnits[[#This Row],[cv_2023]]/10^6</calculatedColumnFormula>
    </tableColumn>
    <tableColumn id="42" xr3:uid="{00000000-0010-0000-0B00-00002A000000}" name="sl_2024" dataDxfId="180" dataCellStyle="Currency">
      <calculatedColumnFormula array="1">INDEX(tblPrices[cv_2024], MATCH(tblBaiduUnits[[#This Row],[Products]],tblPrices[Products],0), 0)* tblBaiduUnits[[#This Row],[cv_2024]]/10^6</calculatedColumnFormula>
    </tableColumn>
    <tableColumn id="43" xr3:uid="{00000000-0010-0000-0B00-00002B000000}" name="sl_2025" dataDxfId="179" dataCellStyle="Currency">
      <calculatedColumnFormula array="1">INDEX(tblPrices[cv_2025], MATCH(tblBaiduUnits[[#This Row],[Products]],tblPrices[Products],0), 0)* tblBaiduUnits[[#This Row],[cv_2025]]/10^6</calculatedColumnFormula>
    </tableColumn>
    <tableColumn id="44" xr3:uid="{00000000-0010-0000-0B00-00002C000000}" name="sl_2026" dataDxfId="178" dataCellStyle="Currency">
      <calculatedColumnFormula array="1">INDEX(tblPrices[cv_2026], MATCH(tblBaiduUnits[[#This Row],[Products]],tblPrices[Products],0), 0)* tblBaiduUnits[[#This Row],[cv_2026]]/10^6</calculatedColumnFormula>
    </tableColumn>
    <tableColumn id="45" xr3:uid="{00000000-0010-0000-0B00-00002D000000}" name="sl_2027" dataDxfId="177" dataCellStyle="Currency">
      <calculatedColumnFormula array="1">INDEX(tblPrices[cv_2027], MATCH(tblBaiduUnits[[#This Row],[Products]],tblPrices[Products],0), 0)* tblBaiduUnits[[#This Row],[cv_2027]]/10^6</calculatedColumnFormula>
    </tableColumn>
    <tableColumn id="46" xr3:uid="{00000000-0010-0000-0B00-00002E000000}" name="sl_2028" dataDxfId="176" dataCellStyle="Currency">
      <calculatedColumnFormula array="1">INDEX(tblPrices[cv_2028], MATCH(tblBaiduUnits[[#This Row],[Products]],tblPrices[Products],0), 0)* tblBaiduUnits[[#This Row],[cv_2028]]/10^6</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blCloudTotal" displayName="tblCloudTotal" ref="A10:W110" totalsRowShown="0" headerRowDxfId="175" dataDxfId="174">
  <autoFilter ref="A10:W110" xr:uid="{00000000-0009-0000-0100-00000B000000}"/>
  <tableColumns count="23">
    <tableColumn id="1" xr3:uid="{00000000-0010-0000-0C00-000001000000}" name="Products" dataDxfId="173"/>
    <tableColumn id="23" xr3:uid="{00000000-0010-0000-0C00-000017000000}" name="cv_2018" dataDxfId="172">
      <calculatedColumnFormula>CloudAllOther!#REF!+ByteDance!#REF!+Baidu!#REF!+Tencent!#REF!+Huawei!#REF!+Alibaba!#REF!+Apple!#REF!+Microsoft!#REF!+Amazon!#REF!+Meta!#REF!+Google!#REF!</calculatedColumnFormula>
    </tableColumn>
    <tableColumn id="24" xr3:uid="{00000000-0010-0000-0C00-000018000000}" name="cv_2019" dataDxfId="171">
      <calculatedColumnFormula>CloudAllOther!#REF!+ByteDance!#REF!+Baidu!#REF!+Tencent!#REF!+Huawei!#REF!+Alibaba!#REF!+Apple!#REF!+Microsoft!#REF!+Amazon!#REF!+Meta!#REF!+Google!#REF!</calculatedColumnFormula>
    </tableColumn>
    <tableColumn id="25" xr3:uid="{00000000-0010-0000-0C00-000019000000}" name="cv_2020" dataDxfId="170">
      <calculatedColumnFormula>CloudAllOther!#REF!+ByteDance!#REF!+Baidu!#REF!+Tencent!#REF!+Huawei!#REF!+Alibaba!#REF!+Apple!#REF!+Microsoft!#REF!+Amazon!#REF!+Meta!#REF!+Google!#REF!</calculatedColumnFormula>
    </tableColumn>
    <tableColumn id="26" xr3:uid="{00000000-0010-0000-0C00-00001A000000}" name="cv_2021" dataDxfId="169">
      <calculatedColumnFormula>CloudAllOther!#REF!+ByteDance!#REF!+Baidu!#REF!+Tencent!#REF!+Huawei!#REF!+Alibaba!#REF!+Apple!#REF!+Microsoft!#REF!+Amazon!#REF!+Meta!#REF!+Google!#REF!</calculatedColumnFormula>
    </tableColumn>
    <tableColumn id="27" xr3:uid="{00000000-0010-0000-0C00-00001B000000}" name="cv_2022" dataDxfId="168">
      <calculatedColumnFormula>CloudAllOther!#REF!+ByteDance!#REF!+Baidu!#REF!+Tencent!#REF!+Huawei!#REF!+Alibaba!#REF!+Apple!#REF!+Microsoft!#REF!+Amazon!#REF!+Meta!#REF!+Google!#REF!</calculatedColumnFormula>
    </tableColumn>
    <tableColumn id="28" xr3:uid="{00000000-0010-0000-0C00-00001C000000}" name="cv_2023" dataDxfId="167">
      <calculatedColumnFormula>CloudAllOther!#REF!+ByteDance!#REF!+Baidu!#REF!+Tencent!#REF!+Huawei!#REF!+Alibaba!#REF!+Apple!#REF!+Microsoft!#REF!+Amazon!#REF!+Meta!#REF!+Google!#REF!</calculatedColumnFormula>
    </tableColumn>
    <tableColumn id="29" xr3:uid="{00000000-0010-0000-0C00-00001D000000}" name="cv_2024" dataDxfId="166">
      <calculatedColumnFormula>CloudAllOther!#REF!+ByteDance!#REF!+Baidu!#REF!+Tencent!#REF!+Huawei!#REF!+Alibaba!#REF!+Apple!#REF!+Microsoft!#REF!+Amazon!#REF!+Meta!#REF!+Google!#REF!</calculatedColumnFormula>
    </tableColumn>
    <tableColumn id="30" xr3:uid="{00000000-0010-0000-0C00-00001E000000}" name="cv_2025" dataDxfId="165">
      <calculatedColumnFormula>CloudAllOther!#REF!+ByteDance!#REF!+Baidu!#REF!+Tencent!#REF!+Huawei!#REF!+Alibaba!#REF!+Apple!#REF!+Microsoft!#REF!+Amazon!#REF!+Meta!#REF!+Google!#REF!</calculatedColumnFormula>
    </tableColumn>
    <tableColumn id="31" xr3:uid="{00000000-0010-0000-0C00-00001F000000}" name="cv_2026" dataDxfId="164">
      <calculatedColumnFormula>CloudAllOther!#REF!+ByteDance!#REF!+Baidu!#REF!+Tencent!#REF!+Huawei!#REF!+Alibaba!#REF!+Apple!#REF!+Microsoft!#REF!+Amazon!#REF!+Meta!#REF!+Google!#REF!</calculatedColumnFormula>
    </tableColumn>
    <tableColumn id="32" xr3:uid="{00000000-0010-0000-0C00-000020000000}" name="cv_2027" dataDxfId="163">
      <calculatedColumnFormula>CloudAllOther!#REF!+ByteDance!#REF!+Baidu!#REF!+Tencent!#REF!+Huawei!#REF!+Alibaba!#REF!+Apple!#REF!+Microsoft!#REF!+Amazon!#REF!+Meta!#REF!+Google!#REF!</calculatedColumnFormula>
    </tableColumn>
    <tableColumn id="33" xr3:uid="{00000000-0010-0000-0C00-000021000000}" name="cv_2028" dataDxfId="162">
      <calculatedColumnFormula>CloudAllOther!#REF!+ByteDance!#REF!+Baidu!#REF!+Tencent!#REF!+Huawei!#REF!+Alibaba!#REF!+Apple!#REF!+Microsoft!#REF!+Amazon!#REF!+Meta!#REF!+Google!#REF!</calculatedColumnFormula>
    </tableColumn>
    <tableColumn id="36" xr3:uid="{00000000-0010-0000-0C00-000024000000}" name="ch_2018" dataDxfId="161">
      <calculatedColumnFormula>10^-6*B11*INDEX(TotalMarket!$M$26:$W$125,MATCH($A11,$A$11:$A$132,0),MATCH(M$10,$M$10:$W$10))</calculatedColumnFormula>
    </tableColumn>
    <tableColumn id="37" xr3:uid="{00000000-0010-0000-0C00-000025000000}" name="ch_2019" dataDxfId="160">
      <calculatedColumnFormula>10^-6*C11*INDEX(TotalMarket!$M$26:$W$125,MATCH($A11,$A$11:$A$132,0),MATCH(N$10,$M$10:$W$10))</calculatedColumnFormula>
    </tableColumn>
    <tableColumn id="38" xr3:uid="{00000000-0010-0000-0C00-000026000000}" name="ch_2020" dataDxfId="159">
      <calculatedColumnFormula>10^-6*D11*INDEX(TotalMarket!$M$26:$W$125,MATCH($A11,$A$11:$A$132,0),MATCH(O$10,$M$10:$W$10))</calculatedColumnFormula>
    </tableColumn>
    <tableColumn id="39" xr3:uid="{00000000-0010-0000-0C00-000027000000}" name="ch_2021" dataDxfId="158">
      <calculatedColumnFormula>10^-6*E11*INDEX(TotalMarket!$M$26:$W$125,MATCH($A11,$A$11:$A$132,0),MATCH(P$10,$M$10:$W$10))</calculatedColumnFormula>
    </tableColumn>
    <tableColumn id="40" xr3:uid="{00000000-0010-0000-0C00-000028000000}" name="ch_2022" dataDxfId="157">
      <calculatedColumnFormula>10^-6*F11*INDEX(TotalMarket!$M$26:$W$125,MATCH($A11,$A$11:$A$132,0),MATCH(Q$10,$M$10:$W$10))</calculatedColumnFormula>
    </tableColumn>
    <tableColumn id="41" xr3:uid="{00000000-0010-0000-0C00-000029000000}" name="ch_2023" dataDxfId="156">
      <calculatedColumnFormula>10^-6*G11*INDEX(TotalMarket!$M$26:$W$125,MATCH($A11,$A$11:$A$132,0),MATCH(R$10,$M$10:$W$10))</calculatedColumnFormula>
    </tableColumn>
    <tableColumn id="42" xr3:uid="{00000000-0010-0000-0C00-00002A000000}" name="ch_2024" dataDxfId="155">
      <calculatedColumnFormula>10^-6*H11*INDEX(TotalMarket!$M$26:$W$125,MATCH($A11,$A$11:$A$132,0),MATCH(S$10,$M$10:$W$10))</calculatedColumnFormula>
    </tableColumn>
    <tableColumn id="43" xr3:uid="{00000000-0010-0000-0C00-00002B000000}" name="ch_2025" dataDxfId="154">
      <calculatedColumnFormula>10^-6*I11*INDEX(TotalMarket!$M$26:$W$125,MATCH($A11,$A$11:$A$132,0),MATCH(T$10,$M$10:$W$10))</calculatedColumnFormula>
    </tableColumn>
    <tableColumn id="44" xr3:uid="{00000000-0010-0000-0C00-00002C000000}" name="ch_2026" dataDxfId="153">
      <calculatedColumnFormula>10^-6*J11*INDEX(TotalMarket!$M$26:$W$125,MATCH($A11,$A$11:$A$132,0),MATCH(U$10,$M$10:$W$10))</calculatedColumnFormula>
    </tableColumn>
    <tableColumn id="45" xr3:uid="{00000000-0010-0000-0C00-00002D000000}" name="ch_2027" dataDxfId="152">
      <calculatedColumnFormula>10^-6*K11*INDEX(TotalMarket!$M$26:$W$125,MATCH($A11,$A$11:$A$132,0),MATCH(V$10,$M$10:$W$10))</calculatedColumnFormula>
    </tableColumn>
    <tableColumn id="46" xr3:uid="{00000000-0010-0000-0C00-00002E000000}" name="ch_2028" dataDxfId="151">
      <calculatedColumnFormula>10^-6*L11*INDEX(TotalMarket!$M$26:$W$125,MATCH($A11,$A$11:$A$132,0),MATCH(W$10,$M$10:$W$10))</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tblTelecomUnits" displayName="tblTelecomUnits" ref="A10:W110" totalsRowShown="0" headerRowDxfId="150" dataDxfId="149">
  <autoFilter ref="A10:W110" xr:uid="{00000000-0009-0000-0100-000009000000}"/>
  <tableColumns count="23">
    <tableColumn id="1" xr3:uid="{00000000-0010-0000-0D00-000001000000}" name="Products" dataDxfId="148"/>
    <tableColumn id="23" xr3:uid="{00000000-0010-0000-0D00-000017000000}" name="cv_2018" dataDxfId="147"/>
    <tableColumn id="24" xr3:uid="{00000000-0010-0000-0D00-000018000000}" name="cv_2019" dataDxfId="146"/>
    <tableColumn id="25" xr3:uid="{00000000-0010-0000-0D00-000019000000}" name="cv_2020" dataDxfId="145"/>
    <tableColumn id="26" xr3:uid="{00000000-0010-0000-0D00-00001A000000}" name="cv_2021" dataDxfId="144"/>
    <tableColumn id="27" xr3:uid="{00000000-0010-0000-0D00-00001B000000}" name="cv_2022" dataDxfId="143"/>
    <tableColumn id="28" xr3:uid="{00000000-0010-0000-0D00-00001C000000}" name="cv_2023" dataDxfId="142"/>
    <tableColumn id="29" xr3:uid="{00000000-0010-0000-0D00-00001D000000}" name="cv_2024" dataDxfId="141"/>
    <tableColumn id="30" xr3:uid="{00000000-0010-0000-0D00-00001E000000}" name="cv_2025" dataDxfId="140"/>
    <tableColumn id="31" xr3:uid="{00000000-0010-0000-0D00-00001F000000}" name="cv_2026" dataDxfId="139"/>
    <tableColumn id="32" xr3:uid="{00000000-0010-0000-0D00-000020000000}" name="cv_2027" dataDxfId="138"/>
    <tableColumn id="33" xr3:uid="{00000000-0010-0000-0D00-000021000000}" name="cv_2028" dataDxfId="137"/>
    <tableColumn id="36" xr3:uid="{00000000-0010-0000-0D00-000024000000}" name="sl_2018" dataDxfId="136" dataCellStyle="Currency">
      <calculatedColumnFormula array="1">INDEX(tblPrices[cv_2018], MATCH(tblBaiduUnits[[#This Row],[Products]],tblPrices[Products],0), 0)* tblBaiduUnits[[#This Row],[cv_2018]]/10^6</calculatedColumnFormula>
    </tableColumn>
    <tableColumn id="37" xr3:uid="{00000000-0010-0000-0D00-000025000000}" name="sl_2019" dataDxfId="135" dataCellStyle="Currency">
      <calculatedColumnFormula array="1">INDEX(tblPrices[cv_2019], MATCH(tblBaiduUnits[[#This Row],[Products]],tblPrices[Products],0), 0)* tblBaiduUnits[[#This Row],[cv_2019]]/10^6</calculatedColumnFormula>
    </tableColumn>
    <tableColumn id="38" xr3:uid="{00000000-0010-0000-0D00-000026000000}" name="sl_2020" dataDxfId="134" dataCellStyle="Currency">
      <calculatedColumnFormula array="1">INDEX(tblPrices[cv_2020], MATCH(tblBaiduUnits[[#This Row],[Products]],tblPrices[Products],0), 0)* tblBaiduUnits[[#This Row],[cv_2020]]/10^6</calculatedColumnFormula>
    </tableColumn>
    <tableColumn id="39" xr3:uid="{00000000-0010-0000-0D00-000027000000}" name="sl_2021" dataDxfId="133" dataCellStyle="Currency">
      <calculatedColumnFormula array="1">INDEX(tblPrices[cv_2021], MATCH(tblBaiduUnits[[#This Row],[Products]],tblPrices[Products],0), 0)* tblBaiduUnits[[#This Row],[cv_2021]]/10^6</calculatedColumnFormula>
    </tableColumn>
    <tableColumn id="40" xr3:uid="{00000000-0010-0000-0D00-000028000000}" name="sl_2022" dataDxfId="132" dataCellStyle="Currency">
      <calculatedColumnFormula array="1">INDEX(tblPrices[cv_2022], MATCH(tblBaiduUnits[[#This Row],[Products]],tblPrices[Products],0), 0)* tblBaiduUnits[[#This Row],[cv_2022]]/10^6</calculatedColumnFormula>
    </tableColumn>
    <tableColumn id="41" xr3:uid="{00000000-0010-0000-0D00-000029000000}" name="sl_2023" dataDxfId="131" dataCellStyle="Currency">
      <calculatedColumnFormula array="1">INDEX(tblPrices[cv_2023], MATCH(tblBaiduUnits[[#This Row],[Products]],tblPrices[Products],0), 0)* tblBaiduUnits[[#This Row],[cv_2023]]/10^6</calculatedColumnFormula>
    </tableColumn>
    <tableColumn id="42" xr3:uid="{00000000-0010-0000-0D00-00002A000000}" name="sl_2024" dataDxfId="130" dataCellStyle="Currency">
      <calculatedColumnFormula array="1">INDEX(tblPrices[cv_2024], MATCH(tblBaiduUnits[[#This Row],[Products]],tblPrices[Products],0), 0)* tblBaiduUnits[[#This Row],[cv_2024]]/10^6</calculatedColumnFormula>
    </tableColumn>
    <tableColumn id="43" xr3:uid="{00000000-0010-0000-0D00-00002B000000}" name="sl_2025" dataDxfId="129" dataCellStyle="Currency">
      <calculatedColumnFormula array="1">INDEX(tblPrices[cv_2025], MATCH(tblBaiduUnits[[#This Row],[Products]],tblPrices[Products],0), 0)* tblBaiduUnits[[#This Row],[cv_2025]]/10^6</calculatedColumnFormula>
    </tableColumn>
    <tableColumn id="44" xr3:uid="{00000000-0010-0000-0D00-00002C000000}" name="sl_2026" dataDxfId="128" dataCellStyle="Currency">
      <calculatedColumnFormula array="1">INDEX(tblPrices[cv_2026], MATCH(tblBaiduUnits[[#This Row],[Products]],tblPrices[Products],0), 0)* tblBaiduUnits[[#This Row],[cv_2026]]/10^6</calculatedColumnFormula>
    </tableColumn>
    <tableColumn id="45" xr3:uid="{00000000-0010-0000-0D00-00002D000000}" name="sl_2027" dataDxfId="127" dataCellStyle="Currency">
      <calculatedColumnFormula array="1">INDEX(tblPrices[cv_2027], MATCH(tblBaiduUnits[[#This Row],[Products]],tblPrices[Products],0), 0)* tblBaiduUnits[[#This Row],[cv_2027]]/10^6</calculatedColumnFormula>
    </tableColumn>
    <tableColumn id="46" xr3:uid="{00000000-0010-0000-0D00-00002E000000}" name="sl_2028" dataDxfId="126" dataCellStyle="Currency">
      <calculatedColumnFormula array="1">INDEX(tblPrices[cv_2028], MATCH(tblBaiduUnits[[#This Row],[Products]],tblPrices[Products],0), 0)* tblBaiduUnits[[#This Row],[cv_2028]]/10^6</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tblEnterpriseUnits" displayName="tblEnterpriseUnits" ref="A10:W110" totalsRowShown="0" headerRowDxfId="125" dataDxfId="124">
  <autoFilter ref="A10:W110" xr:uid="{00000000-0009-0000-0100-00000A000000}"/>
  <tableColumns count="23">
    <tableColumn id="1" xr3:uid="{00000000-0010-0000-0E00-000001000000}" name="Products" dataDxfId="123"/>
    <tableColumn id="23" xr3:uid="{00000000-0010-0000-0E00-000017000000}" name="cv_2018" dataDxfId="122"/>
    <tableColumn id="24" xr3:uid="{00000000-0010-0000-0E00-000018000000}" name="cv_2019" dataDxfId="121"/>
    <tableColumn id="25" xr3:uid="{00000000-0010-0000-0E00-000019000000}" name="cv_2020" dataDxfId="120"/>
    <tableColumn id="26" xr3:uid="{00000000-0010-0000-0E00-00001A000000}" name="cv_2021" dataDxfId="119"/>
    <tableColumn id="27" xr3:uid="{00000000-0010-0000-0E00-00001B000000}" name="cv_2022" dataDxfId="118"/>
    <tableColumn id="28" xr3:uid="{00000000-0010-0000-0E00-00001C000000}" name="cv_2023" dataDxfId="117"/>
    <tableColumn id="29" xr3:uid="{00000000-0010-0000-0E00-00001D000000}" name="cv_2024" dataDxfId="116"/>
    <tableColumn id="30" xr3:uid="{00000000-0010-0000-0E00-00001E000000}" name="cv_2025" dataDxfId="115"/>
    <tableColumn id="31" xr3:uid="{00000000-0010-0000-0E00-00001F000000}" name="cv_2026" dataDxfId="114"/>
    <tableColumn id="32" xr3:uid="{00000000-0010-0000-0E00-000020000000}" name="cv_2027" dataDxfId="113"/>
    <tableColumn id="33" xr3:uid="{00000000-0010-0000-0E00-000021000000}" name="cv_2028" dataDxfId="112"/>
    <tableColumn id="36" xr3:uid="{00000000-0010-0000-0E00-000024000000}" name="sl_2018" dataDxfId="111" dataCellStyle="Currency">
      <calculatedColumnFormula array="1">INDEX(tblPrices[cv_2018], MATCH(tblBaiduUnits[[#This Row],[Products]],tblPrices[Products],0), 0)* tblBaiduUnits[[#This Row],[cv_2018]]/10^6</calculatedColumnFormula>
    </tableColumn>
    <tableColumn id="37" xr3:uid="{00000000-0010-0000-0E00-000025000000}" name="sl_2019" dataDxfId="110" dataCellStyle="Currency">
      <calculatedColumnFormula array="1">INDEX(tblPrices[cv_2019], MATCH(tblBaiduUnits[[#This Row],[Products]],tblPrices[Products],0), 0)* tblBaiduUnits[[#This Row],[cv_2019]]/10^6</calculatedColumnFormula>
    </tableColumn>
    <tableColumn id="38" xr3:uid="{00000000-0010-0000-0E00-000026000000}" name="sl_2020" dataDxfId="109" dataCellStyle="Currency">
      <calculatedColumnFormula array="1">INDEX(tblPrices[cv_2020], MATCH(tblBaiduUnits[[#This Row],[Products]],tblPrices[Products],0), 0)* tblBaiduUnits[[#This Row],[cv_2020]]/10^6</calculatedColumnFormula>
    </tableColumn>
    <tableColumn id="39" xr3:uid="{00000000-0010-0000-0E00-000027000000}" name="sl_2021" dataDxfId="108" dataCellStyle="Currency">
      <calculatedColumnFormula array="1">INDEX(tblPrices[cv_2021], MATCH(tblBaiduUnits[[#This Row],[Products]],tblPrices[Products],0), 0)* tblBaiduUnits[[#This Row],[cv_2021]]/10^6</calculatedColumnFormula>
    </tableColumn>
    <tableColumn id="40" xr3:uid="{00000000-0010-0000-0E00-000028000000}" name="sl_2022" dataDxfId="107" dataCellStyle="Currency">
      <calculatedColumnFormula array="1">INDEX(tblPrices[cv_2022], MATCH(tblBaiduUnits[[#This Row],[Products]],tblPrices[Products],0), 0)* tblBaiduUnits[[#This Row],[cv_2022]]/10^6</calculatedColumnFormula>
    </tableColumn>
    <tableColumn id="41" xr3:uid="{00000000-0010-0000-0E00-000029000000}" name="sl_2023" dataDxfId="106" dataCellStyle="Currency">
      <calculatedColumnFormula array="1">INDEX(tblPrices[cv_2023], MATCH(tblBaiduUnits[[#This Row],[Products]],tblPrices[Products],0), 0)* tblBaiduUnits[[#This Row],[cv_2023]]/10^6</calculatedColumnFormula>
    </tableColumn>
    <tableColumn id="42" xr3:uid="{00000000-0010-0000-0E00-00002A000000}" name="sl_2024" dataDxfId="105" dataCellStyle="Currency">
      <calculatedColumnFormula array="1">INDEX(tblPrices[cv_2024], MATCH(tblBaiduUnits[[#This Row],[Products]],tblPrices[Products],0), 0)* tblBaiduUnits[[#This Row],[cv_2024]]/10^6</calculatedColumnFormula>
    </tableColumn>
    <tableColumn id="43" xr3:uid="{00000000-0010-0000-0E00-00002B000000}" name="sl_2025" dataDxfId="104" dataCellStyle="Currency">
      <calculatedColumnFormula array="1">INDEX(tblPrices[cv_2025], MATCH(tblBaiduUnits[[#This Row],[Products]],tblPrices[Products],0), 0)* tblBaiduUnits[[#This Row],[cv_2025]]/10^6</calculatedColumnFormula>
    </tableColumn>
    <tableColumn id="44" xr3:uid="{00000000-0010-0000-0E00-00002C000000}" name="sl_2026" dataDxfId="103" dataCellStyle="Currency">
      <calculatedColumnFormula array="1">INDEX(tblPrices[cv_2026], MATCH(tblBaiduUnits[[#This Row],[Products]],tblPrices[Products],0), 0)* tblBaiduUnits[[#This Row],[cv_2026]]/10^6</calculatedColumnFormula>
    </tableColumn>
    <tableColumn id="45" xr3:uid="{00000000-0010-0000-0E00-00002D000000}" name="sl_2027" dataDxfId="102" dataCellStyle="Currency">
      <calculatedColumnFormula array="1">INDEX(tblPrices[cv_2027], MATCH(tblBaiduUnits[[#This Row],[Products]],tblPrices[Products],0), 0)* tblBaiduUnits[[#This Row],[cv_2027]]/10^6</calculatedColumnFormula>
    </tableColumn>
    <tableColumn id="46" xr3:uid="{00000000-0010-0000-0E00-00002E000000}" name="sl_2028" dataDxfId="101" dataCellStyle="Currency">
      <calculatedColumnFormula array="1">INDEX(tblPrices[cv_2028], MATCH(tblBaiduUnits[[#This Row],[Products]],tblPrices[Products],0), 0)* tblBaiduUnits[[#This Row],[cv_2028]]/10^6</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blPrices" displayName="tblPrices" ref="A10:L111" totalsRowCount="1" headerRowDxfId="100" dataDxfId="99">
  <autoFilter ref="A10:L110" xr:uid="{00000000-0009-0000-0100-00000E000000}"/>
  <tableColumns count="12">
    <tableColumn id="1" xr3:uid="{00000000-0010-0000-0F00-000001000000}" name="Products" dataDxfId="98" totalsRowDxfId="97"/>
    <tableColumn id="23" xr3:uid="{00000000-0010-0000-0F00-000017000000}" name="cv_2018" dataDxfId="96" totalsRowDxfId="95"/>
    <tableColumn id="24" xr3:uid="{00000000-0010-0000-0F00-000018000000}" name="cv_2019" dataDxfId="94" totalsRowDxfId="93"/>
    <tableColumn id="25" xr3:uid="{00000000-0010-0000-0F00-000019000000}" name="cv_2020" dataDxfId="92" totalsRowDxfId="91"/>
    <tableColumn id="26" xr3:uid="{00000000-0010-0000-0F00-00001A000000}" name="cv_2021" dataDxfId="90" totalsRowDxfId="89"/>
    <tableColumn id="27" xr3:uid="{00000000-0010-0000-0F00-00001B000000}" name="cv_2022" dataDxfId="88" totalsRowDxfId="87"/>
    <tableColumn id="28" xr3:uid="{00000000-0010-0000-0F00-00001C000000}" name="cv_2023" dataDxfId="86" totalsRowDxfId="85"/>
    <tableColumn id="29" xr3:uid="{00000000-0010-0000-0F00-00001D000000}" name="cv_2024" dataDxfId="84" totalsRowDxfId="83"/>
    <tableColumn id="30" xr3:uid="{00000000-0010-0000-0F00-00001E000000}" name="cv_2025" dataDxfId="82" totalsRowDxfId="81"/>
    <tableColumn id="31" xr3:uid="{00000000-0010-0000-0F00-00001F000000}" name="cv_2026" dataDxfId="80" totalsRowDxfId="79"/>
    <tableColumn id="32" xr3:uid="{00000000-0010-0000-0F00-000020000000}" name="cv_2027" dataDxfId="78" totalsRowDxfId="77"/>
    <tableColumn id="33" xr3:uid="{00000000-0010-0000-0F00-000021000000}" name="cv_2028" dataDxfId="76" totalsRowDxfId="7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0000000}" name="tblForecast" displayName="tblForecast" ref="A25:AH148" totalsRowCount="1" headerRowDxfId="74" dataDxfId="73">
  <autoFilter ref="A25:AH147" xr:uid="{00000000-0009-0000-0100-000001000000}"/>
  <tableColumns count="34">
    <tableColumn id="1" xr3:uid="{00000000-0010-0000-1000-000001000000}" name="Products" dataDxfId="72" totalsRowDxfId="71"/>
    <tableColumn id="15" xr3:uid="{00000000-0010-0000-1000-00000F000000}" name="un_2018" dataDxfId="70" totalsRowDxfId="69">
      <calculatedColumnFormula xml:space="preserve"> SUMIF(tblGoogleUnits[Products],$A26, tblGoogleUnits[cv_2018]) + SUMIF(tblMetaUnits[Products],$A26, tblMetaUnits[cv_2018]) + SUMIF(tblAmazonUnits[Products],$A26, tblAmazonUnits[cv_2018]) + SUMIF(tblMicrosoftUnits[Products],$A26, tblMicrosoftUnits[cv_2018]) + SUMIF(tblAppleUnits[Products],$A26, tblAppleUnits[cv_2018]) + SUMIF(tblAlibabaUnits[Products],$A26, tblAlibabaUnits[cv_2018]) + SUMIF(tblHuaweiUnits[Products],$A26, tblHuaweiUnits[cv_2018]) + SUMIF(tblTencentUnits[Products],$A26, tblTencentUnits[cv_2018]) + SUMIF(tblBaiduUnits[Products],$A26, tblBaiduUnits[cv_2018]) + SUMIF(tblByteDanceUnits[Products],$A26, tblByteDanceUnits[cv_2018]) + SUMIF(tblCloudAOUnits[Products],$A26, tblCloudAOUnits[cv_2018]) + SUMIF(tblTelecomUnits[Products],$A26, tblTelecomUnits[cv_2018]) + SUMIF(tblEnterpriseUnits[Products],$A26, tblEnterpriseUnits[cv_2018])</calculatedColumnFormula>
    </tableColumn>
    <tableColumn id="16" xr3:uid="{00000000-0010-0000-1000-000010000000}" name="un_2019" dataDxfId="68" totalsRowDxfId="67">
      <calculatedColumnFormula xml:space="preserve"> SUMIF(tblGoogleUnits[Products],$A26, tblGoogleUnits[cv_2019]) + SUMIF(tblMetaUnits[Products],$A26, tblMetaUnits[cv_2019]) + SUMIF(tblAmazonUnits[Products],$A26, tblAmazonUnits[cv_2019]) + SUMIF(tblMicrosoftUnits[Products],$A26, tblMicrosoftUnits[cv_2019]) + SUMIF(tblAppleUnits[Products],$A26, tblAppleUnits[cv_2019]) + SUMIF(tblAlibabaUnits[Products],$A26, tblAlibabaUnits[cv_2019]) + SUMIF(tblHuaweiUnits[Products],$A26, tblHuaweiUnits[cv_2019]) + SUMIF(tblTencentUnits[Products],$A26, tblTencentUnits[cv_2019]) + SUMIF(tblBaiduUnits[Products],$A26, tblBaiduUnits[cv_2019]) + SUMIF(tblByteDanceUnits[Products],$A26, tblByteDanceUnits[cv_2019]) + SUMIF(tblCloudAOUnits[Products],$A26, tblCloudAOUnits[cv_2019]) + SUMIF(tblTelecomUnits[Products],$A26, tblTelecomUnits[cv_2019]) + SUMIF(tblEnterpriseUnits[Products],$A26, tblEnterpriseUnits[cv_2019])</calculatedColumnFormula>
    </tableColumn>
    <tableColumn id="17" xr3:uid="{00000000-0010-0000-1000-000011000000}" name="un_2020" dataDxfId="66" totalsRowDxfId="65">
      <calculatedColumnFormula xml:space="preserve"> SUMIF(tblGoogleUnits[Products],$A26, tblGoogleUnits[cv_2020]) + SUMIF(tblMetaUnits[Products],$A26, tblMetaUnits[cv_2020]) + SUMIF(tblAmazonUnits[Products],$A26, tblAmazonUnits[cv_2020]) + SUMIF(tblMicrosoftUnits[Products],$A26, tblMicrosoftUnits[cv_2020]) + SUMIF(tblAppleUnits[Products],$A26, tblAppleUnits[cv_2020]) + SUMIF(tblAlibabaUnits[Products],$A26, tblAlibabaUnits[cv_2020]) + SUMIF(tblHuaweiUnits[Products],$A26, tblHuaweiUnits[cv_2020]) + SUMIF(tblTencentUnits[Products],$A26, tblTencentUnits[cv_2020]) + SUMIF(tblBaiduUnits[Products],$A26, tblBaiduUnits[cv_2020]) + SUMIF(tblByteDanceUnits[Products],$A26, tblByteDanceUnits[cv_2020]) + SUMIF(tblCloudAOUnits[Products],$A26, tblCloudAOUnits[cv_2020]) + SUMIF(tblTelecomUnits[Products],$A26, tblTelecomUnits[cv_2020]) + SUMIF(tblEnterpriseUnits[Products],$A26, tblEnterpriseUnits[cv_2020])</calculatedColumnFormula>
    </tableColumn>
    <tableColumn id="18" xr3:uid="{00000000-0010-0000-1000-000012000000}" name="un_2021" dataDxfId="64" totalsRowDxfId="63">
      <calculatedColumnFormula xml:space="preserve"> SUMIF(tblGoogleUnits[Products],$A26, tblGoogleUnits[cv_2021]) + SUMIF(tblMetaUnits[Products],$A26, tblMetaUnits[cv_2021]) + SUMIF(tblAmazonUnits[Products],$A26, tblAmazonUnits[cv_2021]) + SUMIF(tblMicrosoftUnits[Products],$A26, tblMicrosoftUnits[cv_2021]) + SUMIF(tblAppleUnits[Products],$A26, tblAppleUnits[cv_2021]) + SUMIF(tblAlibabaUnits[Products],$A26, tblAlibabaUnits[cv_2021]) + SUMIF(tblHuaweiUnits[Products],$A26, tblHuaweiUnits[cv_2021]) + SUMIF(tblTencentUnits[Products],$A26, tblTencentUnits[cv_2021]) + SUMIF(tblBaiduUnits[Products],$A26, tblBaiduUnits[cv_2021]) + SUMIF(tblByteDanceUnits[Products],$A26, tblByteDanceUnits[cv_2021]) + SUMIF(tblCloudAOUnits[Products],$A26, tblCloudAOUnits[cv_2021]) + SUMIF(tblTelecomUnits[Products],$A26, tblTelecomUnits[cv_2021]) + SUMIF(tblEnterpriseUnits[Products],$A26, tblEnterpriseUnits[cv_2021])</calculatedColumnFormula>
    </tableColumn>
    <tableColumn id="19" xr3:uid="{00000000-0010-0000-1000-000013000000}" name="un_2022" dataDxfId="62" totalsRowDxfId="61">
      <calculatedColumnFormula xml:space="preserve"> SUMIF(tblGoogleUnits[Products],$A26, tblGoogleUnits[cv_2022]) + SUMIF(tblMetaUnits[Products],$A26, tblMetaUnits[cv_2022]) + SUMIF(tblAmazonUnits[Products],$A26, tblAmazonUnits[cv_2022]) + SUMIF(tblMicrosoftUnits[Products],$A26, tblMicrosoftUnits[cv_2022]) + SUMIF(tblAppleUnits[Products],$A26, tblAppleUnits[cv_2022]) + SUMIF(tblAlibabaUnits[Products],$A26, tblAlibabaUnits[cv_2022]) + SUMIF(tblHuaweiUnits[Products],$A26, tblHuaweiUnits[cv_2022]) + SUMIF(tblTencentUnits[Products],$A26, tblTencentUnits[cv_2022]) + SUMIF(tblBaiduUnits[Products],$A26, tblBaiduUnits[cv_2022]) + SUMIF(tblByteDanceUnits[Products],$A26, tblByteDanceUnits[cv_2022]) + SUMIF(tblCloudAOUnits[Products],$A26, tblCloudAOUnits[cv_2022]) + SUMIF(tblTelecomUnits[Products],$A26, tblTelecomUnits[cv_2022]) + SUMIF(tblEnterpriseUnits[Products],$A26, tblEnterpriseUnits[cv_2022])</calculatedColumnFormula>
    </tableColumn>
    <tableColumn id="20" xr3:uid="{00000000-0010-0000-1000-000014000000}" name="un_2023" dataDxfId="60" totalsRowDxfId="59">
      <calculatedColumnFormula xml:space="preserve"> SUMIF(tblGoogleUnits[Products],$A26, tblGoogleUnits[cv_2023]) + SUMIF(tblMetaUnits[Products],$A26, tblMetaUnits[cv_2023]) + SUMIF(tblAmazonUnits[Products],$A26, tblAmazonUnits[cv_2023]) + SUMIF(tblMicrosoftUnits[Products],$A26, tblMicrosoftUnits[cv_2023]) + SUMIF(tblAppleUnits[Products],$A26, tblAppleUnits[cv_2023]) + SUMIF(tblAlibabaUnits[Products],$A26, tblAlibabaUnits[cv_2023]) + SUMIF(tblHuaweiUnits[Products],$A26, tblHuaweiUnits[cv_2023]) + SUMIF(tblTencentUnits[Products],$A26, tblTencentUnits[cv_2023]) + SUMIF(tblBaiduUnits[Products],$A26, tblBaiduUnits[cv_2023]) + SUMIF(tblByteDanceUnits[Products],$A26, tblByteDanceUnits[cv_2023]) + SUMIF(tblCloudAOUnits[Products],$A26, tblCloudAOUnits[cv_2023]) + SUMIF(tblTelecomUnits[Products],$A26, tblTelecomUnits[cv_2023]) + SUMIF(tblEnterpriseUnits[Products],$A26, tblEnterpriseUnits[cv_2023])</calculatedColumnFormula>
    </tableColumn>
    <tableColumn id="21" xr3:uid="{00000000-0010-0000-1000-000015000000}" name="un_2024" dataDxfId="58" totalsRowDxfId="57">
      <calculatedColumnFormula xml:space="preserve"> SUMIF(tblGoogleUnits[Products],$A26, tblGoogleUnits[cv_2024]) + SUMIF(tblMetaUnits[Products],$A26, tblMetaUnits[cv_2024]) + SUMIF(tblAmazonUnits[Products],$A26, tblAmazonUnits[cv_2024]) + SUMIF(tblMicrosoftUnits[Products],$A26, tblMicrosoftUnits[cv_2024]) + SUMIF(tblAppleUnits[Products],$A26, tblAppleUnits[cv_2024]) + SUMIF(tblAlibabaUnits[Products],$A26, tblAlibabaUnits[cv_2024]) + SUMIF(tblHuaweiUnits[Products],$A26, tblHuaweiUnits[cv_2024]) + SUMIF(tblTencentUnits[Products],$A26, tblTencentUnits[cv_2024]) + SUMIF(tblBaiduUnits[Products],$A26, tblBaiduUnits[cv_2024]) + SUMIF(tblByteDanceUnits[Products],$A26, tblByteDanceUnits[cv_2024]) + SUMIF(tblCloudAOUnits[Products],$A26, tblCloudAOUnits[cv_2024]) + SUMIF(tblTelecomUnits[Products],$A26, tblTelecomUnits[cv_2024]) + SUMIF(tblEnterpriseUnits[Products],$A26, tblEnterpriseUnits[cv_2024])</calculatedColumnFormula>
    </tableColumn>
    <tableColumn id="22" xr3:uid="{00000000-0010-0000-1000-000016000000}" name="un_2025" dataDxfId="56" totalsRowDxfId="55">
      <calculatedColumnFormula xml:space="preserve"> SUMIF(tblGoogleUnits[Products],$A26, tblGoogleUnits[cv_2025]) + SUMIF(tblMetaUnits[Products],$A26, tblMetaUnits[cv_2025]) + SUMIF(tblAmazonUnits[Products],$A26, tblAmazonUnits[cv_2025]) + SUMIF(tblMicrosoftUnits[Products],$A26, tblMicrosoftUnits[cv_2025]) + SUMIF(tblAppleUnits[Products],$A26, tblAppleUnits[cv_2025]) + SUMIF(tblAlibabaUnits[Products],$A26, tblAlibabaUnits[cv_2025]) + SUMIF(tblHuaweiUnits[Products],$A26, tblHuaweiUnits[cv_2025]) + SUMIF(tblTencentUnits[Products],$A26, tblTencentUnits[cv_2025]) + SUMIF(tblBaiduUnits[Products],$A26, tblBaiduUnits[cv_2025]) + SUMIF(tblByteDanceUnits[Products],$A26, tblByteDanceUnits[cv_2025]) + SUMIF(tblCloudAOUnits[Products],$A26, tblCloudAOUnits[cv_2025]) + SUMIF(tblTelecomUnits[Products],$A26, tblTelecomUnits[cv_2025]) + SUMIF(tblEnterpriseUnits[Products],$A26, tblEnterpriseUnits[cv_2025])</calculatedColumnFormula>
    </tableColumn>
    <tableColumn id="23" xr3:uid="{00000000-0010-0000-1000-000017000000}" name="un_2026" dataDxfId="54" totalsRowDxfId="53">
      <calculatedColumnFormula xml:space="preserve"> SUMIF(tblGoogleUnits[Products],$A26, tblGoogleUnits[cv_2026]) + SUMIF(tblMetaUnits[Products],$A26, tblMetaUnits[cv_2026]) + SUMIF(tblAmazonUnits[Products],$A26, tblAmazonUnits[cv_2026]) + SUMIF(tblMicrosoftUnits[Products],$A26, tblMicrosoftUnits[cv_2026]) + SUMIF(tblAppleUnits[Products],$A26, tblAppleUnits[cv_2026]) + SUMIF(tblAlibabaUnits[Products],$A26, tblAlibabaUnits[cv_2026]) + SUMIF(tblHuaweiUnits[Products],$A26, tblHuaweiUnits[cv_2026]) + SUMIF(tblTencentUnits[Products],$A26, tblTencentUnits[cv_2026]) + SUMIF(tblBaiduUnits[Products],$A26, tblBaiduUnits[cv_2026]) + SUMIF(tblByteDanceUnits[Products],$A26, tblByteDanceUnits[cv_2026]) + SUMIF(tblCloudAOUnits[Products],$A26, tblCloudAOUnits[cv_2026]) + SUMIF(tblTelecomUnits[Products],$A26, tblTelecomUnits[cv_2026]) + SUMIF(tblEnterpriseUnits[Products],$A26, tblEnterpriseUnits[cv_2026])</calculatedColumnFormula>
    </tableColumn>
    <tableColumn id="24" xr3:uid="{00000000-0010-0000-1000-000018000000}" name="un_2027" dataDxfId="52" totalsRowDxfId="51">
      <calculatedColumnFormula xml:space="preserve"> SUMIF(tblGoogleUnits[Products],$A26, tblGoogleUnits[cv_2027]) + SUMIF(tblMetaUnits[Products],$A26, tblMetaUnits[cv_2027]) + SUMIF(tblAmazonUnits[Products],$A26, tblAmazonUnits[cv_2027]) + SUMIF(tblMicrosoftUnits[Products],$A26, tblMicrosoftUnits[cv_2027]) + SUMIF(tblAppleUnits[Products],$A26, tblAppleUnits[cv_2027]) + SUMIF(tblAlibabaUnits[Products],$A26, tblAlibabaUnits[cv_2027]) + SUMIF(tblHuaweiUnits[Products],$A26, tblHuaweiUnits[cv_2027]) + SUMIF(tblTencentUnits[Products],$A26, tblTencentUnits[cv_2027]) + SUMIF(tblBaiduUnits[Products],$A26, tblBaiduUnits[cv_2027]) + SUMIF(tblByteDanceUnits[Products],$A26, tblByteDanceUnits[cv_2027]) + SUMIF(tblCloudAOUnits[Products],$A26, tblCloudAOUnits[cv_2027]) + SUMIF(tblTelecomUnits[Products],$A26, tblTelecomUnits[cv_2027]) + SUMIF(tblEnterpriseUnits[Products],$A26, tblEnterpriseUnits[cv_2027])</calculatedColumnFormula>
    </tableColumn>
    <tableColumn id="25" xr3:uid="{00000000-0010-0000-1000-000019000000}" name="un_2028" dataDxfId="50" totalsRowDxfId="49">
      <calculatedColumnFormula xml:space="preserve"> SUMIF(tblGoogleUnits[Products],$A26, tblGoogleUnits[cv_2028]) + SUMIF(tblMetaUnits[Products],$A26, tblMetaUnits[cv_2028]) + SUMIF(tblAmazonUnits[Products],$A26, tblAmazonUnits[cv_2028]) + SUMIF(tblMicrosoftUnits[Products],$A26, tblMicrosoftUnits[cv_2028]) + SUMIF(tblAppleUnits[Products],$A26, tblAppleUnits[cv_2028]) + SUMIF(tblAlibabaUnits[Products],$A26, tblAlibabaUnits[cv_2028]) + SUMIF(tblHuaweiUnits[Products],$A26, tblHuaweiUnits[cv_2028]) + SUMIF(tblTencentUnits[Products],$A26, tblTencentUnits[cv_2028]) + SUMIF(tblBaiduUnits[Products],$A26, tblBaiduUnits[cv_2028]) + SUMIF(tblByteDanceUnits[Products],$A26, tblByteDanceUnits[cv_2028]) + SUMIF(tblCloudAOUnits[Products],$A26, tblCloudAOUnits[cv_2028]) + SUMIF(tblTelecomUnits[Products],$A26, tblTelecomUnits[cv_2028]) + SUMIF(tblEnterpriseUnits[Products],$A26, tblEnterpriseUnits[cv_2028])</calculatedColumnFormula>
    </tableColumn>
    <tableColumn id="2" xr3:uid="{00000000-0010-0000-1000-000002000000}" name="pr_2018" dataDxfId="48" totalsRowDxfId="47" dataCellStyle="Currency">
      <calculatedColumnFormula array="1">INDEX(tblPrices[cv_2018], MATCH($A26,tblPrices[Products],0), 0)</calculatedColumnFormula>
    </tableColumn>
    <tableColumn id="3" xr3:uid="{00000000-0010-0000-1000-000003000000}" name="pr_2019" dataDxfId="46" totalsRowDxfId="45" dataCellStyle="Currency">
      <calculatedColumnFormula array="1">INDEX(tblPrices[cv_2018], MATCH($A26,tblPrices[Products],0), 0)</calculatedColumnFormula>
    </tableColumn>
    <tableColumn id="4" xr3:uid="{00000000-0010-0000-1000-000004000000}" name="pr_2020" dataDxfId="44" totalsRowDxfId="43" dataCellStyle="Currency">
      <calculatedColumnFormula array="1">INDEX(tblPrices[cv_2018], MATCH($A26,tblPrices[Products],0), 0)</calculatedColumnFormula>
    </tableColumn>
    <tableColumn id="5" xr3:uid="{00000000-0010-0000-1000-000005000000}" name="pr_2021" dataDxfId="42" totalsRowDxfId="41" dataCellStyle="Currency">
      <calculatedColumnFormula array="1">INDEX(tblPrices[cv_2018], MATCH($A26,tblPrices[Products],0), 0)</calculatedColumnFormula>
    </tableColumn>
    <tableColumn id="6" xr3:uid="{00000000-0010-0000-1000-000006000000}" name="pr_2022" dataDxfId="40" totalsRowDxfId="39" dataCellStyle="Currency">
      <calculatedColumnFormula array="1">INDEX(tblPrices[cv_2018], MATCH($A26,tblPrices[Products],0), 0)</calculatedColumnFormula>
    </tableColumn>
    <tableColumn id="7" xr3:uid="{00000000-0010-0000-1000-000007000000}" name="pr_2023" dataDxfId="38" totalsRowDxfId="37" dataCellStyle="Currency">
      <calculatedColumnFormula array="1">INDEX(tblPrices[cv_2018], MATCH($A26,tblPrices[Products],0), 0)</calculatedColumnFormula>
    </tableColumn>
    <tableColumn id="8" xr3:uid="{00000000-0010-0000-1000-000008000000}" name="pr_2024" dataDxfId="36" totalsRowDxfId="35" dataCellStyle="Currency">
      <calculatedColumnFormula array="1">INDEX(tblPrices[cv_2018], MATCH($A26,tblPrices[Products],0), 0)</calculatedColumnFormula>
    </tableColumn>
    <tableColumn id="9" xr3:uid="{00000000-0010-0000-1000-000009000000}" name="pr_2025" dataDxfId="34" totalsRowDxfId="33" dataCellStyle="Currency">
      <calculatedColumnFormula array="1">INDEX(tblPrices[cv_2018], MATCH($A26,tblPrices[Products],0), 0)</calculatedColumnFormula>
    </tableColumn>
    <tableColumn id="10" xr3:uid="{00000000-0010-0000-1000-00000A000000}" name="pr_2026" dataDxfId="32" totalsRowDxfId="31" dataCellStyle="Currency">
      <calculatedColumnFormula array="1">INDEX(tblPrices[cv_2018], MATCH($A26,tblPrices[Products],0), 0)</calculatedColumnFormula>
    </tableColumn>
    <tableColumn id="11" xr3:uid="{00000000-0010-0000-1000-00000B000000}" name="pr_2027" dataDxfId="30" totalsRowDxfId="29" dataCellStyle="Currency">
      <calculatedColumnFormula array="1">INDEX(tblPrices[cv_2018], MATCH($A26,tblPrices[Products],0), 0)</calculatedColumnFormula>
    </tableColumn>
    <tableColumn id="12" xr3:uid="{00000000-0010-0000-1000-00000C000000}" name="pr_2028" dataDxfId="28" totalsRowDxfId="27" dataCellStyle="Currency">
      <calculatedColumnFormula array="1">INDEX(tblPrices[cv_2018], MATCH($A26,tblPrices[Products],0), 0)</calculatedColumnFormula>
    </tableColumn>
    <tableColumn id="54" xr3:uid="{00000000-0010-0000-1000-000036000000}" name="sl_2018" dataDxfId="26" totalsRowDxfId="25" dataCellStyle="Currency">
      <calculatedColumnFormula array="1">INDEX(tblPrices[cv_2018], MATCH($A26,tblPrices[Products],0), 0)* tblForecast[[#This Row],[un_2018]]/10^6</calculatedColumnFormula>
    </tableColumn>
    <tableColumn id="55" xr3:uid="{00000000-0010-0000-1000-000037000000}" name="sl_2019" totalsRowFunction="custom" dataDxfId="24" totalsRowDxfId="23" dataCellStyle="Percent">
      <calculatedColumnFormula array="1">INDEX(tblPrices[cv_2019], MATCH($A26,tblPrices[Products],0), 0)* tblForecast[[#This Row],[un_2019]]/10^6</calculatedColumnFormula>
      <totalsRowFormula>Y147/X147-1</totalsRowFormula>
    </tableColumn>
    <tableColumn id="56" xr3:uid="{00000000-0010-0000-1000-000038000000}" name="sl_2020" totalsRowFunction="custom" dataDxfId="22" totalsRowDxfId="21" dataCellStyle="Percent">
      <calculatedColumnFormula array="1">INDEX(tblPrices[cv_2020], MATCH($A26,tblPrices[Products],0), 0)* tblForecast[[#This Row],[un_2020]]/10^6</calculatedColumnFormula>
      <totalsRowFormula>Z147/Y147-1</totalsRowFormula>
    </tableColumn>
    <tableColumn id="57" xr3:uid="{00000000-0010-0000-1000-000039000000}" name="sl_2021" totalsRowFunction="custom" dataDxfId="20" totalsRowDxfId="19" dataCellStyle="Percent">
      <calculatedColumnFormula array="1">INDEX(tblPrices[cv_2021], MATCH($A26,tblPrices[Products],0), 0)* tblForecast[[#This Row],[un_2021]]/10^6</calculatedColumnFormula>
      <totalsRowFormula>AA147/Z147-1</totalsRowFormula>
    </tableColumn>
    <tableColumn id="58" xr3:uid="{00000000-0010-0000-1000-00003A000000}" name="sl_2022" totalsRowFunction="custom" dataDxfId="18" totalsRowDxfId="17" dataCellStyle="Percent">
      <calculatedColumnFormula array="1">INDEX(tblPrices[cv_2022], MATCH($A26,tblPrices[Products],0), 0)* tblForecast[[#This Row],[un_2022]]/10^6</calculatedColumnFormula>
      <totalsRowFormula>AB147/AA147-1</totalsRowFormula>
    </tableColumn>
    <tableColumn id="59" xr3:uid="{00000000-0010-0000-1000-00003B000000}" name="sl_2023" totalsRowFunction="custom" dataDxfId="16" totalsRowDxfId="15" dataCellStyle="Percent">
      <calculatedColumnFormula array="1">INDEX(tblPrices[cv_2023], MATCH($A26,tblPrices[Products],0), 0)* tblForecast[[#This Row],[un_2023]]/10^6</calculatedColumnFormula>
      <totalsRowFormula>AC147/AB147-1</totalsRowFormula>
    </tableColumn>
    <tableColumn id="60" xr3:uid="{00000000-0010-0000-1000-00003C000000}" name="sl_2024" totalsRowFunction="custom" dataDxfId="14" totalsRowDxfId="13" dataCellStyle="Percent">
      <calculatedColumnFormula array="1">INDEX(tblPrices[cv_2024], MATCH($A26,tblPrices[Products],0), 0)* tblForecast[[#This Row],[un_2024]]/10^6</calculatedColumnFormula>
      <totalsRowFormula>AD147/AC147-1</totalsRowFormula>
    </tableColumn>
    <tableColumn id="61" xr3:uid="{00000000-0010-0000-1000-00003D000000}" name="sl_2025" totalsRowFunction="custom" dataDxfId="12" totalsRowDxfId="11" dataCellStyle="Percent">
      <calculatedColumnFormula array="1">INDEX(tblPrices[cv_2025], MATCH($A26,tblPrices[Products],0), 0)* tblForecast[[#This Row],[un_2025]]/10^6</calculatedColumnFormula>
      <totalsRowFormula>AE147/AD147-1</totalsRowFormula>
    </tableColumn>
    <tableColumn id="62" xr3:uid="{00000000-0010-0000-1000-00003E000000}" name="sl_2026" totalsRowFunction="custom" dataDxfId="10" totalsRowDxfId="9" dataCellStyle="Percent">
      <calculatedColumnFormula array="1">INDEX(tblPrices[cv_2026], MATCH($A26,tblPrices[Products],0), 0)* tblForecast[[#This Row],[un_2026]]/10^6</calculatedColumnFormula>
      <totalsRowFormula>AF147/AE147-1</totalsRowFormula>
    </tableColumn>
    <tableColumn id="63" xr3:uid="{00000000-0010-0000-1000-00003F000000}" name="sl_2027" totalsRowFunction="custom" dataDxfId="8" totalsRowDxfId="7" dataCellStyle="Percent">
      <calculatedColumnFormula array="1">INDEX(tblPrices[cv_2027], MATCH($A26,tblPrices[Products],0), 0)* tblForecast[[#This Row],[un_2027]]/10^6</calculatedColumnFormula>
      <totalsRowFormula>AG147/AF147-1</totalsRowFormula>
    </tableColumn>
    <tableColumn id="64" xr3:uid="{00000000-0010-0000-1000-000040000000}" name="sl_2028" totalsRowFunction="custom" dataDxfId="6" totalsRowDxfId="5" dataCellStyle="Percent">
      <calculatedColumnFormula array="1">INDEX(tblPrices[cv_2028], MATCH($A26,tblPrices[Products],0), 0)* tblForecast[[#This Row],[un_2028]]/10^6</calculatedColumnFormula>
      <totalsRowFormula>AH147/AG147-1</totalsRow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blGoogleUnits" displayName="tblGoogleUnits" ref="A40:W83" totalsRowShown="0" headerRowDxfId="450" dataDxfId="449">
  <autoFilter ref="A40:W83" xr:uid="{00000000-0009-0000-0100-000010000000}"/>
  <tableColumns count="23">
    <tableColumn id="1" xr3:uid="{00000000-0010-0000-0100-000001000000}" name="Products" dataDxfId="448"/>
    <tableColumn id="23" xr3:uid="{00000000-0010-0000-0100-000017000000}" name="cv_2018" dataDxfId="447"/>
    <tableColumn id="24" xr3:uid="{00000000-0010-0000-0100-000018000000}" name="cv_2019" dataDxfId="446"/>
    <tableColumn id="25" xr3:uid="{00000000-0010-0000-0100-000019000000}" name="cv_2020" dataDxfId="445"/>
    <tableColumn id="26" xr3:uid="{00000000-0010-0000-0100-00001A000000}" name="cv_2021" dataDxfId="444"/>
    <tableColumn id="27" xr3:uid="{00000000-0010-0000-0100-00001B000000}" name="cv_2022" dataDxfId="443"/>
    <tableColumn id="28" xr3:uid="{00000000-0010-0000-0100-00001C000000}" name="cv_2023" dataDxfId="442"/>
    <tableColumn id="29" xr3:uid="{00000000-0010-0000-0100-00001D000000}" name="cv_2024" dataDxfId="441"/>
    <tableColumn id="30" xr3:uid="{00000000-0010-0000-0100-00001E000000}" name="cv_2025" dataDxfId="440"/>
    <tableColumn id="31" xr3:uid="{00000000-0010-0000-0100-00001F000000}" name="cv_2026" dataDxfId="439"/>
    <tableColumn id="32" xr3:uid="{00000000-0010-0000-0100-000020000000}" name="cv_2027" dataDxfId="438"/>
    <tableColumn id="33" xr3:uid="{00000000-0010-0000-0100-000021000000}" name="cv_2028" dataDxfId="437"/>
    <tableColumn id="36" xr3:uid="{00000000-0010-0000-0100-000024000000}" name="sl_2018" dataDxfId="436" dataCellStyle="Currency">
      <calculatedColumnFormula array="1">INDEX(tblPrices[cv_2018], MATCH(tblGoogleUnits[[#This Row],[Products]],tblPrices[Products],0), 0) *tblGoogleUnits[[#This Row],[cv_2018]]/10^6</calculatedColumnFormula>
    </tableColumn>
    <tableColumn id="37" xr3:uid="{00000000-0010-0000-0100-000025000000}" name="sl_2019" dataDxfId="435" dataCellStyle="Currency">
      <calculatedColumnFormula array="1">INDEX(tblPrices[cv_2018], MATCH(tblGoogleUnits[[#This Row],[Products]],tblPrices[Products],0), 0)* tblGoogleUnits[[#This Row],[cv_2018]]/10^6</calculatedColumnFormula>
    </tableColumn>
    <tableColumn id="38" xr3:uid="{00000000-0010-0000-0100-000026000000}" name="sl_2020" dataDxfId="434" dataCellStyle="Currency">
      <calculatedColumnFormula array="1">INDEX(tblPrices[cv_2018], MATCH(tblGoogleUnits[[#This Row],[Products]],tblPrices[Products],0), 0)* tblGoogleUnits[[#This Row],[cv_2018]]/10^6</calculatedColumnFormula>
    </tableColumn>
    <tableColumn id="39" xr3:uid="{00000000-0010-0000-0100-000027000000}" name="sl_2021" dataDxfId="433" dataCellStyle="Currency">
      <calculatedColumnFormula array="1">INDEX(tblPrices[cv_2018], MATCH(tblGoogleUnits[[#This Row],[Products]],tblPrices[Products],0), 0)* tblGoogleUnits[[#This Row],[cv_2018]]/10^6</calculatedColumnFormula>
    </tableColumn>
    <tableColumn id="40" xr3:uid="{00000000-0010-0000-0100-000028000000}" name="sl_2022" dataDxfId="432" dataCellStyle="Currency">
      <calculatedColumnFormula array="1">INDEX(tblPrices[cv_2018], MATCH(tblGoogleUnits[[#This Row],[Products]],tblPrices[Products],0), 0)* tblGoogleUnits[[#This Row],[cv_2018]]/10^6</calculatedColumnFormula>
    </tableColumn>
    <tableColumn id="41" xr3:uid="{00000000-0010-0000-0100-000029000000}" name="sl_2023" dataDxfId="431" dataCellStyle="Currency">
      <calculatedColumnFormula array="1">INDEX(tblPrices[cv_2018], MATCH(tblGoogleUnits[[#This Row],[Products]],tblPrices[Products],0), 0)* tblGoogleUnits[[#This Row],[cv_2018]]/10^6</calculatedColumnFormula>
    </tableColumn>
    <tableColumn id="42" xr3:uid="{00000000-0010-0000-0100-00002A000000}" name="sl_2024" dataDxfId="430" dataCellStyle="Currency">
      <calculatedColumnFormula array="1">INDEX(tblPrices[cv_2018], MATCH(tblGoogleUnits[[#This Row],[Products]],tblPrices[Products],0), 0)* tblGoogleUnits[[#This Row],[cv_2018]]/10^6</calculatedColumnFormula>
    </tableColumn>
    <tableColumn id="43" xr3:uid="{00000000-0010-0000-0100-00002B000000}" name="sl_2025" dataDxfId="429" dataCellStyle="Currency">
      <calculatedColumnFormula array="1">INDEX(tblPrices[cv_2018], MATCH(tblGoogleUnits[[#This Row],[Products]],tblPrices[Products],0), 0)* tblGoogleUnits[[#This Row],[cv_2018]]/10^6</calculatedColumnFormula>
    </tableColumn>
    <tableColumn id="44" xr3:uid="{00000000-0010-0000-0100-00002C000000}" name="sl_2026" dataDxfId="428" dataCellStyle="Currency">
      <calculatedColumnFormula array="1">INDEX(tblPrices[cv_2018], MATCH(tblGoogleUnits[[#This Row],[Products]],tblPrices[Products],0), 0)* tblGoogleUnits[[#This Row],[cv_2018]]/10^6</calculatedColumnFormula>
    </tableColumn>
    <tableColumn id="45" xr3:uid="{00000000-0010-0000-0100-00002D000000}" name="sl_2027" dataDxfId="427" dataCellStyle="Currency">
      <calculatedColumnFormula array="1">INDEX(tblPrices[cv_2018], MATCH(tblGoogleUnits[[#This Row],[Products]],tblPrices[Products],0), 0)* tblGoogleUnits[[#This Row],[cv_2018]]/10^6</calculatedColumnFormula>
    </tableColumn>
    <tableColumn id="46" xr3:uid="{00000000-0010-0000-0100-00002E000000}" name="sl_2028" dataDxfId="426" dataCellStyle="Currency">
      <calculatedColumnFormula array="1">INDEX(tblPrices[cv_2018], MATCH(tblGoogleUnits[[#This Row],[Products]],tblPrices[Products],0), 0)* tblGoogleUnits[[#This Row],[cv_2018]]/10^6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blMetaUnits" displayName="tblMetaUnits" ref="A40:W76" totalsRowShown="0" headerRowDxfId="425" dataDxfId="424">
  <autoFilter ref="A40:W76" xr:uid="{00000000-0009-0000-0100-000011000000}"/>
  <tableColumns count="23">
    <tableColumn id="1" xr3:uid="{00000000-0010-0000-0200-000001000000}" name="Products" dataDxfId="423"/>
    <tableColumn id="23" xr3:uid="{00000000-0010-0000-0200-000017000000}" name="cv_2018" dataDxfId="422"/>
    <tableColumn id="24" xr3:uid="{00000000-0010-0000-0200-000018000000}" name="cv_2019" dataDxfId="421"/>
    <tableColumn id="25" xr3:uid="{00000000-0010-0000-0200-000019000000}" name="cv_2020" dataDxfId="420"/>
    <tableColumn id="26" xr3:uid="{00000000-0010-0000-0200-00001A000000}" name="cv_2021" dataDxfId="419"/>
    <tableColumn id="27" xr3:uid="{00000000-0010-0000-0200-00001B000000}" name="cv_2022" dataDxfId="418"/>
    <tableColumn id="28" xr3:uid="{00000000-0010-0000-0200-00001C000000}" name="cv_2023" dataDxfId="417"/>
    <tableColumn id="29" xr3:uid="{00000000-0010-0000-0200-00001D000000}" name="cv_2024" dataDxfId="416"/>
    <tableColumn id="30" xr3:uid="{00000000-0010-0000-0200-00001E000000}" name="cv_2025" dataDxfId="415"/>
    <tableColumn id="31" xr3:uid="{00000000-0010-0000-0200-00001F000000}" name="cv_2026" dataDxfId="414"/>
    <tableColumn id="32" xr3:uid="{00000000-0010-0000-0200-000020000000}" name="cv_2027" dataDxfId="413"/>
    <tableColumn id="33" xr3:uid="{00000000-0010-0000-0200-000021000000}" name="cv_2028" dataDxfId="412"/>
    <tableColumn id="36" xr3:uid="{00000000-0010-0000-0200-000024000000}" name="sl_2018" dataDxfId="411" dataCellStyle="Currency">
      <calculatedColumnFormula array="1">INDEX(tblPrices[cv_2018], MATCH(tblMetaUnits[[#This Row],[Products]],tblPrices[Products],0), 0)* tblMetaUnits[[#This Row],[cv_2018]]/10^6</calculatedColumnFormula>
    </tableColumn>
    <tableColumn id="37" xr3:uid="{00000000-0010-0000-0200-000025000000}" name="sl_2019" dataDxfId="410" dataCellStyle="Currency">
      <calculatedColumnFormula array="1">INDEX(tblPrices[cv_2018], MATCH(tblMetaUnits[[#This Row],[Products]],tblPrices[Products],0), 0)* tblMetaUnits[[#This Row],[cv_2018]]/10^6</calculatedColumnFormula>
    </tableColumn>
    <tableColumn id="38" xr3:uid="{00000000-0010-0000-0200-000026000000}" name="sl_2020" dataDxfId="409" dataCellStyle="Currency">
      <calculatedColumnFormula array="1">INDEX(tblPrices[cv_2018], MATCH(tblMetaUnits[[#This Row],[Products]],tblPrices[Products],0), 0)* tblMetaUnits[[#This Row],[cv_2018]]/10^6</calculatedColumnFormula>
    </tableColumn>
    <tableColumn id="39" xr3:uid="{00000000-0010-0000-0200-000027000000}" name="sl_2021" dataDxfId="408" dataCellStyle="Currency">
      <calculatedColumnFormula array="1">INDEX(tblPrices[cv_2018], MATCH(tblMetaUnits[[#This Row],[Products]],tblPrices[Products],0), 0)* tblMetaUnits[[#This Row],[cv_2018]]/10^6</calculatedColumnFormula>
    </tableColumn>
    <tableColumn id="40" xr3:uid="{00000000-0010-0000-0200-000028000000}" name="sl_2022" dataDxfId="407" dataCellStyle="Currency">
      <calculatedColumnFormula array="1">INDEX(tblPrices[cv_2018], MATCH(tblMetaUnits[[#This Row],[Products]],tblPrices[Products],0), 0)* tblMetaUnits[[#This Row],[cv_2018]]/10^6</calculatedColumnFormula>
    </tableColumn>
    <tableColumn id="41" xr3:uid="{00000000-0010-0000-0200-000029000000}" name="sl_2023" dataDxfId="406" dataCellStyle="Currency">
      <calculatedColumnFormula array="1">INDEX(tblPrices[cv_2018], MATCH(tblMetaUnits[[#This Row],[Products]],tblPrices[Products],0), 0)* tblMetaUnits[[#This Row],[cv_2018]]/10^6</calculatedColumnFormula>
    </tableColumn>
    <tableColumn id="42" xr3:uid="{00000000-0010-0000-0200-00002A000000}" name="sl_2024" dataDxfId="405" dataCellStyle="Currency">
      <calculatedColumnFormula array="1">INDEX(tblPrices[cv_2018], MATCH(tblMetaUnits[[#This Row],[Products]],tblPrices[Products],0), 0)* tblMetaUnits[[#This Row],[cv_2018]]/10^6</calculatedColumnFormula>
    </tableColumn>
    <tableColumn id="43" xr3:uid="{00000000-0010-0000-0200-00002B000000}" name="sl_2025" dataDxfId="404" dataCellStyle="Currency">
      <calculatedColumnFormula array="1">INDEX(tblPrices[cv_2018], MATCH(tblMetaUnits[[#This Row],[Products]],tblPrices[Products],0), 0)* tblMetaUnits[[#This Row],[cv_2018]]/10^6</calculatedColumnFormula>
    </tableColumn>
    <tableColumn id="44" xr3:uid="{00000000-0010-0000-0200-00002C000000}" name="sl_2026" dataDxfId="403" dataCellStyle="Currency">
      <calculatedColumnFormula array="1">INDEX(tblPrices[cv_2018], MATCH(tblMetaUnits[[#This Row],[Products]],tblPrices[Products],0), 0)* tblMetaUnits[[#This Row],[cv_2018]]/10^6</calculatedColumnFormula>
    </tableColumn>
    <tableColumn id="45" xr3:uid="{00000000-0010-0000-0200-00002D000000}" name="sl_2027" dataDxfId="402" dataCellStyle="Currency">
      <calculatedColumnFormula array="1">INDEX(tblPrices[cv_2018], MATCH(tblMetaUnits[[#This Row],[Products]],tblPrices[Products],0), 0)* tblMetaUnits[[#This Row],[cv_2018]]/10^6</calculatedColumnFormula>
    </tableColumn>
    <tableColumn id="46" xr3:uid="{00000000-0010-0000-0200-00002E000000}" name="sl_2028" dataDxfId="401" dataCellStyle="Currency">
      <calculatedColumnFormula array="1">INDEX(tblPrices[cv_2018], MATCH(tblMetaUnits[[#This Row],[Products]],tblPrices[Products],0), 0)* tblMetaUnits[[#This Row],[cv_2018]]/10^6</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3000000}" name="tblAmazonUnits" displayName="tblAmazonUnits" ref="A40:W82" totalsRowShown="0" headerRowDxfId="400" dataDxfId="399">
  <autoFilter ref="A40:W82" xr:uid="{00000000-0009-0000-0100-000012000000}"/>
  <tableColumns count="23">
    <tableColumn id="1" xr3:uid="{00000000-0010-0000-0300-000001000000}" name="Products" dataDxfId="398"/>
    <tableColumn id="23" xr3:uid="{00000000-0010-0000-0300-000017000000}" name="cv_2018" dataDxfId="397"/>
    <tableColumn id="24" xr3:uid="{00000000-0010-0000-0300-000018000000}" name="cv_2019" dataDxfId="396"/>
    <tableColumn id="25" xr3:uid="{00000000-0010-0000-0300-000019000000}" name="cv_2020" dataDxfId="395"/>
    <tableColumn id="26" xr3:uid="{00000000-0010-0000-0300-00001A000000}" name="cv_2021" dataDxfId="394"/>
    <tableColumn id="27" xr3:uid="{00000000-0010-0000-0300-00001B000000}" name="cv_2022" dataDxfId="393"/>
    <tableColumn id="28" xr3:uid="{00000000-0010-0000-0300-00001C000000}" name="cv_2023" dataDxfId="392"/>
    <tableColumn id="29" xr3:uid="{00000000-0010-0000-0300-00001D000000}" name="cv_2024" dataDxfId="391"/>
    <tableColumn id="30" xr3:uid="{00000000-0010-0000-0300-00001E000000}" name="cv_2025" dataDxfId="390"/>
    <tableColumn id="31" xr3:uid="{00000000-0010-0000-0300-00001F000000}" name="cv_2026" dataDxfId="389"/>
    <tableColumn id="32" xr3:uid="{00000000-0010-0000-0300-000020000000}" name="cv_2027" dataDxfId="388"/>
    <tableColumn id="33" xr3:uid="{00000000-0010-0000-0300-000021000000}" name="cv_2028" dataDxfId="387"/>
    <tableColumn id="36" xr3:uid="{00000000-0010-0000-0300-000024000000}" name="sl_2018" dataDxfId="386" dataCellStyle="Currency">
      <calculatedColumnFormula array="1">INDEX(tblPrices[cv_2018], MATCH(tblMetaUnits[[#This Row],[Products]],tblPrices[Products],0), 0)* tblMetaUnits[[#This Row],[cv_2018]]/10^6</calculatedColumnFormula>
    </tableColumn>
    <tableColumn id="37" xr3:uid="{00000000-0010-0000-0300-000025000000}" name="sl_2019" dataDxfId="385" dataCellStyle="Currency">
      <calculatedColumnFormula array="1">INDEX(tblPrices[cv_2019], MATCH(tblMetaUnits[[#This Row],[Products]],tblPrices[Products],0), 0)* tblMetaUnits[[#This Row],[cv_2019]]/10^6</calculatedColumnFormula>
    </tableColumn>
    <tableColumn id="38" xr3:uid="{00000000-0010-0000-0300-000026000000}" name="sl_2020" dataDxfId="384" dataCellStyle="Currency">
      <calculatedColumnFormula array="1">INDEX(tblPrices[cv_2020], MATCH(tblMetaUnits[[#This Row],[Products]],tblPrices[Products],0), 0)* tblMetaUnits[[#This Row],[cv_2020]]/10^6</calculatedColumnFormula>
    </tableColumn>
    <tableColumn id="39" xr3:uid="{00000000-0010-0000-0300-000027000000}" name="sl_2021" dataDxfId="383" dataCellStyle="Currency">
      <calculatedColumnFormula array="1">INDEX(tblPrices[cv_2021], MATCH(tblMetaUnits[[#This Row],[Products]],tblPrices[Products],0), 0)* tblMetaUnits[[#This Row],[cv_2021]]/10^6</calculatedColumnFormula>
    </tableColumn>
    <tableColumn id="40" xr3:uid="{00000000-0010-0000-0300-000028000000}" name="sl_2022" dataDxfId="382" dataCellStyle="Currency">
      <calculatedColumnFormula array="1">INDEX(tblPrices[cv_2022], MATCH(tblMetaUnits[[#This Row],[Products]],tblPrices[Products],0), 0)* tblMetaUnits[[#This Row],[cv_2022]]/10^6</calculatedColumnFormula>
    </tableColumn>
    <tableColumn id="41" xr3:uid="{00000000-0010-0000-0300-000029000000}" name="sl_2023" dataDxfId="381" dataCellStyle="Currency">
      <calculatedColumnFormula array="1">INDEX(tblPrices[cv_2023], MATCH(tblMetaUnits[[#This Row],[Products]],tblPrices[Products],0), 0)* tblMetaUnits[[#This Row],[cv_2023]]/10^6</calculatedColumnFormula>
    </tableColumn>
    <tableColumn id="42" xr3:uid="{00000000-0010-0000-0300-00002A000000}" name="sl_2024" dataDxfId="380" dataCellStyle="Currency">
      <calculatedColumnFormula array="1">INDEX(tblPrices[cv_2024], MATCH(tblMetaUnits[[#This Row],[Products]],tblPrices[Products],0), 0)* tblMetaUnits[[#This Row],[cv_2024]]/10^6</calculatedColumnFormula>
    </tableColumn>
    <tableColumn id="43" xr3:uid="{00000000-0010-0000-0300-00002B000000}" name="sl_2025" dataDxfId="379" dataCellStyle="Currency">
      <calculatedColumnFormula array="1">INDEX(tblPrices[cv_2025], MATCH(tblMetaUnits[[#This Row],[Products]],tblPrices[Products],0), 0)* tblMetaUnits[[#This Row],[cv_2025]]/10^6</calculatedColumnFormula>
    </tableColumn>
    <tableColumn id="44" xr3:uid="{00000000-0010-0000-0300-00002C000000}" name="sl_2026" dataDxfId="378" dataCellStyle="Currency">
      <calculatedColumnFormula array="1">INDEX(tblPrices[cv_2026], MATCH(tblMetaUnits[[#This Row],[Products]],tblPrices[Products],0), 0)* tblMetaUnits[[#This Row],[cv_2026]]/10^6</calculatedColumnFormula>
    </tableColumn>
    <tableColumn id="45" xr3:uid="{00000000-0010-0000-0300-00002D000000}" name="sl_2027" dataDxfId="377" dataCellStyle="Currency">
      <calculatedColumnFormula array="1">INDEX(tblPrices[cv_2027], MATCH(tblMetaUnits[[#This Row],[Products]],tblPrices[Products],0), 0)* tblMetaUnits[[#This Row],[cv_2027]]/10^6</calculatedColumnFormula>
    </tableColumn>
    <tableColumn id="46" xr3:uid="{00000000-0010-0000-0300-00002E000000}" name="sl_2028" dataDxfId="376" dataCellStyle="Currency">
      <calculatedColumnFormula array="1">INDEX(tblPrices[cv_2028], MATCH(tblMetaUnits[[#This Row],[Products]],tblPrices[Products],0), 0)* tblMetaUnits[[#This Row],[cv_2028]]/10^6</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4000000}" name="tblMicrosoftUnits" displayName="tblMicrosoftUnits" ref="A40:W69" totalsRowShown="0" headerRowDxfId="375" dataDxfId="374">
  <autoFilter ref="A40:W69" xr:uid="{00000000-0009-0000-0100-000013000000}"/>
  <tableColumns count="23">
    <tableColumn id="1" xr3:uid="{00000000-0010-0000-0400-000001000000}" name="Products" dataDxfId="373"/>
    <tableColumn id="23" xr3:uid="{00000000-0010-0000-0400-000017000000}" name="cv_2018" dataDxfId="372"/>
    <tableColumn id="24" xr3:uid="{00000000-0010-0000-0400-000018000000}" name="cv_2019" dataDxfId="371"/>
    <tableColumn id="25" xr3:uid="{00000000-0010-0000-0400-000019000000}" name="cv_2020" dataDxfId="370"/>
    <tableColumn id="26" xr3:uid="{00000000-0010-0000-0400-00001A000000}" name="cv_2021" dataDxfId="369"/>
    <tableColumn id="27" xr3:uid="{00000000-0010-0000-0400-00001B000000}" name="cv_2022" dataDxfId="368"/>
    <tableColumn id="28" xr3:uid="{00000000-0010-0000-0400-00001C000000}" name="cv_2023" dataDxfId="367"/>
    <tableColumn id="29" xr3:uid="{00000000-0010-0000-0400-00001D000000}" name="cv_2024" dataDxfId="366"/>
    <tableColumn id="30" xr3:uid="{00000000-0010-0000-0400-00001E000000}" name="cv_2025" dataDxfId="365"/>
    <tableColumn id="31" xr3:uid="{00000000-0010-0000-0400-00001F000000}" name="cv_2026" dataDxfId="364"/>
    <tableColumn id="32" xr3:uid="{00000000-0010-0000-0400-000020000000}" name="cv_2027" dataDxfId="363"/>
    <tableColumn id="33" xr3:uid="{00000000-0010-0000-0400-000021000000}" name="cv_2028" dataDxfId="362"/>
    <tableColumn id="36" xr3:uid="{00000000-0010-0000-0400-000024000000}" name="sl_2018" dataDxfId="361" dataCellStyle="Currency">
      <calculatedColumnFormula array="1">INDEX(tblPrices[cv_2018], MATCH(tblAmazonUnits[[#This Row],[Products]],tblPrices[Products],0), 0)* tblAmazonUnits[[#This Row],[cv_2018]]/10^6</calculatedColumnFormula>
    </tableColumn>
    <tableColumn id="37" xr3:uid="{00000000-0010-0000-0400-000025000000}" name="sl_2019" dataDxfId="360" dataCellStyle="Currency">
      <calculatedColumnFormula array="1">INDEX(tblPrices[cv_2019], MATCH(tblAmazonUnits[[#This Row],[Products]],tblPrices[Products],0), 0)* tblAmazonUnits[[#This Row],[cv_2019]]/10^6</calculatedColumnFormula>
    </tableColumn>
    <tableColumn id="38" xr3:uid="{00000000-0010-0000-0400-000026000000}" name="sl_2020" dataDxfId="359" dataCellStyle="Currency">
      <calculatedColumnFormula array="1">INDEX(tblPrices[cv_2020], MATCH(tblAmazonUnits[[#This Row],[Products]],tblPrices[Products],0), 0)* tblAmazonUnits[[#This Row],[cv_2020]]/10^6</calculatedColumnFormula>
    </tableColumn>
    <tableColumn id="39" xr3:uid="{00000000-0010-0000-0400-000027000000}" name="sl_2021" dataDxfId="358" dataCellStyle="Currency">
      <calculatedColumnFormula array="1">INDEX(tblPrices[cv_2021], MATCH(tblAmazonUnits[[#This Row],[Products]],tblPrices[Products],0), 0)* tblAmazonUnits[[#This Row],[cv_2021]]/10^6</calculatedColumnFormula>
    </tableColumn>
    <tableColumn id="40" xr3:uid="{00000000-0010-0000-0400-000028000000}" name="sl_2022" dataDxfId="357" dataCellStyle="Currency">
      <calculatedColumnFormula array="1">INDEX(tblPrices[cv_2022], MATCH(tblAmazonUnits[[#This Row],[Products]],tblPrices[Products],0), 0)* tblAmazonUnits[[#This Row],[cv_2022]]/10^6</calculatedColumnFormula>
    </tableColumn>
    <tableColumn id="41" xr3:uid="{00000000-0010-0000-0400-000029000000}" name="sl_2023" dataDxfId="356" dataCellStyle="Currency">
      <calculatedColumnFormula array="1">INDEX(tblPrices[cv_2023], MATCH(tblAmazonUnits[[#This Row],[Products]],tblPrices[Products],0), 0)* tblAmazonUnits[[#This Row],[cv_2023]]/10^6</calculatedColumnFormula>
    </tableColumn>
    <tableColumn id="42" xr3:uid="{00000000-0010-0000-0400-00002A000000}" name="sl_2024" dataDxfId="355" dataCellStyle="Currency">
      <calculatedColumnFormula array="1">INDEX(tblPrices[cv_2024], MATCH(tblAmazonUnits[[#This Row],[Products]],tblPrices[Products],0), 0)* tblAmazonUnits[[#This Row],[cv_2024]]/10^6</calculatedColumnFormula>
    </tableColumn>
    <tableColumn id="43" xr3:uid="{00000000-0010-0000-0400-00002B000000}" name="sl_2025" dataDxfId="354" dataCellStyle="Currency">
      <calculatedColumnFormula array="1">INDEX(tblPrices[cv_2025], MATCH(tblAmazonUnits[[#This Row],[Products]],tblPrices[Products],0), 0)* tblAmazonUnits[[#This Row],[cv_2025]]/10^6</calculatedColumnFormula>
    </tableColumn>
    <tableColumn id="44" xr3:uid="{00000000-0010-0000-0400-00002C000000}" name="sl_2026" dataDxfId="353" dataCellStyle="Currency">
      <calculatedColumnFormula array="1">INDEX(tblPrices[cv_2026], MATCH(tblAmazonUnits[[#This Row],[Products]],tblPrices[Products],0), 0)* tblAmazonUnits[[#This Row],[cv_2026]]/10^6</calculatedColumnFormula>
    </tableColumn>
    <tableColumn id="45" xr3:uid="{00000000-0010-0000-0400-00002D000000}" name="sl_2027" dataDxfId="352" dataCellStyle="Currency">
      <calculatedColumnFormula array="1">INDEX(tblPrices[cv_2027], MATCH(tblAmazonUnits[[#This Row],[Products]],tblPrices[Products],0), 0)* tblAmazonUnits[[#This Row],[cv_2027]]/10^6</calculatedColumnFormula>
    </tableColumn>
    <tableColumn id="46" xr3:uid="{00000000-0010-0000-0400-00002E000000}" name="sl_2028" dataDxfId="351" dataCellStyle="Currency">
      <calculatedColumnFormula array="1">INDEX(tblPrices[cv_2028], MATCH(tblAmazonUnits[[#This Row],[Products]],tblPrices[Products],0), 0)* tblAmazonUnits[[#This Row],[cv_2028]]/10^6</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5000000}" name="tblAppleUnits" displayName="tblAppleUnits" ref="A40:W70" totalsRowShown="0" headerRowDxfId="350" dataDxfId="349">
  <autoFilter ref="A40:W70" xr:uid="{00000000-0009-0000-0100-000014000000}"/>
  <tableColumns count="23">
    <tableColumn id="1" xr3:uid="{00000000-0010-0000-0500-000001000000}" name="Products" dataDxfId="348"/>
    <tableColumn id="23" xr3:uid="{00000000-0010-0000-0500-000017000000}" name="cv_2018" dataDxfId="347"/>
    <tableColumn id="24" xr3:uid="{00000000-0010-0000-0500-000018000000}" name="cv_2019" dataDxfId="346"/>
    <tableColumn id="25" xr3:uid="{00000000-0010-0000-0500-000019000000}" name="cv_2020" dataDxfId="345"/>
    <tableColumn id="26" xr3:uid="{00000000-0010-0000-0500-00001A000000}" name="cv_2021" dataDxfId="344"/>
    <tableColumn id="27" xr3:uid="{00000000-0010-0000-0500-00001B000000}" name="cv_2022" dataDxfId="343"/>
    <tableColumn id="28" xr3:uid="{00000000-0010-0000-0500-00001C000000}" name="cv_2023" dataDxfId="342"/>
    <tableColumn id="29" xr3:uid="{00000000-0010-0000-0500-00001D000000}" name="cv_2024" dataDxfId="341"/>
    <tableColumn id="30" xr3:uid="{00000000-0010-0000-0500-00001E000000}" name="cv_2025" dataDxfId="340"/>
    <tableColumn id="31" xr3:uid="{00000000-0010-0000-0500-00001F000000}" name="cv_2026" dataDxfId="339"/>
    <tableColumn id="32" xr3:uid="{00000000-0010-0000-0500-000020000000}" name="cv_2027" dataDxfId="338"/>
    <tableColumn id="33" xr3:uid="{00000000-0010-0000-0500-000021000000}" name="cv_2028" dataDxfId="337"/>
    <tableColumn id="36" xr3:uid="{00000000-0010-0000-0500-000024000000}" name="sl_2018" dataDxfId="336" dataCellStyle="Currency">
      <calculatedColumnFormula array="1">INDEX(tblPrices[cv_2018], MATCH(tblMicrosoftUnits[[#This Row],[Products]],tblPrices[Products],0), 0)* tblMicrosoftUnits[[#This Row],[cv_2018]]/10^6</calculatedColumnFormula>
    </tableColumn>
    <tableColumn id="37" xr3:uid="{00000000-0010-0000-0500-000025000000}" name="sl_2019" dataDxfId="335" dataCellStyle="Currency">
      <calculatedColumnFormula array="1">INDEX(tblPrices[cv_2019], MATCH(tblMicrosoftUnits[[#This Row],[Products]],tblPrices[Products],0), 0)* tblMicrosoftUnits[[#This Row],[cv_2019]]/10^6</calculatedColumnFormula>
    </tableColumn>
    <tableColumn id="38" xr3:uid="{00000000-0010-0000-0500-000026000000}" name="sl_2020" dataDxfId="334" dataCellStyle="Currency">
      <calculatedColumnFormula array="1">INDEX(tblPrices[cv_2020], MATCH(tblMicrosoftUnits[[#This Row],[Products]],tblPrices[Products],0), 0)* tblMicrosoftUnits[[#This Row],[cv_2020]]/10^6</calculatedColumnFormula>
    </tableColumn>
    <tableColumn id="39" xr3:uid="{00000000-0010-0000-0500-000027000000}" name="sl_2021" dataDxfId="333" dataCellStyle="Currency">
      <calculatedColumnFormula array="1">INDEX(tblPrices[cv_2021], MATCH(tblMicrosoftUnits[[#This Row],[Products]],tblPrices[Products],0), 0)* tblMicrosoftUnits[[#This Row],[cv_2021]]/10^6</calculatedColumnFormula>
    </tableColumn>
    <tableColumn id="40" xr3:uid="{00000000-0010-0000-0500-000028000000}" name="sl_2022" dataDxfId="332" dataCellStyle="Currency">
      <calculatedColumnFormula array="1">INDEX(tblPrices[cv_2022], MATCH(tblMicrosoftUnits[[#This Row],[Products]],tblPrices[Products],0), 0)* tblMicrosoftUnits[[#This Row],[cv_2022]]/10^6</calculatedColumnFormula>
    </tableColumn>
    <tableColumn id="41" xr3:uid="{00000000-0010-0000-0500-000029000000}" name="sl_2023" dataDxfId="331" dataCellStyle="Currency">
      <calculatedColumnFormula array="1">INDEX(tblPrices[cv_2023], MATCH(tblMicrosoftUnits[[#This Row],[Products]],tblPrices[Products],0), 0)* tblMicrosoftUnits[[#This Row],[cv_2023]]/10^6</calculatedColumnFormula>
    </tableColumn>
    <tableColumn id="42" xr3:uid="{00000000-0010-0000-0500-00002A000000}" name="sl_2024" dataDxfId="330" dataCellStyle="Currency">
      <calculatedColumnFormula array="1">INDEX(tblPrices[cv_2024], MATCH(tblMicrosoftUnits[[#This Row],[Products]],tblPrices[Products],0), 0)* tblMicrosoftUnits[[#This Row],[cv_2024]]/10^6</calculatedColumnFormula>
    </tableColumn>
    <tableColumn id="43" xr3:uid="{00000000-0010-0000-0500-00002B000000}" name="sl_2025" dataDxfId="329" dataCellStyle="Currency">
      <calculatedColumnFormula array="1">INDEX(tblPrices[cv_2025], MATCH(tblMicrosoftUnits[[#This Row],[Products]],tblPrices[Products],0), 0)* tblMicrosoftUnits[[#This Row],[cv_2025]]/10^6</calculatedColumnFormula>
    </tableColumn>
    <tableColumn id="44" xr3:uid="{00000000-0010-0000-0500-00002C000000}" name="sl_2026" dataDxfId="328" dataCellStyle="Currency">
      <calculatedColumnFormula array="1">INDEX(tblPrices[cv_2026], MATCH(tblMicrosoftUnits[[#This Row],[Products]],tblPrices[Products],0), 0)* tblMicrosoftUnits[[#This Row],[cv_2026]]/10^6</calculatedColumnFormula>
    </tableColumn>
    <tableColumn id="45" xr3:uid="{00000000-0010-0000-0500-00002D000000}" name="sl_2027" dataDxfId="327" dataCellStyle="Currency">
      <calculatedColumnFormula array="1">INDEX(tblPrices[cv_2027], MATCH(tblMicrosoftUnits[[#This Row],[Products]],tblPrices[Products],0), 0)* tblMicrosoftUnits[[#This Row],[cv_2027]]/10^6</calculatedColumnFormula>
    </tableColumn>
    <tableColumn id="46" xr3:uid="{00000000-0010-0000-0500-00002E000000}" name="sl_2028" dataDxfId="326" dataCellStyle="Currency">
      <calculatedColumnFormula array="1">INDEX(tblPrices[cv_2028], MATCH(tblMicrosoftUnits[[#This Row],[Products]],tblPrices[Products],0), 0)* tblMicrosoftUnits[[#This Row],[cv_2028]]/10^6</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blAlibabaUnits" displayName="tblAlibabaUnits" ref="A40:W89" totalsRowShown="0" headerRowDxfId="325" dataDxfId="324">
  <autoFilter ref="A40:W89" xr:uid="{00000000-0009-0000-0100-000002000000}"/>
  <tableColumns count="23">
    <tableColumn id="1" xr3:uid="{00000000-0010-0000-0600-000001000000}" name="Products" dataDxfId="323"/>
    <tableColumn id="23" xr3:uid="{00000000-0010-0000-0600-000017000000}" name="cv_2018" dataDxfId="322"/>
    <tableColumn id="24" xr3:uid="{00000000-0010-0000-0600-000018000000}" name="cv_2019" dataDxfId="321"/>
    <tableColumn id="25" xr3:uid="{00000000-0010-0000-0600-000019000000}" name="cv_2020" dataDxfId="320"/>
    <tableColumn id="26" xr3:uid="{00000000-0010-0000-0600-00001A000000}" name="cv_2021" dataDxfId="319"/>
    <tableColumn id="27" xr3:uid="{00000000-0010-0000-0600-00001B000000}" name="cv_2022" dataDxfId="318"/>
    <tableColumn id="28" xr3:uid="{00000000-0010-0000-0600-00001C000000}" name="cv_2023" dataDxfId="317"/>
    <tableColumn id="29" xr3:uid="{00000000-0010-0000-0600-00001D000000}" name="cv_2024" dataDxfId="316"/>
    <tableColumn id="30" xr3:uid="{00000000-0010-0000-0600-00001E000000}" name="cv_2025" dataDxfId="315"/>
    <tableColumn id="31" xr3:uid="{00000000-0010-0000-0600-00001F000000}" name="cv_2026" dataDxfId="314"/>
    <tableColumn id="32" xr3:uid="{00000000-0010-0000-0600-000020000000}" name="cv_2027" dataDxfId="313"/>
    <tableColumn id="33" xr3:uid="{00000000-0010-0000-0600-000021000000}" name="cv_2028" dataDxfId="312"/>
    <tableColumn id="36" xr3:uid="{00000000-0010-0000-0600-000024000000}" name="sl_2018" dataDxfId="311" dataCellStyle="Currency">
      <calculatedColumnFormula array="1">INDEX(tblPrices[cv_2018], MATCH(tblAppleUnits[[#This Row],[Products]],tblPrices[Products],0), 0)* tblAppleUnits[[#This Row],[cv_2018]]/10^6</calculatedColumnFormula>
    </tableColumn>
    <tableColumn id="37" xr3:uid="{00000000-0010-0000-0600-000025000000}" name="sl_2019" dataDxfId="310" dataCellStyle="Currency">
      <calculatedColumnFormula array="1">INDEX(tblPrices[cv_2019], MATCH(tblAppleUnits[[#This Row],[Products]],tblPrices[Products],0), 0)* tblAppleUnits[[#This Row],[cv_2019]]/10^6</calculatedColumnFormula>
    </tableColumn>
    <tableColumn id="38" xr3:uid="{00000000-0010-0000-0600-000026000000}" name="sl_2020" dataDxfId="309" dataCellStyle="Currency">
      <calculatedColumnFormula array="1">INDEX(tblPrices[cv_2020], MATCH(tblAppleUnits[[#This Row],[Products]],tblPrices[Products],0), 0)* tblAppleUnits[[#This Row],[cv_2020]]/10^6</calculatedColumnFormula>
    </tableColumn>
    <tableColumn id="39" xr3:uid="{00000000-0010-0000-0600-000027000000}" name="sl_2021" dataDxfId="308" dataCellStyle="Currency">
      <calculatedColumnFormula array="1">INDEX(tblPrices[cv_2021], MATCH(tblAppleUnits[[#This Row],[Products]],tblPrices[Products],0), 0)* tblAppleUnits[[#This Row],[cv_2021]]/10^6</calculatedColumnFormula>
    </tableColumn>
    <tableColumn id="40" xr3:uid="{00000000-0010-0000-0600-000028000000}" name="sl_2022" dataDxfId="307" dataCellStyle="Currency">
      <calculatedColumnFormula array="1">INDEX(tblPrices[cv_2022], MATCH(tblAppleUnits[[#This Row],[Products]],tblPrices[Products],0), 0)* tblAppleUnits[[#This Row],[cv_2022]]/10^6</calculatedColumnFormula>
    </tableColumn>
    <tableColumn id="41" xr3:uid="{00000000-0010-0000-0600-000029000000}" name="sl_2023" dataDxfId="306" dataCellStyle="Currency">
      <calculatedColumnFormula array="1">INDEX(tblPrices[cv_2023], MATCH(tblAppleUnits[[#This Row],[Products]],tblPrices[Products],0), 0)* tblAppleUnits[[#This Row],[cv_2023]]/10^6</calculatedColumnFormula>
    </tableColumn>
    <tableColumn id="42" xr3:uid="{00000000-0010-0000-0600-00002A000000}" name="sl_2024" dataDxfId="305" dataCellStyle="Currency">
      <calculatedColumnFormula array="1">INDEX(tblPrices[cv_2024], MATCH(tblAppleUnits[[#This Row],[Products]],tblPrices[Products],0), 0)* tblAppleUnits[[#This Row],[cv_2024]]/10^6</calculatedColumnFormula>
    </tableColumn>
    <tableColumn id="43" xr3:uid="{00000000-0010-0000-0600-00002B000000}" name="sl_2025" dataDxfId="304" dataCellStyle="Currency">
      <calculatedColumnFormula array="1">INDEX(tblPrices[cv_2025], MATCH(tblAppleUnits[[#This Row],[Products]],tblPrices[Products],0), 0)* tblAppleUnits[[#This Row],[cv_2025]]/10^6</calculatedColumnFormula>
    </tableColumn>
    <tableColumn id="44" xr3:uid="{00000000-0010-0000-0600-00002C000000}" name="sl_2026" dataDxfId="303" dataCellStyle="Currency">
      <calculatedColumnFormula array="1">INDEX(tblPrices[cv_2026], MATCH(tblAppleUnits[[#This Row],[Products]],tblPrices[Products],0), 0)* tblAppleUnits[[#This Row],[cv_2026]]/10^6</calculatedColumnFormula>
    </tableColumn>
    <tableColumn id="45" xr3:uid="{00000000-0010-0000-0600-00002D000000}" name="sl_2027" dataDxfId="302" dataCellStyle="Currency">
      <calculatedColumnFormula array="1">INDEX(tblPrices[cv_2027], MATCH(tblAppleUnits[[#This Row],[Products]],tblPrices[Products],0), 0)* tblAppleUnits[[#This Row],[cv_2027]]/10^6</calculatedColumnFormula>
    </tableColumn>
    <tableColumn id="46" xr3:uid="{00000000-0010-0000-0600-00002E000000}" name="sl_2028" dataDxfId="301" dataCellStyle="Currency">
      <calculatedColumnFormula array="1">INDEX(tblPrices[cv_2028], MATCH(tblAppleUnits[[#This Row],[Products]],tblPrices[Products],0), 0)* tblAppleUnits[[#This Row],[cv_2028]]/10^6</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blHuaweiUnits" displayName="tblHuaweiUnits" ref="A40:W89" totalsRowShown="0" headerRowDxfId="300" dataDxfId="299">
  <autoFilter ref="A40:W89" xr:uid="{00000000-0009-0000-0100-000003000000}"/>
  <tableColumns count="23">
    <tableColumn id="1" xr3:uid="{00000000-0010-0000-0700-000001000000}" name="Products" dataDxfId="298"/>
    <tableColumn id="23" xr3:uid="{00000000-0010-0000-0700-000017000000}" name="cv_2018" dataDxfId="297"/>
    <tableColumn id="24" xr3:uid="{00000000-0010-0000-0700-000018000000}" name="cv_2019" dataDxfId="296"/>
    <tableColumn id="25" xr3:uid="{00000000-0010-0000-0700-000019000000}" name="cv_2020" dataDxfId="295"/>
    <tableColumn id="26" xr3:uid="{00000000-0010-0000-0700-00001A000000}" name="cv_2021" dataDxfId="294"/>
    <tableColumn id="27" xr3:uid="{00000000-0010-0000-0700-00001B000000}" name="cv_2022" dataDxfId="293"/>
    <tableColumn id="28" xr3:uid="{00000000-0010-0000-0700-00001C000000}" name="cv_2023" dataDxfId="292"/>
    <tableColumn id="29" xr3:uid="{00000000-0010-0000-0700-00001D000000}" name="cv_2024" dataDxfId="291"/>
    <tableColumn id="30" xr3:uid="{00000000-0010-0000-0700-00001E000000}" name="cv_2025" dataDxfId="290"/>
    <tableColumn id="31" xr3:uid="{00000000-0010-0000-0700-00001F000000}" name="cv_2026" dataDxfId="289"/>
    <tableColumn id="32" xr3:uid="{00000000-0010-0000-0700-000020000000}" name="cv_2027" dataDxfId="288"/>
    <tableColumn id="33" xr3:uid="{00000000-0010-0000-0700-000021000000}" name="cv_2028" dataDxfId="287"/>
    <tableColumn id="36" xr3:uid="{00000000-0010-0000-0700-000024000000}" name="sl_2018" dataDxfId="286" dataCellStyle="Currency">
      <calculatedColumnFormula array="1">INDEX(tblPrices[cv_2018], MATCH(tblAlibabaUnits[[#This Row],[Products]],tblPrices[Products],0), 0)* tblAlibabaUnits[[#This Row],[cv_2018]]/10^6</calculatedColumnFormula>
    </tableColumn>
    <tableColumn id="37" xr3:uid="{00000000-0010-0000-0700-000025000000}" name="sl_2019" dataDxfId="285" dataCellStyle="Currency">
      <calculatedColumnFormula array="1">INDEX(tblPrices[cv_2019], MATCH(tblAlibabaUnits[[#This Row],[Products]],tblPrices[Products],0), 0)* tblAlibabaUnits[[#This Row],[cv_2019]]/10^6</calculatedColumnFormula>
    </tableColumn>
    <tableColumn id="38" xr3:uid="{00000000-0010-0000-0700-000026000000}" name="sl_2020" dataDxfId="284" dataCellStyle="Currency">
      <calculatedColumnFormula array="1">INDEX(tblPrices[cv_2020], MATCH(tblAlibabaUnits[[#This Row],[Products]],tblPrices[Products],0), 0)* tblAlibabaUnits[[#This Row],[cv_2020]]/10^6</calculatedColumnFormula>
    </tableColumn>
    <tableColumn id="39" xr3:uid="{00000000-0010-0000-0700-000027000000}" name="sl_2021" dataDxfId="283" dataCellStyle="Currency">
      <calculatedColumnFormula array="1">INDEX(tblPrices[cv_2021], MATCH(tblAlibabaUnits[[#This Row],[Products]],tblPrices[Products],0), 0)* tblAlibabaUnits[[#This Row],[cv_2021]]/10^6</calculatedColumnFormula>
    </tableColumn>
    <tableColumn id="40" xr3:uid="{00000000-0010-0000-0700-000028000000}" name="sl_2022" dataDxfId="282" dataCellStyle="Currency">
      <calculatedColumnFormula array="1">INDEX(tblPrices[cv_2022], MATCH(tblAlibabaUnits[[#This Row],[Products]],tblPrices[Products],0), 0)* tblAlibabaUnits[[#This Row],[cv_2022]]/10^6</calculatedColumnFormula>
    </tableColumn>
    <tableColumn id="41" xr3:uid="{00000000-0010-0000-0700-000029000000}" name="sl_2023" dataDxfId="281" dataCellStyle="Currency">
      <calculatedColumnFormula array="1">INDEX(tblPrices[cv_2023], MATCH(tblAlibabaUnits[[#This Row],[Products]],tblPrices[Products],0), 0)* tblAlibabaUnits[[#This Row],[cv_2023]]/10^6</calculatedColumnFormula>
    </tableColumn>
    <tableColumn id="42" xr3:uid="{00000000-0010-0000-0700-00002A000000}" name="sl_2024" dataDxfId="280" dataCellStyle="Currency">
      <calculatedColumnFormula array="1">INDEX(tblPrices[cv_2024], MATCH(tblAlibabaUnits[[#This Row],[Products]],tblPrices[Products],0), 0)* tblAlibabaUnits[[#This Row],[cv_2024]]/10^6</calculatedColumnFormula>
    </tableColumn>
    <tableColumn id="43" xr3:uid="{00000000-0010-0000-0700-00002B000000}" name="sl_2025" dataDxfId="279" dataCellStyle="Currency">
      <calculatedColumnFormula array="1">INDEX(tblPrices[cv_2025], MATCH(tblAlibabaUnits[[#This Row],[Products]],tblPrices[Products],0), 0)* tblAlibabaUnits[[#This Row],[cv_2025]]/10^6</calculatedColumnFormula>
    </tableColumn>
    <tableColumn id="44" xr3:uid="{00000000-0010-0000-0700-00002C000000}" name="sl_2026" dataDxfId="278" dataCellStyle="Currency">
      <calculatedColumnFormula array="1">INDEX(tblPrices[cv_2026], MATCH(tblAlibabaUnits[[#This Row],[Products]],tblPrices[Products],0), 0)* tblAlibabaUnits[[#This Row],[cv_2026]]/10^6</calculatedColumnFormula>
    </tableColumn>
    <tableColumn id="45" xr3:uid="{00000000-0010-0000-0700-00002D000000}" name="sl_2027" dataDxfId="277" dataCellStyle="Currency">
      <calculatedColumnFormula array="1">INDEX(tblPrices[cv_2027], MATCH(tblAlibabaUnits[[#This Row],[Products]],tblPrices[Products],0), 0)* tblAlibabaUnits[[#This Row],[cv_2027]]/10^6</calculatedColumnFormula>
    </tableColumn>
    <tableColumn id="46" xr3:uid="{00000000-0010-0000-0700-00002E000000}" name="sl_2028" dataDxfId="276" dataCellStyle="Currency">
      <calculatedColumnFormula array="1">INDEX(tblPrices[cv_2028], MATCH(tblAlibabaUnits[[#This Row],[Products]],tblPrices[Products],0), 0)* tblAlibabaUnits[[#This Row],[cv_2028]]/10^6</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tblTencentUnits" displayName="tblTencentUnits" ref="A40:W89" totalsRowShown="0" headerRowDxfId="275" dataDxfId="274">
  <autoFilter ref="A40:W89" xr:uid="{00000000-0009-0000-0100-000004000000}"/>
  <tableColumns count="23">
    <tableColumn id="1" xr3:uid="{00000000-0010-0000-0800-000001000000}" name="Products" dataDxfId="273"/>
    <tableColumn id="23" xr3:uid="{00000000-0010-0000-0800-000017000000}" name="cv_2018" dataDxfId="272"/>
    <tableColumn id="24" xr3:uid="{00000000-0010-0000-0800-000018000000}" name="cv_2019" dataDxfId="271"/>
    <tableColumn id="25" xr3:uid="{00000000-0010-0000-0800-000019000000}" name="cv_2020" dataDxfId="270"/>
    <tableColumn id="26" xr3:uid="{00000000-0010-0000-0800-00001A000000}" name="cv_2021" dataDxfId="269"/>
    <tableColumn id="27" xr3:uid="{00000000-0010-0000-0800-00001B000000}" name="cv_2022" dataDxfId="268"/>
    <tableColumn id="28" xr3:uid="{00000000-0010-0000-0800-00001C000000}" name="cv_2023" dataDxfId="267"/>
    <tableColumn id="29" xr3:uid="{00000000-0010-0000-0800-00001D000000}" name="cv_2024" dataDxfId="266"/>
    <tableColumn id="30" xr3:uid="{00000000-0010-0000-0800-00001E000000}" name="cv_2025" dataDxfId="265"/>
    <tableColumn id="31" xr3:uid="{00000000-0010-0000-0800-00001F000000}" name="cv_2026" dataDxfId="264"/>
    <tableColumn id="32" xr3:uid="{00000000-0010-0000-0800-000020000000}" name="cv_2027" dataDxfId="263"/>
    <tableColumn id="33" xr3:uid="{00000000-0010-0000-0800-000021000000}" name="cv_2028" dataDxfId="262"/>
    <tableColumn id="36" xr3:uid="{00000000-0010-0000-0800-000024000000}" name="sl_2018" dataDxfId="261" dataCellStyle="Currency">
      <calculatedColumnFormula array="1">INDEX(tblPrices[cv_2018], MATCH(tblHuaweiUnits[[#This Row],[Products]],tblPrices[Products],0), 0)* tblHuaweiUnits[[#This Row],[cv_2018]]/10^6</calculatedColumnFormula>
    </tableColumn>
    <tableColumn id="37" xr3:uid="{00000000-0010-0000-0800-000025000000}" name="sl_2019" dataDxfId="260" dataCellStyle="Currency">
      <calculatedColumnFormula array="1">INDEX(tblPrices[cv_2019], MATCH(tblHuaweiUnits[[#This Row],[Products]],tblPrices[Products],0), 0)* tblHuaweiUnits[[#This Row],[cv_2019]]/10^6</calculatedColumnFormula>
    </tableColumn>
    <tableColumn id="38" xr3:uid="{00000000-0010-0000-0800-000026000000}" name="sl_2020" dataDxfId="259" dataCellStyle="Currency">
      <calculatedColumnFormula array="1">INDEX(tblPrices[cv_2020], MATCH(tblHuaweiUnits[[#This Row],[Products]],tblPrices[Products],0), 0)* tblHuaweiUnits[[#This Row],[cv_2020]]/10^6</calculatedColumnFormula>
    </tableColumn>
    <tableColumn id="39" xr3:uid="{00000000-0010-0000-0800-000027000000}" name="sl_2021" dataDxfId="258" dataCellStyle="Currency">
      <calculatedColumnFormula array="1">INDEX(tblPrices[cv_2021], MATCH(tblHuaweiUnits[[#This Row],[Products]],tblPrices[Products],0), 0)* tblHuaweiUnits[[#This Row],[cv_2021]]/10^6</calculatedColumnFormula>
    </tableColumn>
    <tableColumn id="40" xr3:uid="{00000000-0010-0000-0800-000028000000}" name="sl_2022" dataDxfId="257" dataCellStyle="Currency">
      <calculatedColumnFormula array="1">INDEX(tblPrices[cv_2022], MATCH(tblHuaweiUnits[[#This Row],[Products]],tblPrices[Products],0), 0)* tblHuaweiUnits[[#This Row],[cv_2022]]/10^6</calculatedColumnFormula>
    </tableColumn>
    <tableColumn id="41" xr3:uid="{00000000-0010-0000-0800-000029000000}" name="sl_2023" dataDxfId="256" dataCellStyle="Currency">
      <calculatedColumnFormula array="1">INDEX(tblPrices[cv_2023], MATCH(tblHuaweiUnits[[#This Row],[Products]],tblPrices[Products],0), 0)* tblHuaweiUnits[[#This Row],[cv_2023]]/10^6</calculatedColumnFormula>
    </tableColumn>
    <tableColumn id="42" xr3:uid="{00000000-0010-0000-0800-00002A000000}" name="sl_2024" dataDxfId="255" dataCellStyle="Currency">
      <calculatedColumnFormula array="1">INDEX(tblPrices[cv_2024], MATCH(tblHuaweiUnits[[#This Row],[Products]],tblPrices[Products],0), 0)* tblHuaweiUnits[[#This Row],[cv_2024]]/10^6</calculatedColumnFormula>
    </tableColumn>
    <tableColumn id="43" xr3:uid="{00000000-0010-0000-0800-00002B000000}" name="sl_2025" dataDxfId="254" dataCellStyle="Currency">
      <calculatedColumnFormula array="1">INDEX(tblPrices[cv_2025], MATCH(tblHuaweiUnits[[#This Row],[Products]],tblPrices[Products],0), 0)* tblHuaweiUnits[[#This Row],[cv_2025]]/10^6</calculatedColumnFormula>
    </tableColumn>
    <tableColumn id="44" xr3:uid="{00000000-0010-0000-0800-00002C000000}" name="sl_2026" dataDxfId="253" dataCellStyle="Currency">
      <calculatedColumnFormula array="1">INDEX(tblPrices[cv_2026], MATCH(tblHuaweiUnits[[#This Row],[Products]],tblPrices[Products],0), 0)* tblHuaweiUnits[[#This Row],[cv_2026]]/10^6</calculatedColumnFormula>
    </tableColumn>
    <tableColumn id="45" xr3:uid="{00000000-0010-0000-0800-00002D000000}" name="sl_2027" dataDxfId="252" dataCellStyle="Currency">
      <calculatedColumnFormula array="1">INDEX(tblPrices[cv_2027], MATCH(tblHuaweiUnits[[#This Row],[Products]],tblPrices[Products],0), 0)* tblHuaweiUnits[[#This Row],[cv_2027]]/10^6</calculatedColumnFormula>
    </tableColumn>
    <tableColumn id="46" xr3:uid="{00000000-0010-0000-0800-00002E000000}" name="sl_2028" dataDxfId="251" dataCellStyle="Currency">
      <calculatedColumnFormula array="1">INDEX(tblPrices[cv_2028], MATCH(tblHuaweiUnits[[#This Row],[Products]],tblPrices[Products],0), 0)* tblHuaweiUnits[[#This Row],[cv_2028]]/10^6</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126" dT="2023-07-19T15:01:44.95" personId="{268B825A-7185-4400-ACC3-63F3955E9AC1}" id="{ABF43071-B49D-435D-84A6-F98F0EAD92F2}">
    <text>These are summary lines, LookupCodes are not in the product list, formulas are different.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4.bin"/><Relationship Id="rId5" Type="http://schemas.openxmlformats.org/officeDocument/2006/relationships/comments" Target="../comments7.xml"/><Relationship Id="rId4" Type="http://schemas.openxmlformats.org/officeDocument/2006/relationships/table" Target="../tables/table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5.bin"/><Relationship Id="rId5" Type="http://schemas.openxmlformats.org/officeDocument/2006/relationships/comments" Target="../comments8.xml"/><Relationship Id="rId4"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16.bin"/><Relationship Id="rId5" Type="http://schemas.openxmlformats.org/officeDocument/2006/relationships/comments" Target="../comments9.xml"/><Relationship Id="rId4"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10.xml"/><Relationship Id="rId4" Type="http://schemas.openxmlformats.org/officeDocument/2006/relationships/table" Target="../tables/table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T46"/>
  <sheetViews>
    <sheetView showGridLines="0" tabSelected="1" zoomScale="80" zoomScaleNormal="80" zoomScalePageLayoutView="80" workbookViewId="0"/>
  </sheetViews>
  <sheetFormatPr defaultColWidth="8.3125" defaultRowHeight="12.75"/>
  <cols>
    <col min="1" max="1" width="4" style="125" customWidth="1"/>
    <col min="2" max="2" width="33.1875" style="125" customWidth="1"/>
    <col min="3" max="3" width="38" style="125" customWidth="1"/>
    <col min="4" max="16384" width="8.3125" style="125"/>
  </cols>
  <sheetData>
    <row r="1" spans="1:20">
      <c r="A1" s="124"/>
      <c r="B1" s="124"/>
      <c r="C1" s="124"/>
      <c r="D1" s="124"/>
      <c r="E1" s="124"/>
      <c r="F1" s="124"/>
      <c r="G1" s="124"/>
      <c r="H1" s="124"/>
      <c r="I1" s="124"/>
      <c r="J1" s="124"/>
      <c r="K1" s="124"/>
      <c r="L1" s="124"/>
      <c r="M1" s="124"/>
      <c r="N1" s="124"/>
      <c r="O1" s="124"/>
      <c r="P1" s="124"/>
      <c r="Q1" s="124"/>
      <c r="R1" s="124"/>
      <c r="S1" s="124"/>
      <c r="T1" s="124"/>
    </row>
    <row r="2" spans="1:20" ht="17.649999999999999">
      <c r="A2" s="124"/>
      <c r="B2" s="126" t="s">
        <v>474</v>
      </c>
      <c r="C2" s="124"/>
      <c r="D2" s="127"/>
      <c r="E2" s="124"/>
      <c r="F2" s="124"/>
      <c r="G2" s="124"/>
      <c r="H2" s="124"/>
      <c r="I2" s="124"/>
      <c r="J2" s="124"/>
      <c r="K2" s="124"/>
      <c r="L2" s="124"/>
      <c r="M2" s="124"/>
      <c r="N2" s="124"/>
      <c r="O2" s="124"/>
      <c r="P2" s="124"/>
      <c r="Q2" s="124"/>
      <c r="R2" s="124"/>
      <c r="S2" s="124"/>
      <c r="T2" s="124"/>
    </row>
    <row r="3" spans="1:20" ht="15.75">
      <c r="A3" s="124"/>
      <c r="B3" s="217" t="s">
        <v>481</v>
      </c>
      <c r="C3" s="124"/>
      <c r="D3" s="124"/>
      <c r="E3" s="124"/>
      <c r="F3" s="124"/>
      <c r="G3" s="124"/>
      <c r="H3" s="124"/>
      <c r="I3" s="124"/>
      <c r="J3" s="124"/>
      <c r="K3" s="124"/>
      <c r="L3" s="124"/>
      <c r="M3" s="124"/>
      <c r="N3" s="124"/>
      <c r="O3" s="124"/>
      <c r="P3" s="124"/>
      <c r="Q3" s="124"/>
      <c r="R3" s="124"/>
      <c r="S3" s="124"/>
      <c r="T3" s="124"/>
    </row>
    <row r="4" spans="1:20" ht="17.649999999999999">
      <c r="A4" s="124"/>
      <c r="B4" s="126" t="s">
        <v>352</v>
      </c>
      <c r="C4" s="124"/>
      <c r="D4" s="124"/>
      <c r="E4" s="124"/>
      <c r="F4" s="124"/>
      <c r="G4" s="124"/>
      <c r="H4" s="124"/>
      <c r="I4" s="124"/>
      <c r="J4" s="124"/>
      <c r="K4" s="124"/>
      <c r="L4" s="124"/>
      <c r="M4" s="124"/>
      <c r="N4" s="124"/>
      <c r="O4" s="124"/>
      <c r="P4" s="124"/>
      <c r="Q4" s="124"/>
      <c r="R4" s="124"/>
      <c r="S4" s="124"/>
      <c r="T4" s="124"/>
    </row>
    <row r="5" spans="1:20">
      <c r="A5" s="124"/>
      <c r="C5" s="124"/>
      <c r="D5" s="124"/>
      <c r="E5" s="124"/>
      <c r="F5" s="124"/>
      <c r="G5" s="124"/>
      <c r="H5" s="124"/>
      <c r="I5" s="124"/>
      <c r="J5" s="124"/>
      <c r="K5" s="124"/>
      <c r="L5" s="124"/>
      <c r="M5" s="124"/>
      <c r="N5" s="124"/>
      <c r="O5" s="124"/>
      <c r="P5" s="124"/>
      <c r="Q5" s="124"/>
      <c r="R5" s="124"/>
      <c r="S5" s="124"/>
      <c r="T5" s="124"/>
    </row>
    <row r="6" spans="1:20" ht="12.75" customHeight="1">
      <c r="A6" s="124"/>
      <c r="B6" s="219" t="s">
        <v>475</v>
      </c>
      <c r="C6" s="219"/>
      <c r="D6" s="219"/>
      <c r="E6" s="219"/>
      <c r="F6" s="219"/>
      <c r="G6" s="219"/>
      <c r="H6" s="219"/>
      <c r="I6" s="219"/>
      <c r="J6" s="219"/>
      <c r="K6" s="219"/>
      <c r="L6" s="219"/>
      <c r="M6" s="219"/>
      <c r="N6" s="124"/>
      <c r="O6" s="124"/>
      <c r="P6" s="124"/>
      <c r="Q6" s="124"/>
      <c r="R6" s="124"/>
      <c r="S6" s="124"/>
      <c r="T6" s="124"/>
    </row>
    <row r="7" spans="1:20">
      <c r="A7" s="124"/>
      <c r="B7" s="219"/>
      <c r="C7" s="219"/>
      <c r="D7" s="219"/>
      <c r="E7" s="219"/>
      <c r="F7" s="219"/>
      <c r="G7" s="219"/>
      <c r="H7" s="219"/>
      <c r="I7" s="219"/>
      <c r="J7" s="219"/>
      <c r="K7" s="219"/>
      <c r="L7" s="219"/>
      <c r="M7" s="219"/>
      <c r="N7" s="124"/>
      <c r="O7" s="124"/>
      <c r="P7" s="124"/>
      <c r="Q7" s="124"/>
      <c r="R7" s="124"/>
      <c r="S7" s="124"/>
      <c r="T7" s="124"/>
    </row>
    <row r="8" spans="1:20">
      <c r="A8" s="124"/>
      <c r="B8" s="219"/>
      <c r="C8" s="219"/>
      <c r="D8" s="219"/>
      <c r="E8" s="219"/>
      <c r="F8" s="219"/>
      <c r="G8" s="219"/>
      <c r="H8" s="219"/>
      <c r="I8" s="219"/>
      <c r="J8" s="219"/>
      <c r="K8" s="219"/>
      <c r="L8" s="219"/>
      <c r="M8" s="219"/>
      <c r="N8" s="124"/>
      <c r="O8" s="124"/>
      <c r="P8" s="124"/>
      <c r="Q8" s="124"/>
      <c r="R8" s="124"/>
      <c r="S8" s="124"/>
      <c r="T8" s="124"/>
    </row>
    <row r="9" spans="1:20">
      <c r="A9" s="124"/>
      <c r="B9" s="219"/>
      <c r="C9" s="219"/>
      <c r="D9" s="219"/>
      <c r="E9" s="219"/>
      <c r="F9" s="219"/>
      <c r="G9" s="219"/>
      <c r="H9" s="219"/>
      <c r="I9" s="219"/>
      <c r="J9" s="219"/>
      <c r="K9" s="219"/>
      <c r="L9" s="219"/>
      <c r="M9" s="219"/>
      <c r="N9" s="124"/>
      <c r="O9" s="124"/>
      <c r="P9" s="124"/>
      <c r="Q9" s="124"/>
      <c r="R9" s="124"/>
      <c r="S9" s="124"/>
      <c r="T9" s="124"/>
    </row>
    <row r="10" spans="1:20">
      <c r="A10" s="124"/>
      <c r="B10" s="219"/>
      <c r="C10" s="219"/>
      <c r="D10" s="219"/>
      <c r="E10" s="219"/>
      <c r="F10" s="219"/>
      <c r="G10" s="219"/>
      <c r="H10" s="219"/>
      <c r="I10" s="219"/>
      <c r="J10" s="219"/>
      <c r="K10" s="219"/>
      <c r="L10" s="219"/>
      <c r="M10" s="219"/>
      <c r="N10" s="124"/>
      <c r="O10" s="124"/>
      <c r="P10" s="124"/>
      <c r="Q10" s="124"/>
      <c r="R10" s="124"/>
      <c r="S10" s="124"/>
      <c r="T10" s="124"/>
    </row>
    <row r="11" spans="1:20" ht="24" customHeight="1">
      <c r="A11" s="124"/>
      <c r="B11" s="128" t="s">
        <v>353</v>
      </c>
      <c r="C11" s="129"/>
      <c r="D11" s="124"/>
      <c r="E11" s="130"/>
      <c r="F11" s="131"/>
      <c r="G11" s="124"/>
      <c r="H11" s="124"/>
      <c r="I11" s="124"/>
      <c r="J11" s="124"/>
      <c r="K11" s="124"/>
      <c r="L11" s="124"/>
      <c r="M11" s="124"/>
      <c r="N11" s="124"/>
      <c r="O11" s="124"/>
      <c r="P11" s="124"/>
      <c r="Q11" s="124"/>
      <c r="R11" s="124"/>
      <c r="S11" s="124"/>
      <c r="T11" s="124"/>
    </row>
    <row r="12" spans="1:20" ht="24" customHeight="1">
      <c r="A12" s="124"/>
      <c r="B12" s="129" t="s">
        <v>372</v>
      </c>
      <c r="C12" s="129"/>
      <c r="D12" s="124"/>
      <c r="E12" s="131"/>
      <c r="F12" s="131"/>
      <c r="G12" s="124"/>
      <c r="H12" s="124"/>
      <c r="I12" s="124"/>
      <c r="J12" s="124"/>
      <c r="K12" s="124"/>
      <c r="L12" s="124"/>
      <c r="M12" s="124"/>
      <c r="N12" s="124"/>
      <c r="O12" s="124"/>
      <c r="P12" s="124"/>
      <c r="Q12" s="124"/>
      <c r="R12" s="124"/>
      <c r="S12" s="124"/>
      <c r="T12" s="124"/>
    </row>
    <row r="13" spans="1:20" ht="24" customHeight="1">
      <c r="A13" s="124"/>
      <c r="C13" s="124"/>
      <c r="D13" s="124"/>
      <c r="E13" s="124"/>
      <c r="F13" s="124"/>
      <c r="G13" s="124"/>
      <c r="H13" s="124"/>
      <c r="I13" s="124"/>
      <c r="J13" s="124"/>
      <c r="K13" s="124"/>
      <c r="L13" s="124"/>
      <c r="M13" s="124"/>
      <c r="N13" s="124"/>
      <c r="O13" s="124"/>
      <c r="P13" s="124"/>
      <c r="Q13" s="124"/>
      <c r="R13" s="124"/>
      <c r="S13" s="124"/>
      <c r="T13" s="124"/>
    </row>
    <row r="14" spans="1:20">
      <c r="A14" s="124"/>
      <c r="C14" s="131"/>
      <c r="D14" s="124"/>
      <c r="E14" s="124"/>
      <c r="F14" s="124"/>
      <c r="G14" s="124"/>
      <c r="H14" s="124"/>
      <c r="I14" s="124"/>
      <c r="J14" s="124"/>
      <c r="K14" s="124"/>
      <c r="L14" s="124"/>
      <c r="M14" s="124"/>
      <c r="N14" s="124"/>
      <c r="O14" s="124"/>
      <c r="P14" s="124"/>
      <c r="Q14" s="124"/>
      <c r="R14" s="124"/>
      <c r="S14" s="124"/>
      <c r="T14" s="124"/>
    </row>
    <row r="15" spans="1:20">
      <c r="A15" s="124"/>
      <c r="D15" s="124"/>
      <c r="E15" s="124"/>
      <c r="F15" s="124"/>
      <c r="G15" s="124"/>
      <c r="H15" s="124"/>
      <c r="I15" s="124"/>
      <c r="J15" s="124"/>
      <c r="K15" s="124"/>
      <c r="L15" s="124"/>
      <c r="M15" s="124"/>
      <c r="N15" s="124"/>
      <c r="O15" s="124"/>
      <c r="P15" s="124"/>
      <c r="Q15" s="124"/>
      <c r="R15" s="124"/>
      <c r="S15" s="124"/>
      <c r="T15" s="124"/>
    </row>
    <row r="16" spans="1:20" ht="18.75" customHeight="1">
      <c r="A16" s="124"/>
      <c r="B16" s="132" t="s">
        <v>371</v>
      </c>
      <c r="D16" s="124"/>
      <c r="E16" s="124"/>
      <c r="F16" s="124"/>
      <c r="G16" s="124"/>
      <c r="H16" s="124"/>
      <c r="I16" s="124"/>
      <c r="J16" s="124"/>
      <c r="K16" s="124"/>
      <c r="L16" s="124"/>
      <c r="M16" s="124"/>
      <c r="N16" s="124"/>
      <c r="O16" s="124"/>
      <c r="P16" s="124"/>
      <c r="Q16" s="124"/>
      <c r="R16" s="124"/>
      <c r="S16" s="124"/>
      <c r="T16" s="124"/>
    </row>
    <row r="17" spans="1:20" ht="15">
      <c r="A17" s="124"/>
      <c r="B17" s="133"/>
      <c r="C17" s="124"/>
      <c r="D17" s="124"/>
      <c r="E17" s="124"/>
      <c r="F17" s="124"/>
      <c r="G17" s="124"/>
      <c r="H17" s="124"/>
      <c r="I17" s="124"/>
      <c r="J17" s="124"/>
      <c r="K17" s="124"/>
      <c r="L17" s="124"/>
      <c r="M17" s="124"/>
      <c r="N17" s="124"/>
      <c r="O17" s="124"/>
      <c r="P17" s="124"/>
      <c r="Q17" s="124"/>
      <c r="R17" s="124"/>
      <c r="S17" s="124"/>
      <c r="T17" s="124"/>
    </row>
    <row r="18" spans="1:20" ht="15">
      <c r="A18" s="124"/>
      <c r="B18" s="133"/>
      <c r="C18" s="124"/>
      <c r="D18" s="124"/>
      <c r="E18" s="124"/>
      <c r="F18" s="124"/>
      <c r="G18" s="124"/>
      <c r="H18" s="124"/>
      <c r="I18" s="124"/>
      <c r="J18" s="124"/>
      <c r="K18" s="124"/>
      <c r="L18" s="124"/>
      <c r="M18" s="124"/>
      <c r="N18" s="124"/>
      <c r="O18" s="124"/>
      <c r="P18" s="124"/>
      <c r="Q18" s="124"/>
      <c r="R18" s="124"/>
      <c r="S18" s="124"/>
      <c r="T18" s="124"/>
    </row>
    <row r="19" spans="1:20">
      <c r="A19" s="124"/>
      <c r="D19" s="124"/>
      <c r="E19" s="124"/>
      <c r="F19" s="124"/>
      <c r="G19" s="124"/>
      <c r="H19" s="124"/>
      <c r="I19" s="124"/>
      <c r="J19" s="124"/>
      <c r="K19" s="124"/>
      <c r="L19" s="124"/>
      <c r="M19" s="124"/>
      <c r="N19" s="124"/>
      <c r="O19" s="124"/>
      <c r="P19" s="124"/>
      <c r="Q19" s="124"/>
      <c r="R19" s="124"/>
      <c r="S19" s="124"/>
      <c r="T19" s="124"/>
    </row>
    <row r="20" spans="1:20">
      <c r="A20" s="124"/>
      <c r="B20" s="124"/>
      <c r="C20" s="124"/>
      <c r="D20" s="124"/>
      <c r="E20" s="124"/>
      <c r="F20" s="124"/>
      <c r="G20" s="124"/>
      <c r="H20" s="124"/>
      <c r="I20" s="124"/>
      <c r="J20" s="124"/>
      <c r="K20" s="124"/>
      <c r="L20" s="124"/>
      <c r="M20" s="124"/>
      <c r="N20" s="124"/>
      <c r="O20" s="124"/>
      <c r="P20" s="124"/>
      <c r="Q20" s="124"/>
      <c r="R20" s="124"/>
      <c r="S20" s="124"/>
      <c r="T20" s="124"/>
    </row>
    <row r="21" spans="1:20">
      <c r="A21" s="124"/>
      <c r="B21" s="124"/>
      <c r="C21" s="124"/>
      <c r="D21" s="124"/>
      <c r="E21" s="124"/>
      <c r="F21" s="124"/>
      <c r="G21" s="124"/>
      <c r="H21" s="124"/>
      <c r="I21" s="124"/>
      <c r="J21" s="124"/>
      <c r="K21" s="124"/>
      <c r="L21" s="124"/>
      <c r="M21" s="124"/>
      <c r="N21" s="124"/>
      <c r="O21" s="124"/>
      <c r="P21" s="124"/>
      <c r="Q21" s="124"/>
      <c r="R21" s="124"/>
      <c r="S21" s="124"/>
      <c r="T21" s="124"/>
    </row>
    <row r="22" spans="1:20">
      <c r="A22" s="124"/>
      <c r="B22" s="124"/>
      <c r="C22" s="124"/>
      <c r="D22" s="124"/>
      <c r="E22" s="124"/>
      <c r="F22" s="124"/>
      <c r="G22" s="124"/>
      <c r="H22" s="124"/>
      <c r="I22" s="124"/>
      <c r="J22" s="124"/>
      <c r="K22" s="124"/>
      <c r="L22" s="124"/>
      <c r="M22" s="124"/>
      <c r="N22" s="124"/>
      <c r="O22" s="124"/>
      <c r="P22" s="124"/>
      <c r="Q22" s="124"/>
      <c r="R22" s="124"/>
      <c r="S22" s="124"/>
      <c r="T22" s="124"/>
    </row>
    <row r="23" spans="1:20">
      <c r="A23" s="124"/>
      <c r="B23" s="124"/>
      <c r="C23" s="124"/>
      <c r="D23" s="124"/>
      <c r="E23" s="124"/>
      <c r="F23" s="124"/>
      <c r="G23" s="124"/>
      <c r="H23" s="124"/>
      <c r="I23" s="124"/>
      <c r="J23" s="124"/>
      <c r="K23" s="124"/>
      <c r="L23" s="124"/>
      <c r="M23" s="124"/>
      <c r="N23" s="124"/>
      <c r="O23" s="124"/>
      <c r="P23" s="124"/>
      <c r="Q23" s="124"/>
      <c r="R23" s="124"/>
      <c r="S23" s="124"/>
      <c r="T23" s="124"/>
    </row>
    <row r="24" spans="1:20">
      <c r="A24" s="124"/>
      <c r="B24" s="124"/>
      <c r="C24" s="124"/>
      <c r="D24" s="124"/>
      <c r="E24" s="124"/>
      <c r="F24" s="124"/>
      <c r="G24" s="124"/>
      <c r="H24" s="124"/>
      <c r="I24" s="124"/>
      <c r="J24" s="124"/>
      <c r="K24" s="124"/>
      <c r="L24" s="124"/>
      <c r="M24" s="124"/>
      <c r="N24" s="124"/>
      <c r="O24" s="124"/>
      <c r="P24" s="124"/>
      <c r="Q24" s="124"/>
      <c r="R24" s="124"/>
      <c r="S24" s="124"/>
      <c r="T24" s="124"/>
    </row>
    <row r="25" spans="1:20">
      <c r="A25" s="124"/>
      <c r="B25" s="124"/>
      <c r="C25" s="124"/>
      <c r="D25" s="124"/>
      <c r="E25" s="124"/>
      <c r="F25" s="124"/>
      <c r="G25" s="124"/>
      <c r="H25" s="124"/>
      <c r="I25" s="124"/>
      <c r="J25" s="124"/>
      <c r="K25" s="124"/>
      <c r="L25" s="124"/>
      <c r="M25" s="124"/>
      <c r="N25" s="124"/>
      <c r="O25" s="124"/>
      <c r="P25" s="124"/>
      <c r="Q25" s="124"/>
      <c r="R25" s="124"/>
      <c r="S25" s="124"/>
      <c r="T25" s="124"/>
    </row>
    <row r="26" spans="1:20">
      <c r="A26" s="124"/>
      <c r="B26" s="124"/>
      <c r="C26" s="124"/>
      <c r="D26" s="124"/>
      <c r="E26" s="124"/>
      <c r="F26" s="124"/>
      <c r="G26" s="124"/>
      <c r="H26" s="124"/>
      <c r="I26" s="124"/>
      <c r="J26" s="124"/>
      <c r="K26" s="124"/>
      <c r="L26" s="124"/>
      <c r="M26" s="124"/>
      <c r="N26" s="124"/>
      <c r="O26" s="124"/>
      <c r="P26" s="124"/>
      <c r="Q26" s="124"/>
      <c r="R26" s="124"/>
      <c r="S26" s="124"/>
      <c r="T26" s="124"/>
    </row>
    <row r="27" spans="1:20">
      <c r="A27" s="124"/>
      <c r="B27" s="124"/>
      <c r="C27" s="124"/>
      <c r="D27" s="124"/>
      <c r="E27" s="124"/>
      <c r="F27" s="124"/>
      <c r="G27" s="124"/>
      <c r="H27" s="124"/>
      <c r="I27" s="124"/>
      <c r="J27" s="124"/>
      <c r="K27" s="124"/>
      <c r="L27" s="124"/>
      <c r="M27" s="124"/>
      <c r="N27" s="124"/>
      <c r="O27" s="124"/>
      <c r="P27" s="124"/>
      <c r="Q27" s="124"/>
      <c r="R27" s="124"/>
      <c r="S27" s="124"/>
      <c r="T27" s="124"/>
    </row>
    <row r="28" spans="1:20">
      <c r="A28" s="124"/>
      <c r="B28" s="124"/>
      <c r="C28" s="124"/>
      <c r="D28" s="124"/>
      <c r="E28" s="124"/>
      <c r="F28" s="124"/>
      <c r="G28" s="124"/>
      <c r="H28" s="124"/>
      <c r="I28" s="124"/>
      <c r="J28" s="124"/>
      <c r="K28" s="124"/>
      <c r="L28" s="124"/>
      <c r="M28" s="124"/>
      <c r="N28" s="124"/>
      <c r="O28" s="124"/>
      <c r="P28" s="124"/>
      <c r="Q28" s="124"/>
      <c r="R28" s="124"/>
      <c r="S28" s="124"/>
      <c r="T28" s="124"/>
    </row>
    <row r="29" spans="1:20">
      <c r="A29" s="124"/>
      <c r="B29" s="124"/>
      <c r="C29" s="124"/>
      <c r="D29" s="124"/>
      <c r="E29" s="124"/>
      <c r="F29" s="124"/>
      <c r="G29" s="124"/>
      <c r="H29" s="124"/>
      <c r="I29" s="124"/>
      <c r="J29" s="124"/>
      <c r="K29" s="124"/>
      <c r="L29" s="124"/>
      <c r="M29" s="124"/>
      <c r="N29" s="124"/>
      <c r="O29" s="124"/>
      <c r="P29" s="124"/>
      <c r="Q29" s="124"/>
      <c r="R29" s="124"/>
      <c r="S29" s="124"/>
      <c r="T29" s="124"/>
    </row>
    <row r="30" spans="1:20">
      <c r="A30" s="124"/>
      <c r="B30" s="124"/>
      <c r="C30" s="124"/>
      <c r="D30" s="124"/>
      <c r="E30" s="124"/>
      <c r="F30" s="124"/>
      <c r="G30" s="124"/>
      <c r="H30" s="124"/>
      <c r="I30" s="124"/>
      <c r="J30" s="124"/>
      <c r="K30" s="124"/>
      <c r="L30" s="124"/>
      <c r="M30" s="124"/>
      <c r="N30" s="124"/>
      <c r="O30" s="124"/>
      <c r="P30" s="124"/>
      <c r="Q30" s="124"/>
      <c r="R30" s="124"/>
      <c r="S30" s="124"/>
      <c r="T30" s="124"/>
    </row>
    <row r="31" spans="1:20">
      <c r="A31" s="124"/>
      <c r="B31" s="124"/>
      <c r="C31" s="124"/>
      <c r="D31" s="124"/>
      <c r="E31" s="124"/>
      <c r="F31" s="124"/>
      <c r="G31" s="124"/>
      <c r="H31" s="124"/>
      <c r="I31" s="124"/>
      <c r="J31" s="124"/>
      <c r="K31" s="124"/>
      <c r="L31" s="124"/>
      <c r="M31" s="124"/>
      <c r="N31" s="124"/>
      <c r="O31" s="124"/>
      <c r="P31" s="124"/>
      <c r="Q31" s="124"/>
      <c r="R31" s="124"/>
      <c r="S31" s="124"/>
      <c r="T31" s="124"/>
    </row>
    <row r="32" spans="1:20">
      <c r="A32" s="124"/>
      <c r="B32" s="124"/>
      <c r="C32" s="124"/>
      <c r="D32" s="124"/>
      <c r="E32" s="124"/>
      <c r="F32" s="124"/>
      <c r="G32" s="124"/>
      <c r="H32" s="124"/>
      <c r="I32" s="124"/>
      <c r="J32" s="124"/>
      <c r="K32" s="124"/>
      <c r="L32" s="124"/>
      <c r="M32" s="124"/>
      <c r="N32" s="124"/>
      <c r="O32" s="124"/>
      <c r="P32" s="124"/>
      <c r="Q32" s="124"/>
      <c r="R32" s="124"/>
      <c r="S32" s="124"/>
      <c r="T32" s="124"/>
    </row>
    <row r="33" spans="1:20">
      <c r="A33" s="124"/>
      <c r="B33" s="124"/>
      <c r="C33" s="124"/>
      <c r="D33" s="124"/>
      <c r="E33" s="124"/>
      <c r="F33" s="124"/>
      <c r="G33" s="124"/>
      <c r="H33" s="124"/>
      <c r="I33" s="124"/>
      <c r="J33" s="124"/>
      <c r="K33" s="124"/>
      <c r="L33" s="124"/>
      <c r="M33" s="124"/>
      <c r="N33" s="124"/>
      <c r="O33" s="124"/>
      <c r="P33" s="124"/>
      <c r="Q33" s="124"/>
      <c r="R33" s="124"/>
      <c r="S33" s="124"/>
      <c r="T33" s="124"/>
    </row>
    <row r="34" spans="1:20">
      <c r="A34" s="124"/>
      <c r="B34" s="124"/>
      <c r="C34" s="124"/>
      <c r="D34" s="124"/>
      <c r="E34" s="124"/>
      <c r="F34" s="124"/>
      <c r="G34" s="124"/>
      <c r="H34" s="124"/>
      <c r="I34" s="124"/>
      <c r="J34" s="124"/>
      <c r="K34" s="124"/>
      <c r="L34" s="124"/>
      <c r="M34" s="124"/>
      <c r="N34" s="124"/>
      <c r="O34" s="124"/>
      <c r="P34" s="124"/>
      <c r="Q34" s="124"/>
      <c r="R34" s="124"/>
      <c r="S34" s="124"/>
      <c r="T34" s="124"/>
    </row>
    <row r="35" spans="1:20">
      <c r="A35" s="124"/>
      <c r="B35" s="124"/>
      <c r="C35" s="124"/>
      <c r="D35" s="124"/>
      <c r="E35" s="124"/>
      <c r="F35" s="124"/>
      <c r="G35" s="124"/>
      <c r="H35" s="124"/>
      <c r="I35" s="124"/>
      <c r="J35" s="124"/>
      <c r="K35" s="124"/>
      <c r="L35" s="124"/>
      <c r="M35" s="124"/>
      <c r="N35" s="124"/>
      <c r="O35" s="124"/>
      <c r="P35" s="124"/>
      <c r="Q35" s="124"/>
      <c r="R35" s="124"/>
      <c r="S35" s="124"/>
      <c r="T35" s="124"/>
    </row>
    <row r="36" spans="1:20">
      <c r="A36" s="124"/>
      <c r="B36" s="124"/>
      <c r="C36" s="124"/>
      <c r="D36" s="124"/>
      <c r="E36" s="124"/>
      <c r="F36" s="124"/>
      <c r="G36" s="124"/>
      <c r="H36" s="124"/>
      <c r="I36" s="124"/>
      <c r="J36" s="124"/>
      <c r="K36" s="124"/>
      <c r="L36" s="124"/>
      <c r="M36" s="124"/>
      <c r="N36" s="124"/>
      <c r="O36" s="124"/>
      <c r="P36" s="124"/>
      <c r="Q36" s="124"/>
      <c r="R36" s="124"/>
      <c r="S36" s="124"/>
      <c r="T36" s="124"/>
    </row>
    <row r="37" spans="1:20">
      <c r="A37" s="124"/>
      <c r="B37" s="124"/>
      <c r="C37" s="124"/>
      <c r="D37" s="124"/>
      <c r="E37" s="124"/>
      <c r="F37" s="124"/>
      <c r="G37" s="124"/>
      <c r="H37" s="124"/>
      <c r="I37" s="124"/>
      <c r="J37" s="124"/>
      <c r="K37" s="124"/>
      <c r="L37" s="124"/>
      <c r="M37" s="124"/>
      <c r="N37" s="124"/>
      <c r="O37" s="124"/>
      <c r="P37" s="124"/>
      <c r="Q37" s="124"/>
      <c r="R37" s="124"/>
      <c r="S37" s="124"/>
      <c r="T37" s="124"/>
    </row>
    <row r="38" spans="1:20">
      <c r="A38" s="124"/>
      <c r="B38" s="124"/>
      <c r="C38" s="124"/>
      <c r="D38" s="124"/>
      <c r="E38" s="124"/>
      <c r="F38" s="124"/>
      <c r="G38" s="124"/>
      <c r="H38" s="124"/>
      <c r="I38" s="124"/>
      <c r="J38" s="124"/>
      <c r="K38" s="124"/>
      <c r="L38" s="124"/>
      <c r="M38" s="124"/>
      <c r="N38" s="124"/>
      <c r="O38" s="124"/>
      <c r="P38" s="124"/>
      <c r="Q38" s="124"/>
      <c r="R38" s="124"/>
      <c r="S38" s="124"/>
      <c r="T38" s="124"/>
    </row>
    <row r="39" spans="1:20">
      <c r="A39" s="124"/>
      <c r="B39" s="124"/>
      <c r="C39" s="124"/>
      <c r="D39" s="124"/>
      <c r="E39" s="124"/>
      <c r="F39" s="124"/>
      <c r="G39" s="124"/>
      <c r="H39" s="124"/>
      <c r="I39" s="124"/>
      <c r="J39" s="124"/>
      <c r="K39" s="124"/>
      <c r="L39" s="124"/>
      <c r="M39" s="124"/>
      <c r="N39" s="124"/>
      <c r="O39" s="124"/>
      <c r="P39" s="124"/>
      <c r="Q39" s="124"/>
      <c r="R39" s="124"/>
      <c r="S39" s="124"/>
      <c r="T39" s="124"/>
    </row>
    <row r="40" spans="1:20">
      <c r="A40" s="124"/>
      <c r="B40" s="124"/>
      <c r="C40" s="124"/>
      <c r="D40" s="124"/>
      <c r="E40" s="124"/>
      <c r="F40" s="124"/>
      <c r="G40" s="124"/>
      <c r="H40" s="124"/>
      <c r="I40" s="124"/>
      <c r="J40" s="124"/>
      <c r="K40" s="124"/>
      <c r="L40" s="124"/>
      <c r="M40" s="124"/>
      <c r="N40" s="124"/>
      <c r="O40" s="124"/>
      <c r="P40" s="124"/>
      <c r="Q40" s="124"/>
      <c r="R40" s="124"/>
      <c r="S40" s="124"/>
      <c r="T40" s="124"/>
    </row>
    <row r="41" spans="1:20">
      <c r="A41" s="124"/>
      <c r="B41" s="124"/>
      <c r="C41" s="124"/>
      <c r="D41" s="124"/>
      <c r="E41" s="124"/>
      <c r="F41" s="124"/>
      <c r="G41" s="124"/>
      <c r="H41" s="124"/>
      <c r="I41" s="124"/>
      <c r="J41" s="124"/>
      <c r="K41" s="124"/>
      <c r="L41" s="124"/>
      <c r="M41" s="124"/>
      <c r="N41" s="124"/>
      <c r="O41" s="124"/>
      <c r="P41" s="124"/>
      <c r="Q41" s="124"/>
      <c r="R41" s="124"/>
      <c r="S41" s="124"/>
      <c r="T41" s="124"/>
    </row>
    <row r="42" spans="1:20">
      <c r="A42" s="124"/>
      <c r="B42" s="124"/>
      <c r="C42" s="124"/>
      <c r="D42" s="124"/>
      <c r="E42" s="124"/>
      <c r="F42" s="124"/>
      <c r="G42" s="124"/>
      <c r="H42" s="124"/>
      <c r="I42" s="124"/>
      <c r="J42" s="124"/>
      <c r="K42" s="124"/>
      <c r="L42" s="124"/>
      <c r="M42" s="124"/>
      <c r="N42" s="124"/>
      <c r="O42" s="124"/>
      <c r="P42" s="124"/>
      <c r="Q42" s="124"/>
      <c r="R42" s="124"/>
      <c r="S42" s="124"/>
      <c r="T42" s="124"/>
    </row>
    <row r="43" spans="1:20">
      <c r="A43" s="124"/>
      <c r="B43" s="124"/>
      <c r="C43" s="124"/>
      <c r="D43" s="124"/>
      <c r="E43" s="124"/>
      <c r="F43" s="124"/>
      <c r="G43" s="124"/>
      <c r="H43" s="124"/>
      <c r="I43" s="124"/>
      <c r="J43" s="124"/>
      <c r="K43" s="124"/>
      <c r="L43" s="124"/>
      <c r="M43" s="124"/>
      <c r="N43" s="124"/>
      <c r="O43" s="124"/>
      <c r="P43" s="124"/>
      <c r="Q43" s="124"/>
      <c r="R43" s="124"/>
      <c r="S43" s="124"/>
      <c r="T43" s="124"/>
    </row>
    <row r="44" spans="1:20">
      <c r="A44" s="124"/>
      <c r="B44" s="124"/>
      <c r="C44" s="124"/>
      <c r="D44" s="124"/>
      <c r="E44" s="124"/>
      <c r="F44" s="124"/>
      <c r="G44" s="124"/>
      <c r="H44" s="124"/>
      <c r="I44" s="124"/>
      <c r="J44" s="124"/>
      <c r="K44" s="124"/>
      <c r="L44" s="124"/>
      <c r="M44" s="124"/>
      <c r="N44" s="124"/>
      <c r="O44" s="124"/>
      <c r="P44" s="124"/>
      <c r="Q44" s="124"/>
      <c r="R44" s="124"/>
      <c r="S44" s="124"/>
      <c r="T44" s="124"/>
    </row>
    <row r="45" spans="1:20">
      <c r="A45" s="124"/>
      <c r="B45" s="124"/>
      <c r="C45" s="124"/>
      <c r="D45" s="124"/>
      <c r="E45" s="124"/>
      <c r="F45" s="124"/>
      <c r="G45" s="124"/>
      <c r="H45" s="124"/>
      <c r="I45" s="124"/>
      <c r="J45" s="124"/>
      <c r="K45" s="124"/>
      <c r="L45" s="124"/>
      <c r="M45" s="124"/>
      <c r="N45" s="124"/>
      <c r="O45" s="124"/>
      <c r="P45" s="124"/>
      <c r="Q45" s="124"/>
      <c r="R45" s="124"/>
      <c r="S45" s="124"/>
      <c r="T45" s="124"/>
    </row>
    <row r="46" spans="1:20">
      <c r="A46" s="124"/>
      <c r="B46" s="124"/>
      <c r="C46" s="124"/>
      <c r="D46" s="124"/>
      <c r="E46" s="124"/>
      <c r="F46" s="124"/>
      <c r="G46" s="124"/>
      <c r="H46" s="124"/>
      <c r="I46" s="124"/>
      <c r="J46" s="124"/>
      <c r="K46" s="124"/>
      <c r="L46" s="124"/>
      <c r="M46" s="124"/>
      <c r="N46" s="124"/>
      <c r="O46" s="124"/>
      <c r="P46" s="124"/>
      <c r="Q46" s="124"/>
      <c r="R46" s="124"/>
      <c r="S46" s="124"/>
      <c r="T46" s="124"/>
    </row>
  </sheetData>
  <mergeCells count="1">
    <mergeCell ref="B6:M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J127"/>
  <sheetViews>
    <sheetView zoomScale="50" zoomScaleNormal="50" workbookViewId="0">
      <pane xSplit="1" topLeftCell="B1" activePane="topRight" state="frozen"/>
      <selection activeCell="AS8" sqref="AS8"/>
      <selection pane="topRight" activeCell="A5" sqref="A5"/>
    </sheetView>
  </sheetViews>
  <sheetFormatPr defaultColWidth="8.5" defaultRowHeight="15.75"/>
  <cols>
    <col min="1" max="1" width="35.5" bestFit="1" customWidth="1"/>
    <col min="7" max="7" width="11"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Alibaba</v>
      </c>
    </row>
    <row r="5" spans="1:36" s="1" customFormat="1" ht="14.25">
      <c r="A5" s="19"/>
    </row>
    <row r="8" spans="1:36">
      <c r="B8" s="163" t="str">
        <f>"Ethernet transceivers consumed annually by "&amp;A39</f>
        <v>Ethernet transceivers consumed annually by Alibaba</v>
      </c>
      <c r="C8" s="163"/>
      <c r="D8" s="163"/>
      <c r="E8" s="163"/>
      <c r="F8" s="163"/>
      <c r="G8" s="163"/>
      <c r="H8" s="163"/>
      <c r="I8" s="163"/>
      <c r="J8" s="163" t="str">
        <f>"DWDM transceivers consumed annually by "&amp;A39</f>
        <v>DWDM transceivers consumed annually by Alibaba</v>
      </c>
      <c r="K8" s="163"/>
      <c r="L8" s="163"/>
      <c r="M8" s="163"/>
      <c r="N8" s="163"/>
      <c r="O8" s="163"/>
      <c r="P8" s="163"/>
      <c r="S8" s="163" t="str">
        <f>"Annual spending on Ethernet transceivers by "&amp;A39</f>
        <v>Annual spending on Ethernet transceivers by Alibaba</v>
      </c>
      <c r="T8" s="163"/>
      <c r="U8" s="163"/>
      <c r="V8" s="163"/>
      <c r="W8" s="163"/>
      <c r="X8" s="163"/>
      <c r="Y8" s="163"/>
      <c r="AA8" s="163" t="str">
        <f>"Annual spending on DWDM transceivers by "&amp;A39</f>
        <v>Annual spending on DWDM transceivers by Alibaba</v>
      </c>
      <c r="AB8" s="163"/>
      <c r="AC8" s="163"/>
      <c r="AD8" s="163"/>
      <c r="AE8" s="163"/>
      <c r="AF8" s="163"/>
      <c r="AG8" s="163"/>
      <c r="AH8" s="163"/>
      <c r="AI8" s="163"/>
      <c r="AJ8" s="163"/>
    </row>
    <row r="39" spans="1:24">
      <c r="A39" s="12" t="s">
        <v>215</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185068.20771712539</v>
      </c>
      <c r="C41" s="8">
        <v>103695.5428683941</v>
      </c>
      <c r="D41" s="8"/>
      <c r="E41" s="8"/>
      <c r="F41" s="8"/>
      <c r="G41" s="8"/>
      <c r="H41" s="8"/>
      <c r="I41" s="8"/>
      <c r="J41" s="8"/>
      <c r="K41" s="8"/>
      <c r="L41" s="8"/>
      <c r="M41" s="62" cm="1">
        <f t="array" ref="M41">INDEX(tblPrices[cv_2018], MATCH(tblAlibabaUnits[[#This Row],[Products]],tblPrices[Products],0), 0)* tblAlibabaUnits[[#This Row],[cv_2018]]/10^6</f>
        <v>2.3824051502932528</v>
      </c>
      <c r="N41" s="62" cm="1">
        <f t="array" ref="N41">INDEX(tblPrices[cv_2019], MATCH(tblAlibabaUnits[[#This Row],[Products]],tblPrices[Products],0), 0)* tblAlibabaUnits[[#This Row],[cv_2019]]/10^6</f>
        <v>1.2341749233425516</v>
      </c>
      <c r="O41" s="62" cm="1">
        <f t="array" ref="O41">INDEX(tblPrices[cv_2020], MATCH(tblAlibabaUnits[[#This Row],[Products]],tblPrices[Products],0), 0)* tblAlibabaUnits[[#This Row],[cv_2020]]/10^6</f>
        <v>0</v>
      </c>
      <c r="P41" s="62" cm="1">
        <f t="array" ref="P41">INDEX(tblPrices[cv_2021], MATCH(tblAlibabaUnits[[#This Row],[Products]],tblPrices[Products],0), 0)* tblAlibabaUnits[[#This Row],[cv_2021]]/10^6</f>
        <v>0</v>
      </c>
      <c r="Q41" s="62" cm="1">
        <f t="array" ref="Q41">INDEX(tblPrices[cv_2022], MATCH(tblAlibabaUnits[[#This Row],[Products]],tblPrices[Products],0), 0)* tblAlibabaUnits[[#This Row],[cv_2022]]/10^6</f>
        <v>0</v>
      </c>
      <c r="R41" s="62" cm="1">
        <f t="array" ref="R41">INDEX(tblPrices[cv_2023], MATCH(tblAlibabaUnits[[#This Row],[Products]],tblPrices[Products],0), 0)* tblAlibabaUnits[[#This Row],[cv_2023]]/10^6</f>
        <v>0</v>
      </c>
      <c r="S41" s="62" cm="1">
        <f t="array" ref="S41">INDEX(tblPrices[cv_2024], MATCH(tblAlibabaUnits[[#This Row],[Products]],tblPrices[Products],0), 0)* tblAlibabaUnits[[#This Row],[cv_2024]]/10^6</f>
        <v>0</v>
      </c>
      <c r="T41" s="62" cm="1">
        <f t="array" ref="T41">INDEX(tblPrices[cv_2025], MATCH(tblAlibabaUnits[[#This Row],[Products]],tblPrices[Products],0), 0)* tblAlibabaUnits[[#This Row],[cv_2025]]/10^6</f>
        <v>0</v>
      </c>
      <c r="U41" s="62" cm="1">
        <f t="array" ref="U41">INDEX(tblPrices[cv_2026], MATCH(tblAlibabaUnits[[#This Row],[Products]],tblPrices[Products],0), 0)* tblAlibabaUnits[[#This Row],[cv_2026]]/10^6</f>
        <v>0</v>
      </c>
      <c r="V41" s="62" cm="1">
        <f t="array" ref="V41">INDEX(tblPrices[cv_2027], MATCH(tblAlibabaUnits[[#This Row],[Products]],tblPrices[Products],0), 0)* tblAlibabaUnits[[#This Row],[cv_2027]]/10^6</f>
        <v>0</v>
      </c>
      <c r="W41" s="62" cm="1">
        <f t="array" ref="W41">INDEX(tblPrices[cv_2028], MATCH(tblAlibabaUnits[[#This Row],[Products]],tblPrices[Products],0), 0)* tblAlibabaUnits[[#This Row],[cv_2028]]/10^6</f>
        <v>0</v>
      </c>
      <c r="X41" s="1">
        <f>VLOOKUP(A41,Products!$A$11:$F$110,6,FALSE)</f>
        <v>10</v>
      </c>
    </row>
    <row r="42" spans="1:24" s="1" customFormat="1" ht="13.15">
      <c r="A42" s="16" t="s">
        <v>158</v>
      </c>
      <c r="B42" s="36">
        <v>28704.519992342186</v>
      </c>
      <c r="C42" s="36">
        <v>16083.425781764678</v>
      </c>
      <c r="D42" s="36"/>
      <c r="E42" s="36"/>
      <c r="F42" s="36"/>
      <c r="G42" s="36"/>
      <c r="H42" s="36"/>
      <c r="I42" s="36"/>
      <c r="J42" s="36"/>
      <c r="K42" s="36"/>
      <c r="L42" s="36"/>
      <c r="M42" s="62" cm="1">
        <f t="array" ref="M42">INDEX(tblPrices[cv_2018], MATCH(tblAlibabaUnits[[#This Row],[Products]],tblPrices[Products],0), 0)* tblAlibabaUnits[[#This Row],[cv_2018]]/10^6</f>
        <v>0.69391790804605713</v>
      </c>
      <c r="N42" s="62" cm="1">
        <f t="array" ref="N42">INDEX(tblPrices[cv_2019], MATCH(tblAlibabaUnits[[#This Row],[Products]],tblPrices[Products],0), 0)* tblAlibabaUnits[[#This Row],[cv_2019]]/10^6</f>
        <v>0.34783951280045328</v>
      </c>
      <c r="O42" s="62" cm="1">
        <f t="array" ref="O42">INDEX(tblPrices[cv_2020], MATCH(tblAlibabaUnits[[#This Row],[Products]],tblPrices[Products],0), 0)* tblAlibabaUnits[[#This Row],[cv_2020]]/10^6</f>
        <v>0</v>
      </c>
      <c r="P42" s="62" cm="1">
        <f t="array" ref="P42">INDEX(tblPrices[cv_2021], MATCH(tblAlibabaUnits[[#This Row],[Products]],tblPrices[Products],0), 0)* tblAlibabaUnits[[#This Row],[cv_2021]]/10^6</f>
        <v>0</v>
      </c>
      <c r="Q42" s="62" cm="1">
        <f t="array" ref="Q42">INDEX(tblPrices[cv_2022], MATCH(tblAlibabaUnits[[#This Row],[Products]],tblPrices[Products],0), 0)* tblAlibabaUnits[[#This Row],[cv_2022]]/10^6</f>
        <v>0</v>
      </c>
      <c r="R42" s="62" cm="1">
        <f t="array" ref="R42">INDEX(tblPrices[cv_2023], MATCH(tblAlibabaUnits[[#This Row],[Products]],tblPrices[Products],0), 0)* tblAlibabaUnits[[#This Row],[cv_2023]]/10^6</f>
        <v>0</v>
      </c>
      <c r="S42" s="62" cm="1">
        <f t="array" ref="S42">INDEX(tblPrices[cv_2024], MATCH(tblAlibabaUnits[[#This Row],[Products]],tblPrices[Products],0), 0)* tblAlibabaUnits[[#This Row],[cv_2024]]/10^6</f>
        <v>0</v>
      </c>
      <c r="T42" s="62" cm="1">
        <f t="array" ref="T42">INDEX(tblPrices[cv_2025], MATCH(tblAlibabaUnits[[#This Row],[Products]],tblPrices[Products],0), 0)* tblAlibabaUnits[[#This Row],[cv_2025]]/10^6</f>
        <v>0</v>
      </c>
      <c r="U42" s="62" cm="1">
        <f t="array" ref="U42">INDEX(tblPrices[cv_2026], MATCH(tblAlibabaUnits[[#This Row],[Products]],tblPrices[Products],0), 0)* tblAlibabaUnits[[#This Row],[cv_2026]]/10^6</f>
        <v>0</v>
      </c>
      <c r="V42" s="62" cm="1">
        <f t="array" ref="V42">INDEX(tblPrices[cv_2027], MATCH(tblAlibabaUnits[[#This Row],[Products]],tblPrices[Products],0), 0)* tblAlibabaUnits[[#This Row],[cv_2027]]/10^6</f>
        <v>0</v>
      </c>
      <c r="W42" s="62" cm="1">
        <f t="array" ref="W42">INDEX(tblPrices[cv_2028], MATCH(tblAlibabaUnits[[#This Row],[Products]],tblPrices[Products],0), 0)* tblAlibabaUnits[[#This Row],[cv_2028]]/10^6</f>
        <v>0</v>
      </c>
      <c r="X42" s="1">
        <f>VLOOKUP(A42,Products!$A$11:$F$110,6,FALSE)</f>
        <v>10</v>
      </c>
    </row>
    <row r="43" spans="1:24" s="1" customFormat="1" ht="13.15">
      <c r="A43" s="16" t="s">
        <v>159</v>
      </c>
      <c r="B43" s="36">
        <v>856.76651762794359</v>
      </c>
      <c r="C43" s="36">
        <v>480.05473361847464</v>
      </c>
      <c r="D43" s="36"/>
      <c r="E43" s="36"/>
      <c r="F43" s="36"/>
      <c r="G43" s="36"/>
      <c r="H43" s="36"/>
      <c r="I43" s="36"/>
      <c r="J43" s="36"/>
      <c r="K43" s="36"/>
      <c r="L43" s="36"/>
      <c r="M43" s="62" cm="1">
        <f t="array" ref="M43">INDEX(tblPrices[cv_2018], MATCH(tblAlibabaUnits[[#This Row],[Products]],tblPrices[Products],0), 0)* tblAlibabaUnits[[#This Row],[cv_2018]]/10^6</f>
        <v>0.10252659471303924</v>
      </c>
      <c r="N43" s="62" cm="1">
        <f t="array" ref="N43">INDEX(tblPrices[cv_2019], MATCH(tblAlibabaUnits[[#This Row],[Products]],tblPrices[Products],0), 0)* tblAlibabaUnits[[#This Row],[cv_2019]]/10^6</f>
        <v>5.736687089938327E-2</v>
      </c>
      <c r="O43" s="62" cm="1">
        <f t="array" ref="O43">INDEX(tblPrices[cv_2020], MATCH(tblAlibabaUnits[[#This Row],[Products]],tblPrices[Products],0), 0)* tblAlibabaUnits[[#This Row],[cv_2020]]/10^6</f>
        <v>0</v>
      </c>
      <c r="P43" s="62" cm="1">
        <f t="array" ref="P43">INDEX(tblPrices[cv_2021], MATCH(tblAlibabaUnits[[#This Row],[Products]],tblPrices[Products],0), 0)* tblAlibabaUnits[[#This Row],[cv_2021]]/10^6</f>
        <v>0</v>
      </c>
      <c r="Q43" s="62" cm="1">
        <f t="array" ref="Q43">INDEX(tblPrices[cv_2022], MATCH(tblAlibabaUnits[[#This Row],[Products]],tblPrices[Products],0), 0)* tblAlibabaUnits[[#This Row],[cv_2022]]/10^6</f>
        <v>0</v>
      </c>
      <c r="R43" s="62" cm="1">
        <f t="array" ref="R43">INDEX(tblPrices[cv_2023], MATCH(tblAlibabaUnits[[#This Row],[Products]],tblPrices[Products],0), 0)* tblAlibabaUnits[[#This Row],[cv_2023]]/10^6</f>
        <v>0</v>
      </c>
      <c r="S43" s="62" cm="1">
        <f t="array" ref="S43">INDEX(tblPrices[cv_2024], MATCH(tblAlibabaUnits[[#This Row],[Products]],tblPrices[Products],0), 0)* tblAlibabaUnits[[#This Row],[cv_2024]]/10^6</f>
        <v>0</v>
      </c>
      <c r="T43" s="62" cm="1">
        <f t="array" ref="T43">INDEX(tblPrices[cv_2025], MATCH(tblAlibabaUnits[[#This Row],[Products]],tblPrices[Products],0), 0)* tblAlibabaUnits[[#This Row],[cv_2025]]/10^6</f>
        <v>0</v>
      </c>
      <c r="U43" s="62" cm="1">
        <f t="array" ref="U43">INDEX(tblPrices[cv_2026], MATCH(tblAlibabaUnits[[#This Row],[Products]],tblPrices[Products],0), 0)* tblAlibabaUnits[[#This Row],[cv_2026]]/10^6</f>
        <v>0</v>
      </c>
      <c r="V43" s="62" cm="1">
        <f t="array" ref="V43">INDEX(tblPrices[cv_2027], MATCH(tblAlibabaUnits[[#This Row],[Products]],tblPrices[Products],0), 0)* tblAlibabaUnits[[#This Row],[cv_2027]]/10^6</f>
        <v>0</v>
      </c>
      <c r="W43" s="62" cm="1">
        <f t="array" ref="W43">INDEX(tblPrices[cv_2028], MATCH(tblAlibabaUnits[[#This Row],[Products]],tblPrices[Products],0), 0)* tblAlibabaUnits[[#This Row],[cv_2028]]/10^6</f>
        <v>0</v>
      </c>
      <c r="X43" s="1">
        <f>VLOOKUP(A43,Products!$A$11:$F$110,6,FALSE)</f>
        <v>10</v>
      </c>
    </row>
    <row r="44" spans="1:24" s="1" customFormat="1" ht="13.15">
      <c r="A44" s="9" t="s">
        <v>0</v>
      </c>
      <c r="B44" s="8">
        <v>140445.49490000002</v>
      </c>
      <c r="C44" s="8">
        <v>78949.150049999982</v>
      </c>
      <c r="D44" s="8"/>
      <c r="E44" s="8"/>
      <c r="F44" s="8"/>
      <c r="G44" s="8"/>
      <c r="H44" s="8"/>
      <c r="I44" s="8"/>
      <c r="J44" s="8"/>
      <c r="K44" s="8"/>
      <c r="L44" s="8"/>
      <c r="M44" s="62" cm="1">
        <f t="array" ref="M44">INDEX(tblPrices[cv_2018], MATCH(tblAlibabaUnits[[#This Row],[Products]],tblPrices[Products],0), 0)* tblAlibabaUnits[[#This Row],[cv_2018]]/10^6</f>
        <v>8.2385698843725859</v>
      </c>
      <c r="N44" s="62" cm="1">
        <f t="array" ref="N44">INDEX(tblPrices[cv_2019], MATCH(tblAlibabaUnits[[#This Row],[Products]],tblPrices[Products],0), 0)* tblAlibabaUnits[[#This Row],[cv_2019]]/10^6</f>
        <v>3.6413016619821414</v>
      </c>
      <c r="O44" s="62" cm="1">
        <f t="array" ref="O44">INDEX(tblPrices[cv_2020], MATCH(tblAlibabaUnits[[#This Row],[Products]],tblPrices[Products],0), 0)* tblAlibabaUnits[[#This Row],[cv_2020]]/10^6</f>
        <v>0</v>
      </c>
      <c r="P44" s="62" cm="1">
        <f t="array" ref="P44">INDEX(tblPrices[cv_2021], MATCH(tblAlibabaUnits[[#This Row],[Products]],tblPrices[Products],0), 0)* tblAlibabaUnits[[#This Row],[cv_2021]]/10^6</f>
        <v>0</v>
      </c>
      <c r="Q44" s="62" cm="1">
        <f t="array" ref="Q44">INDEX(tblPrices[cv_2022], MATCH(tblAlibabaUnits[[#This Row],[Products]],tblPrices[Products],0), 0)* tblAlibabaUnits[[#This Row],[cv_2022]]/10^6</f>
        <v>0</v>
      </c>
      <c r="R44" s="62" cm="1">
        <f t="array" ref="R44">INDEX(tblPrices[cv_2023], MATCH(tblAlibabaUnits[[#This Row],[Products]],tblPrices[Products],0), 0)* tblAlibabaUnits[[#This Row],[cv_2023]]/10^6</f>
        <v>0</v>
      </c>
      <c r="S44" s="62" cm="1">
        <f t="array" ref="S44">INDEX(tblPrices[cv_2024], MATCH(tblAlibabaUnits[[#This Row],[Products]],tblPrices[Products],0), 0)* tblAlibabaUnits[[#This Row],[cv_2024]]/10^6</f>
        <v>0</v>
      </c>
      <c r="T44" s="62" cm="1">
        <f t="array" ref="T44">INDEX(tblPrices[cv_2025], MATCH(tblAlibabaUnits[[#This Row],[Products]],tblPrices[Products],0), 0)* tblAlibabaUnits[[#This Row],[cv_2025]]/10^6</f>
        <v>0</v>
      </c>
      <c r="U44" s="62" cm="1">
        <f t="array" ref="U44">INDEX(tblPrices[cv_2026], MATCH(tblAlibabaUnits[[#This Row],[Products]],tblPrices[Products],0), 0)* tblAlibabaUnits[[#This Row],[cv_2026]]/10^6</f>
        <v>0</v>
      </c>
      <c r="V44" s="62" cm="1">
        <f t="array" ref="V44">INDEX(tblPrices[cv_2027], MATCH(tblAlibabaUnits[[#This Row],[Products]],tblPrices[Products],0), 0)* tblAlibabaUnits[[#This Row],[cv_2027]]/10^6</f>
        <v>0</v>
      </c>
      <c r="W44" s="62" cm="1">
        <f t="array" ref="W44">INDEX(tblPrices[cv_2028], MATCH(tblAlibabaUnits[[#This Row],[Products]],tblPrices[Products],0), 0)* tblAlibabaUnits[[#This Row],[cv_2028]]/10^6</f>
        <v>0</v>
      </c>
      <c r="X44" s="1">
        <f>VLOOKUP(A44,Products!$A$29:$F$110,6,FALSE)</f>
        <v>40</v>
      </c>
    </row>
    <row r="45" spans="1:24" s="1" customFormat="1" ht="13.15">
      <c r="A45" s="9" t="s">
        <v>1</v>
      </c>
      <c r="B45" s="8">
        <v>71793.9954</v>
      </c>
      <c r="C45" s="8">
        <v>35189.637899999994</v>
      </c>
      <c r="D45" s="8"/>
      <c r="E45" s="8"/>
      <c r="F45" s="8"/>
      <c r="G45" s="8"/>
      <c r="H45" s="8"/>
      <c r="I45" s="8"/>
      <c r="J45" s="8"/>
      <c r="K45" s="8"/>
      <c r="L45" s="8"/>
      <c r="M45" s="62" cm="1">
        <f t="array" ref="M45">INDEX(tblPrices[cv_2018], MATCH(tblAlibabaUnits[[#This Row],[Products]],tblPrices[Products],0), 0)* tblAlibabaUnits[[#This Row],[cv_2018]]/10^6</f>
        <v>4.5841126947621023</v>
      </c>
      <c r="N45" s="62" cm="1">
        <f t="array" ref="N45">INDEX(tblPrices[cv_2019], MATCH(tblAlibabaUnits[[#This Row],[Products]],tblPrices[Products],0), 0)* tblAlibabaUnits[[#This Row],[cv_2019]]/10^6</f>
        <v>2.183396019149999</v>
      </c>
      <c r="O45" s="62" cm="1">
        <f t="array" ref="O45">INDEX(tblPrices[cv_2020], MATCH(tblAlibabaUnits[[#This Row],[Products]],tblPrices[Products],0), 0)* tblAlibabaUnits[[#This Row],[cv_2020]]/10^6</f>
        <v>0</v>
      </c>
      <c r="P45" s="62" cm="1">
        <f t="array" ref="P45">INDEX(tblPrices[cv_2021], MATCH(tblAlibabaUnits[[#This Row],[Products]],tblPrices[Products],0), 0)* tblAlibabaUnits[[#This Row],[cv_2021]]/10^6</f>
        <v>0</v>
      </c>
      <c r="Q45" s="62" cm="1">
        <f t="array" ref="Q45">INDEX(tblPrices[cv_2022], MATCH(tblAlibabaUnits[[#This Row],[Products]],tblPrices[Products],0), 0)* tblAlibabaUnits[[#This Row],[cv_2022]]/10^6</f>
        <v>0</v>
      </c>
      <c r="R45" s="62" cm="1">
        <f t="array" ref="R45">INDEX(tblPrices[cv_2023], MATCH(tblAlibabaUnits[[#This Row],[Products]],tblPrices[Products],0), 0)* tblAlibabaUnits[[#This Row],[cv_2023]]/10^6</f>
        <v>0</v>
      </c>
      <c r="S45" s="62" cm="1">
        <f t="array" ref="S45">INDEX(tblPrices[cv_2024], MATCH(tblAlibabaUnits[[#This Row],[Products]],tblPrices[Products],0), 0)* tblAlibabaUnits[[#This Row],[cv_2024]]/10^6</f>
        <v>0</v>
      </c>
      <c r="T45" s="62" cm="1">
        <f t="array" ref="T45">INDEX(tblPrices[cv_2025], MATCH(tblAlibabaUnits[[#This Row],[Products]],tblPrices[Products],0), 0)* tblAlibabaUnits[[#This Row],[cv_2025]]/10^6</f>
        <v>0</v>
      </c>
      <c r="U45" s="62" cm="1">
        <f t="array" ref="U45">INDEX(tblPrices[cv_2026], MATCH(tblAlibabaUnits[[#This Row],[Products]],tblPrices[Products],0), 0)* tblAlibabaUnits[[#This Row],[cv_2026]]/10^6</f>
        <v>0</v>
      </c>
      <c r="V45" s="62" cm="1">
        <f t="array" ref="V45">INDEX(tblPrices[cv_2027], MATCH(tblAlibabaUnits[[#This Row],[Products]],tblPrices[Products],0), 0)* tblAlibabaUnits[[#This Row],[cv_2027]]/10^6</f>
        <v>0</v>
      </c>
      <c r="W45" s="62" cm="1">
        <f t="array" ref="W45">INDEX(tblPrices[cv_2028], MATCH(tblAlibabaUnits[[#This Row],[Products]],tblPrices[Products],0), 0)* tblAlibabaUnits[[#This Row],[cv_2028]]/10^6</f>
        <v>0</v>
      </c>
      <c r="X45" s="1">
        <f>VLOOKUP(A45,Products!$A$29:$F$110,6,FALSE)</f>
        <v>40</v>
      </c>
    </row>
    <row r="46" spans="1:24" s="1" customFormat="1" ht="13.15">
      <c r="A46" s="9" t="s">
        <v>2</v>
      </c>
      <c r="B46" s="8">
        <v>26638.457999999999</v>
      </c>
      <c r="C46" s="8">
        <v>48140.782499999994</v>
      </c>
      <c r="D46" s="8"/>
      <c r="E46" s="8"/>
      <c r="F46" s="8"/>
      <c r="G46" s="8"/>
      <c r="H46" s="8"/>
      <c r="I46" s="8"/>
      <c r="J46" s="8"/>
      <c r="K46" s="8"/>
      <c r="L46" s="8"/>
      <c r="M46" s="62" cm="1">
        <f t="array" ref="M46">INDEX(tblPrices[cv_2018], MATCH(tblAlibabaUnits[[#This Row],[Products]],tblPrices[Products],0), 0)* tblAlibabaUnits[[#This Row],[cv_2018]]/10^6</f>
        <v>8.0897314654799999</v>
      </c>
      <c r="N46" s="62" cm="1">
        <f t="array" ref="N46">INDEX(tblPrices[cv_2019], MATCH(tblAlibabaUnits[[#This Row],[Products]],tblPrices[Products],0), 0)* tblAlibabaUnits[[#This Row],[cv_2019]]/10^6</f>
        <v>12.200389602747455</v>
      </c>
      <c r="O46" s="62" cm="1">
        <f t="array" ref="O46">INDEX(tblPrices[cv_2020], MATCH(tblAlibabaUnits[[#This Row],[Products]],tblPrices[Products],0), 0)* tblAlibabaUnits[[#This Row],[cv_2020]]/10^6</f>
        <v>0</v>
      </c>
      <c r="P46" s="62" cm="1">
        <f t="array" ref="P46">INDEX(tblPrices[cv_2021], MATCH(tblAlibabaUnits[[#This Row],[Products]],tblPrices[Products],0), 0)* tblAlibabaUnits[[#This Row],[cv_2021]]/10^6</f>
        <v>0</v>
      </c>
      <c r="Q46" s="62" cm="1">
        <f t="array" ref="Q46">INDEX(tblPrices[cv_2022], MATCH(tblAlibabaUnits[[#This Row],[Products]],tblPrices[Products],0), 0)* tblAlibabaUnits[[#This Row],[cv_2022]]/10^6</f>
        <v>0</v>
      </c>
      <c r="R46" s="62" cm="1">
        <f t="array" ref="R46">INDEX(tblPrices[cv_2023], MATCH(tblAlibabaUnits[[#This Row],[Products]],tblPrices[Products],0), 0)* tblAlibabaUnits[[#This Row],[cv_2023]]/10^6</f>
        <v>0</v>
      </c>
      <c r="S46" s="62" cm="1">
        <f t="array" ref="S46">INDEX(tblPrices[cv_2024], MATCH(tblAlibabaUnits[[#This Row],[Products]],tblPrices[Products],0), 0)* tblAlibabaUnits[[#This Row],[cv_2024]]/10^6</f>
        <v>0</v>
      </c>
      <c r="T46" s="62" cm="1">
        <f t="array" ref="T46">INDEX(tblPrices[cv_2025], MATCH(tblAlibabaUnits[[#This Row],[Products]],tblPrices[Products],0), 0)* tblAlibabaUnits[[#This Row],[cv_2025]]/10^6</f>
        <v>0</v>
      </c>
      <c r="U46" s="62" cm="1">
        <f t="array" ref="U46">INDEX(tblPrices[cv_2026], MATCH(tblAlibabaUnits[[#This Row],[Products]],tblPrices[Products],0), 0)* tblAlibabaUnits[[#This Row],[cv_2026]]/10^6</f>
        <v>0</v>
      </c>
      <c r="V46" s="62" cm="1">
        <f t="array" ref="V46">INDEX(tblPrices[cv_2027], MATCH(tblAlibabaUnits[[#This Row],[Products]],tblPrices[Products],0), 0)* tblAlibabaUnits[[#This Row],[cv_2027]]/10^6</f>
        <v>0</v>
      </c>
      <c r="W46" s="62" cm="1">
        <f t="array" ref="W46">INDEX(tblPrices[cv_2028], MATCH(tblAlibabaUnits[[#This Row],[Products]],tblPrices[Products],0), 0)* tblAlibabaUnits[[#This Row],[cv_2028]]/10^6</f>
        <v>0</v>
      </c>
      <c r="X46" s="1">
        <f>VLOOKUP(A46,Products!$A$29:$F$110,6,FALSE)</f>
        <v>40</v>
      </c>
    </row>
    <row r="47" spans="1:24" s="1" customFormat="1" ht="13.15">
      <c r="A47" s="9" t="s">
        <v>3</v>
      </c>
      <c r="B47" s="8">
        <v>281912.47155000007</v>
      </c>
      <c r="C47" s="8">
        <v>437369.24352000002</v>
      </c>
      <c r="D47" s="8"/>
      <c r="E47" s="8"/>
      <c r="F47" s="8"/>
      <c r="G47" s="8"/>
      <c r="H47" s="8"/>
      <c r="I47" s="8"/>
      <c r="J47" s="8"/>
      <c r="K47" s="8"/>
      <c r="L47" s="8"/>
      <c r="M47" s="62" cm="1">
        <f t="array" ref="M47">INDEX(tblPrices[cv_2018], MATCH(tblAlibabaUnits[[#This Row],[Products]],tblPrices[Products],0), 0)* tblAlibabaUnits[[#This Row],[cv_2018]]/10^6</f>
        <v>32.010267431463454</v>
      </c>
      <c r="N47" s="62" cm="1">
        <f t="array" ref="N47">INDEX(tblPrices[cv_2019], MATCH(tblAlibabaUnits[[#This Row],[Products]],tblPrices[Products],0), 0)* tblAlibabaUnits[[#This Row],[cv_2019]]/10^6</f>
        <v>37.172283706550857</v>
      </c>
      <c r="O47" s="62" cm="1">
        <f t="array" ref="O47">INDEX(tblPrices[cv_2020], MATCH(tblAlibabaUnits[[#This Row],[Products]],tblPrices[Products],0), 0)* tblAlibabaUnits[[#This Row],[cv_2020]]/10^6</f>
        <v>0</v>
      </c>
      <c r="P47" s="62" cm="1">
        <f t="array" ref="P47">INDEX(tblPrices[cv_2021], MATCH(tblAlibabaUnits[[#This Row],[Products]],tblPrices[Products],0), 0)* tblAlibabaUnits[[#This Row],[cv_2021]]/10^6</f>
        <v>0</v>
      </c>
      <c r="Q47" s="62" cm="1">
        <f t="array" ref="Q47">INDEX(tblPrices[cv_2022], MATCH(tblAlibabaUnits[[#This Row],[Products]],tblPrices[Products],0), 0)* tblAlibabaUnits[[#This Row],[cv_2022]]/10^6</f>
        <v>0</v>
      </c>
      <c r="R47" s="62" cm="1">
        <f t="array" ref="R47">INDEX(tblPrices[cv_2023], MATCH(tblAlibabaUnits[[#This Row],[Products]],tblPrices[Products],0), 0)* tblAlibabaUnits[[#This Row],[cv_2023]]/10^6</f>
        <v>0</v>
      </c>
      <c r="S47" s="62" cm="1">
        <f t="array" ref="S47">INDEX(tblPrices[cv_2024], MATCH(tblAlibabaUnits[[#This Row],[Products]],tblPrices[Products],0), 0)* tblAlibabaUnits[[#This Row],[cv_2024]]/10^6</f>
        <v>0</v>
      </c>
      <c r="T47" s="62" cm="1">
        <f t="array" ref="T47">INDEX(tblPrices[cv_2025], MATCH(tblAlibabaUnits[[#This Row],[Products]],tblPrices[Products],0), 0)* tblAlibabaUnits[[#This Row],[cv_2025]]/10^6</f>
        <v>0</v>
      </c>
      <c r="U47" s="62" cm="1">
        <f t="array" ref="U47">INDEX(tblPrices[cv_2026], MATCH(tblAlibabaUnits[[#This Row],[Products]],tblPrices[Products],0), 0)* tblAlibabaUnits[[#This Row],[cv_2026]]/10^6</f>
        <v>0</v>
      </c>
      <c r="V47" s="62" cm="1">
        <f t="array" ref="V47">INDEX(tblPrices[cv_2027], MATCH(tblAlibabaUnits[[#This Row],[Products]],tblPrices[Products],0), 0)* tblAlibabaUnits[[#This Row],[cv_2027]]/10^6</f>
        <v>0</v>
      </c>
      <c r="W47" s="62" cm="1">
        <f t="array" ref="W47">INDEX(tblPrices[cv_2028], MATCH(tblAlibabaUnits[[#This Row],[Products]],tblPrices[Products],0), 0)* tblAlibabaUnits[[#This Row],[cv_2028]]/10^6</f>
        <v>0</v>
      </c>
      <c r="X47" s="1">
        <f>VLOOKUP(A47,Products!$A$29:$F$110,6,FALSE)</f>
        <v>100</v>
      </c>
    </row>
    <row r="48" spans="1:24" s="1" customFormat="1" ht="13.15">
      <c r="A48" s="9" t="s">
        <v>4</v>
      </c>
      <c r="B48" s="8">
        <v>1622.7000000000003</v>
      </c>
      <c r="C48" s="8">
        <v>4786.0800000000008</v>
      </c>
      <c r="D48" s="8"/>
      <c r="E48" s="8"/>
      <c r="F48" s="8"/>
      <c r="G48" s="8"/>
      <c r="H48" s="8"/>
      <c r="I48" s="8"/>
      <c r="J48" s="8"/>
      <c r="K48" s="8"/>
      <c r="L48" s="8"/>
      <c r="M48" s="62" cm="1">
        <f t="array" ref="M48">INDEX(tblPrices[cv_2018], MATCH(tblAlibabaUnits[[#This Row],[Products]],tblPrices[Products],0), 0)* tblAlibabaUnits[[#This Row],[cv_2018]]/10^6</f>
        <v>0.27585900000000008</v>
      </c>
      <c r="N48" s="62" cm="1">
        <f t="array" ref="N48">INDEX(tblPrices[cv_2019], MATCH(tblAlibabaUnits[[#This Row],[Products]],tblPrices[Products],0), 0)* tblAlibabaUnits[[#This Row],[cv_2019]]/10^6</f>
        <v>0.59826000000000013</v>
      </c>
      <c r="O48" s="62" cm="1">
        <f t="array" ref="O48">INDEX(tblPrices[cv_2020], MATCH(tblAlibabaUnits[[#This Row],[Products]],tblPrices[Products],0), 0)* tblAlibabaUnits[[#This Row],[cv_2020]]/10^6</f>
        <v>0</v>
      </c>
      <c r="P48" s="62" cm="1">
        <f t="array" ref="P48">INDEX(tblPrices[cv_2021], MATCH(tblAlibabaUnits[[#This Row],[Products]],tblPrices[Products],0), 0)* tblAlibabaUnits[[#This Row],[cv_2021]]/10^6</f>
        <v>0</v>
      </c>
      <c r="Q48" s="62" cm="1">
        <f t="array" ref="Q48">INDEX(tblPrices[cv_2022], MATCH(tblAlibabaUnits[[#This Row],[Products]],tblPrices[Products],0), 0)* tblAlibabaUnits[[#This Row],[cv_2022]]/10^6</f>
        <v>0</v>
      </c>
      <c r="R48" s="62" cm="1">
        <f t="array" ref="R48">INDEX(tblPrices[cv_2023], MATCH(tblAlibabaUnits[[#This Row],[Products]],tblPrices[Products],0), 0)* tblAlibabaUnits[[#This Row],[cv_2023]]/10^6</f>
        <v>0</v>
      </c>
      <c r="S48" s="62" cm="1">
        <f t="array" ref="S48">INDEX(tblPrices[cv_2024], MATCH(tblAlibabaUnits[[#This Row],[Products]],tblPrices[Products],0), 0)* tblAlibabaUnits[[#This Row],[cv_2024]]/10^6</f>
        <v>0</v>
      </c>
      <c r="T48" s="62" cm="1">
        <f t="array" ref="T48">INDEX(tblPrices[cv_2025], MATCH(tblAlibabaUnits[[#This Row],[Products]],tblPrices[Products],0), 0)* tblAlibabaUnits[[#This Row],[cv_2025]]/10^6</f>
        <v>0</v>
      </c>
      <c r="U48" s="62" cm="1">
        <f t="array" ref="U48">INDEX(tblPrices[cv_2026], MATCH(tblAlibabaUnits[[#This Row],[Products]],tblPrices[Products],0), 0)* tblAlibabaUnits[[#This Row],[cv_2026]]/10^6</f>
        <v>0</v>
      </c>
      <c r="V48" s="62" cm="1">
        <f t="array" ref="V48">INDEX(tblPrices[cv_2027], MATCH(tblAlibabaUnits[[#This Row],[Products]],tblPrices[Products],0), 0)* tblAlibabaUnits[[#This Row],[cv_2027]]/10^6</f>
        <v>0</v>
      </c>
      <c r="W48" s="62" cm="1">
        <f t="array" ref="W48">INDEX(tblPrices[cv_2028], MATCH(tblAlibabaUnits[[#This Row],[Products]],tblPrices[Products],0), 0)* tblAlibabaUnits[[#This Row],[cv_2028]]/10^6</f>
        <v>0</v>
      </c>
      <c r="X48" s="1">
        <f>VLOOKUP(A48,Products!$A$29:$F$110,6,FALSE)</f>
        <v>100</v>
      </c>
    </row>
    <row r="49" spans="1:24" s="1" customFormat="1" ht="13.15">
      <c r="A49" s="9" t="s">
        <v>5</v>
      </c>
      <c r="B49" s="8">
        <v>116270.03016666668</v>
      </c>
      <c r="C49" s="8">
        <v>206392.71374999997</v>
      </c>
      <c r="D49" s="8"/>
      <c r="E49" s="8"/>
      <c r="F49" s="8"/>
      <c r="G49" s="8"/>
      <c r="H49" s="8"/>
      <c r="I49" s="8"/>
      <c r="J49" s="8"/>
      <c r="K49" s="8"/>
      <c r="L49" s="8"/>
      <c r="M49" s="62" cm="1">
        <f t="array" ref="M49">INDEX(tblPrices[cv_2018], MATCH(tblAlibabaUnits[[#This Row],[Products]],tblPrices[Products],0), 0)* tblAlibabaUnits[[#This Row],[cv_2018]]/10^6</f>
        <v>56.972314781666675</v>
      </c>
      <c r="N49" s="62" cm="1">
        <f t="array" ref="N49">INDEX(tblPrices[cv_2019], MATCH(tblAlibabaUnits[[#This Row],[Products]],tblPrices[Products],0), 0)* tblAlibabaUnits[[#This Row],[cv_2019]]/10^6</f>
        <v>49.534251299999987</v>
      </c>
      <c r="O49" s="62" cm="1">
        <f t="array" ref="O49">INDEX(tblPrices[cv_2020], MATCH(tblAlibabaUnits[[#This Row],[Products]],tblPrices[Products],0), 0)* tblAlibabaUnits[[#This Row],[cv_2020]]/10^6</f>
        <v>0</v>
      </c>
      <c r="P49" s="62" cm="1">
        <f t="array" ref="P49">INDEX(tblPrices[cv_2021], MATCH(tblAlibabaUnits[[#This Row],[Products]],tblPrices[Products],0), 0)* tblAlibabaUnits[[#This Row],[cv_2021]]/10^6</f>
        <v>0</v>
      </c>
      <c r="Q49" s="62" cm="1">
        <f t="array" ref="Q49">INDEX(tblPrices[cv_2022], MATCH(tblAlibabaUnits[[#This Row],[Products]],tblPrices[Products],0), 0)* tblAlibabaUnits[[#This Row],[cv_2022]]/10^6</f>
        <v>0</v>
      </c>
      <c r="R49" s="62" cm="1">
        <f t="array" ref="R49">INDEX(tblPrices[cv_2023], MATCH(tblAlibabaUnits[[#This Row],[Products]],tblPrices[Products],0), 0)* tblAlibabaUnits[[#This Row],[cv_2023]]/10^6</f>
        <v>0</v>
      </c>
      <c r="S49" s="62" cm="1">
        <f t="array" ref="S49">INDEX(tblPrices[cv_2024], MATCH(tblAlibabaUnits[[#This Row],[Products]],tblPrices[Products],0), 0)* tblAlibabaUnits[[#This Row],[cv_2024]]/10^6</f>
        <v>0</v>
      </c>
      <c r="T49" s="62" cm="1">
        <f t="array" ref="T49">INDEX(tblPrices[cv_2025], MATCH(tblAlibabaUnits[[#This Row],[Products]],tblPrices[Products],0), 0)* tblAlibabaUnits[[#This Row],[cv_2025]]/10^6</f>
        <v>0</v>
      </c>
      <c r="U49" s="62" cm="1">
        <f t="array" ref="U49">INDEX(tblPrices[cv_2026], MATCH(tblAlibabaUnits[[#This Row],[Products]],tblPrices[Products],0), 0)* tblAlibabaUnits[[#This Row],[cv_2026]]/10^6</f>
        <v>0</v>
      </c>
      <c r="V49" s="62" cm="1">
        <f t="array" ref="V49">INDEX(tblPrices[cv_2027], MATCH(tblAlibabaUnits[[#This Row],[Products]],tblPrices[Products],0), 0)* tblAlibabaUnits[[#This Row],[cv_2027]]/10^6</f>
        <v>0</v>
      </c>
      <c r="W49" s="62" cm="1">
        <f t="array" ref="W49">INDEX(tblPrices[cv_2028], MATCH(tblAlibabaUnits[[#This Row],[Products]],tblPrices[Products],0), 0)* tblAlibabaUnits[[#This Row],[cv_2028]]/10^6</f>
        <v>0</v>
      </c>
      <c r="X49" s="1">
        <f>VLOOKUP(A49,Products!$A$29:$F$110,6,FALSE)</f>
        <v>100</v>
      </c>
    </row>
    <row r="50" spans="1:24" s="1" customFormat="1" ht="13.15">
      <c r="A50" s="9" t="s">
        <v>6</v>
      </c>
      <c r="B50" s="8">
        <v>17987.662701029414</v>
      </c>
      <c r="C50" s="8">
        <v>13193.494653500002</v>
      </c>
      <c r="D50" s="8"/>
      <c r="E50" s="8"/>
      <c r="F50" s="8"/>
      <c r="G50" s="8"/>
      <c r="H50" s="8"/>
      <c r="I50" s="8"/>
      <c r="J50" s="8"/>
      <c r="K50" s="8"/>
      <c r="L50" s="8"/>
      <c r="M50" s="62" cm="1">
        <f t="array" ref="M50">INDEX(tblPrices[cv_2018], MATCH(tblAlibabaUnits[[#This Row],[Products]],tblPrices[Products],0), 0)* tblAlibabaUnits[[#This Row],[cv_2018]]/10^6</f>
        <v>14.998703387167112</v>
      </c>
      <c r="N50" s="62" cm="1">
        <f t="array" ref="N50">INDEX(tblPrices[cv_2019], MATCH(tblAlibabaUnits[[#This Row],[Products]],tblPrices[Products],0), 0)* tblAlibabaUnits[[#This Row],[cv_2019]]/10^6</f>
        <v>6.9541219452353253</v>
      </c>
      <c r="O50" s="62" cm="1">
        <f t="array" ref="O50">INDEX(tblPrices[cv_2020], MATCH(tblAlibabaUnits[[#This Row],[Products]],tblPrices[Products],0), 0)* tblAlibabaUnits[[#This Row],[cv_2020]]/10^6</f>
        <v>0</v>
      </c>
      <c r="P50" s="62" cm="1">
        <f t="array" ref="P50">INDEX(tblPrices[cv_2021], MATCH(tblAlibabaUnits[[#This Row],[Products]],tblPrices[Products],0), 0)* tblAlibabaUnits[[#This Row],[cv_2021]]/10^6</f>
        <v>0</v>
      </c>
      <c r="Q50" s="62" cm="1">
        <f t="array" ref="Q50">INDEX(tblPrices[cv_2022], MATCH(tblAlibabaUnits[[#This Row],[Products]],tblPrices[Products],0), 0)* tblAlibabaUnits[[#This Row],[cv_2022]]/10^6</f>
        <v>0</v>
      </c>
      <c r="R50" s="62" cm="1">
        <f t="array" ref="R50">INDEX(tblPrices[cv_2023], MATCH(tblAlibabaUnits[[#This Row],[Products]],tblPrices[Products],0), 0)* tblAlibabaUnits[[#This Row],[cv_2023]]/10^6</f>
        <v>0</v>
      </c>
      <c r="S50" s="62" cm="1">
        <f t="array" ref="S50">INDEX(tblPrices[cv_2024], MATCH(tblAlibabaUnits[[#This Row],[Products]],tblPrices[Products],0), 0)* tblAlibabaUnits[[#This Row],[cv_2024]]/10^6</f>
        <v>0</v>
      </c>
      <c r="T50" s="62" cm="1">
        <f t="array" ref="T50">INDEX(tblPrices[cv_2025], MATCH(tblAlibabaUnits[[#This Row],[Products]],tblPrices[Products],0), 0)* tblAlibabaUnits[[#This Row],[cv_2025]]/10^6</f>
        <v>0</v>
      </c>
      <c r="U50" s="62" cm="1">
        <f t="array" ref="U50">INDEX(tblPrices[cv_2026], MATCH(tblAlibabaUnits[[#This Row],[Products]],tblPrices[Products],0), 0)* tblAlibabaUnits[[#This Row],[cv_2026]]/10^6</f>
        <v>0</v>
      </c>
      <c r="V50" s="62" cm="1">
        <f t="array" ref="V50">INDEX(tblPrices[cv_2027], MATCH(tblAlibabaUnits[[#This Row],[Products]],tblPrices[Products],0), 0)* tblAlibabaUnits[[#This Row],[cv_2027]]/10^6</f>
        <v>0</v>
      </c>
      <c r="W50" s="62" cm="1">
        <f t="array" ref="W50">INDEX(tblPrices[cv_2028], MATCH(tblAlibabaUnits[[#This Row],[Products]],tblPrices[Products],0), 0)* tblAlibabaUnits[[#This Row],[cv_2028]]/10^6</f>
        <v>0</v>
      </c>
      <c r="X50" s="1">
        <f>VLOOKUP(A50,Products!$A$29:$F$110,6,FALSE)</f>
        <v>100</v>
      </c>
    </row>
    <row r="51" spans="1:24" s="1" customFormat="1" ht="13.15">
      <c r="A51" s="9" t="s">
        <v>7</v>
      </c>
      <c r="B51" s="8">
        <v>5280.0000000000036</v>
      </c>
      <c r="C51" s="8">
        <v>5168.1528000000017</v>
      </c>
      <c r="D51" s="8"/>
      <c r="E51" s="8"/>
      <c r="F51" s="8"/>
      <c r="G51" s="8"/>
      <c r="H51" s="8"/>
      <c r="I51" s="8"/>
      <c r="J51" s="8"/>
      <c r="K51" s="8"/>
      <c r="L51" s="8"/>
      <c r="M51" s="62" cm="1">
        <f t="array" ref="M51">INDEX(tblPrices[cv_2018], MATCH(tblAlibabaUnits[[#This Row],[Products]],tblPrices[Products],0), 0)* tblAlibabaUnits[[#This Row],[cv_2018]]/10^6</f>
        <v>1.5840000000000012</v>
      </c>
      <c r="N51" s="62" cm="1">
        <f t="array" ref="N51">INDEX(tblPrices[cv_2019], MATCH(tblAlibabaUnits[[#This Row],[Products]],tblPrices[Products],0), 0)* tblAlibabaUnits[[#This Row],[cv_2019]]/10^6</f>
        <v>1.0657689428118926</v>
      </c>
      <c r="O51" s="62" cm="1">
        <f t="array" ref="O51">INDEX(tblPrices[cv_2020], MATCH(tblAlibabaUnits[[#This Row],[Products]],tblPrices[Products],0), 0)* tblAlibabaUnits[[#This Row],[cv_2020]]/10^6</f>
        <v>0</v>
      </c>
      <c r="P51" s="62" cm="1">
        <f t="array" ref="P51">INDEX(tblPrices[cv_2021], MATCH(tblAlibabaUnits[[#This Row],[Products]],tblPrices[Products],0), 0)* tblAlibabaUnits[[#This Row],[cv_2021]]/10^6</f>
        <v>0</v>
      </c>
      <c r="Q51" s="62" cm="1">
        <f t="array" ref="Q51">INDEX(tblPrices[cv_2022], MATCH(tblAlibabaUnits[[#This Row],[Products]],tblPrices[Products],0), 0)* tblAlibabaUnits[[#This Row],[cv_2022]]/10^6</f>
        <v>0</v>
      </c>
      <c r="R51" s="62" cm="1">
        <f t="array" ref="R51">INDEX(tblPrices[cv_2023], MATCH(tblAlibabaUnits[[#This Row],[Products]],tblPrices[Products],0), 0)* tblAlibabaUnits[[#This Row],[cv_2023]]/10^6</f>
        <v>0</v>
      </c>
      <c r="S51" s="62" cm="1">
        <f t="array" ref="S51">INDEX(tblPrices[cv_2024], MATCH(tblAlibabaUnits[[#This Row],[Products]],tblPrices[Products],0), 0)* tblAlibabaUnits[[#This Row],[cv_2024]]/10^6</f>
        <v>0</v>
      </c>
      <c r="T51" s="62" cm="1">
        <f t="array" ref="T51">INDEX(tblPrices[cv_2025], MATCH(tblAlibabaUnits[[#This Row],[Products]],tblPrices[Products],0), 0)* tblAlibabaUnits[[#This Row],[cv_2025]]/10^6</f>
        <v>0</v>
      </c>
      <c r="U51" s="62" cm="1">
        <f t="array" ref="U51">INDEX(tblPrices[cv_2026], MATCH(tblAlibabaUnits[[#This Row],[Products]],tblPrices[Products],0), 0)* tblAlibabaUnits[[#This Row],[cv_2026]]/10^6</f>
        <v>0</v>
      </c>
      <c r="V51" s="62" cm="1">
        <f t="array" ref="V51">INDEX(tblPrices[cv_2027], MATCH(tblAlibabaUnits[[#This Row],[Products]],tblPrices[Products],0), 0)* tblAlibabaUnits[[#This Row],[cv_2027]]/10^6</f>
        <v>0</v>
      </c>
      <c r="W51" s="62" cm="1">
        <f t="array" ref="W51">INDEX(tblPrices[cv_2028], MATCH(tblAlibabaUnits[[#This Row],[Products]],tblPrices[Products],0), 0)* tblAlibabaUnits[[#This Row],[cv_2028]]/10^6</f>
        <v>0</v>
      </c>
      <c r="X51" s="1">
        <f>VLOOKUP(A51,Products!$A$29:$F$110,6,FALSE)</f>
        <v>100</v>
      </c>
    </row>
    <row r="52" spans="1:24" s="1" customFormat="1" ht="13.15">
      <c r="A52" s="9" t="s">
        <v>8</v>
      </c>
      <c r="B52" s="8">
        <v>0</v>
      </c>
      <c r="C52" s="8">
        <v>490.68000000000006</v>
      </c>
      <c r="D52" s="8"/>
      <c r="E52" s="8"/>
      <c r="F52" s="8"/>
      <c r="G52" s="8"/>
      <c r="H52" s="8"/>
      <c r="I52" s="8"/>
      <c r="J52" s="8"/>
      <c r="K52" s="8"/>
      <c r="L52" s="8"/>
      <c r="M52" s="62" cm="1">
        <f t="array" ref="M52">INDEX(tblPrices[cv_2018], MATCH(tblAlibabaUnits[[#This Row],[Products]],tblPrices[Products],0), 0)* tblAlibabaUnits[[#This Row],[cv_2018]]/10^6</f>
        <v>0</v>
      </c>
      <c r="N52" s="62" cm="1">
        <f t="array" ref="N52">INDEX(tblPrices[cv_2019], MATCH(tblAlibabaUnits[[#This Row],[Products]],tblPrices[Products],0), 0)* tblAlibabaUnits[[#This Row],[cv_2019]]/10^6</f>
        <v>0.83790731997885415</v>
      </c>
      <c r="O52" s="62" cm="1">
        <f t="array" ref="O52">INDEX(tblPrices[cv_2020], MATCH(tblAlibabaUnits[[#This Row],[Products]],tblPrices[Products],0), 0)* tblAlibabaUnits[[#This Row],[cv_2020]]/10^6</f>
        <v>0</v>
      </c>
      <c r="P52" s="62" cm="1">
        <f t="array" ref="P52">INDEX(tblPrices[cv_2021], MATCH(tblAlibabaUnits[[#This Row],[Products]],tblPrices[Products],0), 0)* tblAlibabaUnits[[#This Row],[cv_2021]]/10^6</f>
        <v>0</v>
      </c>
      <c r="Q52" s="62" cm="1">
        <f t="array" ref="Q52">INDEX(tblPrices[cv_2022], MATCH(tblAlibabaUnits[[#This Row],[Products]],tblPrices[Products],0), 0)* tblAlibabaUnits[[#This Row],[cv_2022]]/10^6</f>
        <v>0</v>
      </c>
      <c r="R52" s="62" cm="1">
        <f t="array" ref="R52">INDEX(tblPrices[cv_2023], MATCH(tblAlibabaUnits[[#This Row],[Products]],tblPrices[Products],0), 0)* tblAlibabaUnits[[#This Row],[cv_2023]]/10^6</f>
        <v>0</v>
      </c>
      <c r="S52" s="62" cm="1">
        <f t="array" ref="S52">INDEX(tblPrices[cv_2024], MATCH(tblAlibabaUnits[[#This Row],[Products]],tblPrices[Products],0), 0)* tblAlibabaUnits[[#This Row],[cv_2024]]/10^6</f>
        <v>0</v>
      </c>
      <c r="T52" s="62" cm="1">
        <f t="array" ref="T52">INDEX(tblPrices[cv_2025], MATCH(tblAlibabaUnits[[#This Row],[Products]],tblPrices[Products],0), 0)* tblAlibabaUnits[[#This Row],[cv_2025]]/10^6</f>
        <v>0</v>
      </c>
      <c r="U52" s="62" cm="1">
        <f t="array" ref="U52">INDEX(tblPrices[cv_2026], MATCH(tblAlibabaUnits[[#This Row],[Products]],tblPrices[Products],0), 0)* tblAlibabaUnits[[#This Row],[cv_2026]]/10^6</f>
        <v>0</v>
      </c>
      <c r="V52" s="62" cm="1">
        <f t="array" ref="V52">INDEX(tblPrices[cv_2027], MATCH(tblAlibabaUnits[[#This Row],[Products]],tblPrices[Products],0), 0)* tblAlibabaUnits[[#This Row],[cv_2027]]/10^6</f>
        <v>0</v>
      </c>
      <c r="W52" s="62" cm="1">
        <f t="array" ref="W52">INDEX(tblPrices[cv_2028], MATCH(tblAlibabaUnits[[#This Row],[Products]],tblPrices[Products],0), 0)* tblAlibabaUnits[[#This Row],[cv_2028]]/10^6</f>
        <v>0</v>
      </c>
      <c r="X52" s="1">
        <f>VLOOKUP(A52,Products!$A$29:$F$110,6,FALSE)</f>
        <v>100</v>
      </c>
    </row>
    <row r="53" spans="1:24" s="1" customFormat="1" ht="13.15">
      <c r="A53" s="9" t="s">
        <v>44</v>
      </c>
      <c r="B53" s="8">
        <v>0</v>
      </c>
      <c r="C53" s="8">
        <v>0</v>
      </c>
      <c r="D53" s="8"/>
      <c r="E53" s="8"/>
      <c r="F53" s="8"/>
      <c r="G53" s="8"/>
      <c r="H53" s="8"/>
      <c r="I53" s="8"/>
      <c r="J53" s="8"/>
      <c r="K53" s="8"/>
      <c r="L53" s="8"/>
      <c r="M53" s="62" cm="1">
        <f t="array" ref="M53">INDEX(tblPrices[cv_2018], MATCH(tblAlibabaUnits[[#This Row],[Products]],tblPrices[Products],0), 0)* tblAlibabaUnits[[#This Row],[cv_2018]]/10^6</f>
        <v>0</v>
      </c>
      <c r="N53" s="62" cm="1">
        <f t="array" ref="N53">INDEX(tblPrices[cv_2019], MATCH(tblAlibabaUnits[[#This Row],[Products]],tblPrices[Products],0), 0)* tblAlibabaUnits[[#This Row],[cv_2019]]/10^6</f>
        <v>0</v>
      </c>
      <c r="O53" s="62" cm="1">
        <f t="array" ref="O53">INDEX(tblPrices[cv_2020], MATCH(tblAlibabaUnits[[#This Row],[Products]],tblPrices[Products],0), 0)* tblAlibabaUnits[[#This Row],[cv_2020]]/10^6</f>
        <v>0</v>
      </c>
      <c r="P53" s="62" cm="1">
        <f t="array" ref="P53">INDEX(tblPrices[cv_2021], MATCH(tblAlibabaUnits[[#This Row],[Products]],tblPrices[Products],0), 0)* tblAlibabaUnits[[#This Row],[cv_2021]]/10^6</f>
        <v>0</v>
      </c>
      <c r="Q53" s="62" cm="1">
        <f t="array" ref="Q53">INDEX(tblPrices[cv_2022], MATCH(tblAlibabaUnits[[#This Row],[Products]],tblPrices[Products],0), 0)* tblAlibabaUnits[[#This Row],[cv_2022]]/10^6</f>
        <v>0</v>
      </c>
      <c r="R53" s="62" cm="1">
        <f t="array" ref="R53">INDEX(tblPrices[cv_2023], MATCH(tblAlibabaUnits[[#This Row],[Products]],tblPrices[Products],0), 0)* tblAlibabaUnits[[#This Row],[cv_2023]]/10^6</f>
        <v>0</v>
      </c>
      <c r="S53" s="62" cm="1">
        <f t="array" ref="S53">INDEX(tblPrices[cv_2024], MATCH(tblAlibabaUnits[[#This Row],[Products]],tblPrices[Products],0), 0)* tblAlibabaUnits[[#This Row],[cv_2024]]/10^6</f>
        <v>0</v>
      </c>
      <c r="T53" s="62" cm="1">
        <f t="array" ref="T53">INDEX(tblPrices[cv_2025], MATCH(tblAlibabaUnits[[#This Row],[Products]],tblPrices[Products],0), 0)* tblAlibabaUnits[[#This Row],[cv_2025]]/10^6</f>
        <v>0</v>
      </c>
      <c r="U53" s="62" cm="1">
        <f t="array" ref="U53">INDEX(tblPrices[cv_2026], MATCH(tblAlibabaUnits[[#This Row],[Products]],tblPrices[Products],0), 0)* tblAlibabaUnits[[#This Row],[cv_2026]]/10^6</f>
        <v>0</v>
      </c>
      <c r="V53" s="62" cm="1">
        <f t="array" ref="V53">INDEX(tblPrices[cv_2027], MATCH(tblAlibabaUnits[[#This Row],[Products]],tblPrices[Products],0), 0)* tblAlibabaUnits[[#This Row],[cv_2027]]/10^6</f>
        <v>0</v>
      </c>
      <c r="W53" s="62" cm="1">
        <f t="array" ref="W53">INDEX(tblPrices[cv_2028], MATCH(tblAlibabaUnits[[#This Row],[Products]],tblPrices[Products],0), 0)* tblAlibabaUnits[[#This Row],[cv_2028]]/10^6</f>
        <v>0</v>
      </c>
      <c r="X53" s="1">
        <f>VLOOKUP(A53,Products!$A$29:$F$110,6,FALSE)</f>
        <v>100</v>
      </c>
    </row>
    <row r="54" spans="1:24" s="1" customFormat="1" ht="13.15">
      <c r="A54" s="9" t="s">
        <v>45</v>
      </c>
      <c r="B54" s="8">
        <v>0</v>
      </c>
      <c r="C54" s="8">
        <v>0</v>
      </c>
      <c r="D54" s="8"/>
      <c r="E54" s="8"/>
      <c r="F54" s="8"/>
      <c r="G54" s="8"/>
      <c r="H54" s="8"/>
      <c r="I54" s="8"/>
      <c r="J54" s="8"/>
      <c r="K54" s="8"/>
      <c r="L54" s="8"/>
      <c r="M54" s="62" cm="1">
        <f t="array" ref="M54">INDEX(tblPrices[cv_2018], MATCH(tblAlibabaUnits[[#This Row],[Products]],tblPrices[Products],0), 0)* tblAlibabaUnits[[#This Row],[cv_2018]]/10^6</f>
        <v>0</v>
      </c>
      <c r="N54" s="62" cm="1">
        <f t="array" ref="N54">INDEX(tblPrices[cv_2019], MATCH(tblAlibabaUnits[[#This Row],[Products]],tblPrices[Products],0), 0)* tblAlibabaUnits[[#This Row],[cv_2019]]/10^6</f>
        <v>0</v>
      </c>
      <c r="O54" s="62" cm="1">
        <f t="array" ref="O54">INDEX(tblPrices[cv_2020], MATCH(tblAlibabaUnits[[#This Row],[Products]],tblPrices[Products],0), 0)* tblAlibabaUnits[[#This Row],[cv_2020]]/10^6</f>
        <v>0</v>
      </c>
      <c r="P54" s="62" cm="1">
        <f t="array" ref="P54">INDEX(tblPrices[cv_2021], MATCH(tblAlibabaUnits[[#This Row],[Products]],tblPrices[Products],0), 0)* tblAlibabaUnits[[#This Row],[cv_2021]]/10^6</f>
        <v>0</v>
      </c>
      <c r="Q54" s="62" cm="1">
        <f t="array" ref="Q54">INDEX(tblPrices[cv_2022], MATCH(tblAlibabaUnits[[#This Row],[Products]],tblPrices[Products],0), 0)* tblAlibabaUnits[[#This Row],[cv_2022]]/10^6</f>
        <v>0</v>
      </c>
      <c r="R54" s="62" cm="1">
        <f t="array" ref="R54">INDEX(tblPrices[cv_2023], MATCH(tblAlibabaUnits[[#This Row],[Products]],tblPrices[Products],0), 0)* tblAlibabaUnits[[#This Row],[cv_2023]]/10^6</f>
        <v>0</v>
      </c>
      <c r="S54" s="62" cm="1">
        <f t="array" ref="S54">INDEX(tblPrices[cv_2024], MATCH(tblAlibabaUnits[[#This Row],[Products]],tblPrices[Products],0), 0)* tblAlibabaUnits[[#This Row],[cv_2024]]/10^6</f>
        <v>0</v>
      </c>
      <c r="T54" s="62" cm="1">
        <f t="array" ref="T54">INDEX(tblPrices[cv_2025], MATCH(tblAlibabaUnits[[#This Row],[Products]],tblPrices[Products],0), 0)* tblAlibabaUnits[[#This Row],[cv_2025]]/10^6</f>
        <v>0</v>
      </c>
      <c r="U54" s="62" cm="1">
        <f t="array" ref="U54">INDEX(tblPrices[cv_2026], MATCH(tblAlibabaUnits[[#This Row],[Products]],tblPrices[Products],0), 0)* tblAlibabaUnits[[#This Row],[cv_2026]]/10^6</f>
        <v>0</v>
      </c>
      <c r="V54" s="62" cm="1">
        <f t="array" ref="V54">INDEX(tblPrices[cv_2027], MATCH(tblAlibabaUnits[[#This Row],[Products]],tblPrices[Products],0), 0)* tblAlibabaUnits[[#This Row],[cv_2027]]/10^6</f>
        <v>0</v>
      </c>
      <c r="W54" s="62" cm="1">
        <f t="array" ref="W54">INDEX(tblPrices[cv_2028], MATCH(tblAlibabaUnits[[#This Row],[Products]],tblPrices[Products],0), 0)* tblAlibabaUnits[[#This Row],[cv_2028]]/10^6</f>
        <v>0</v>
      </c>
      <c r="X54" s="1">
        <f>VLOOKUP(A54,Products!$A$29:$F$110,6,FALSE)</f>
        <v>100</v>
      </c>
    </row>
    <row r="55" spans="1:24" s="1" customFormat="1" ht="13.15">
      <c r="A55" s="9" t="s">
        <v>47</v>
      </c>
      <c r="B55" s="8">
        <v>300</v>
      </c>
      <c r="C55" s="8">
        <v>2500</v>
      </c>
      <c r="D55" s="8"/>
      <c r="E55" s="8"/>
      <c r="F55" s="8"/>
      <c r="G55" s="8"/>
      <c r="H55" s="8"/>
      <c r="I55" s="8"/>
      <c r="J55" s="8"/>
      <c r="K55" s="8"/>
      <c r="L55" s="8"/>
      <c r="M55" s="62" cm="1">
        <f t="array" ref="M55">INDEX(tblPrices[cv_2018], MATCH(tblAlibabaUnits[[#This Row],[Products]],tblPrices[Products],0), 0)* tblAlibabaUnits[[#This Row],[cv_2018]]/10^6</f>
        <v>0.21</v>
      </c>
      <c r="N55" s="62" cm="1">
        <f t="array" ref="N55">INDEX(tblPrices[cv_2019], MATCH(tblAlibabaUnits[[#This Row],[Products]],tblPrices[Products],0), 0)* tblAlibabaUnits[[#This Row],[cv_2019]]/10^6</f>
        <v>1.5</v>
      </c>
      <c r="O55" s="62" cm="1">
        <f t="array" ref="O55">INDEX(tblPrices[cv_2020], MATCH(tblAlibabaUnits[[#This Row],[Products]],tblPrices[Products],0), 0)* tblAlibabaUnits[[#This Row],[cv_2020]]/10^6</f>
        <v>0</v>
      </c>
      <c r="P55" s="62" cm="1">
        <f t="array" ref="P55">INDEX(tblPrices[cv_2021], MATCH(tblAlibabaUnits[[#This Row],[Products]],tblPrices[Products],0), 0)* tblAlibabaUnits[[#This Row],[cv_2021]]/10^6</f>
        <v>0</v>
      </c>
      <c r="Q55" s="62" cm="1">
        <f t="array" ref="Q55">INDEX(tblPrices[cv_2022], MATCH(tblAlibabaUnits[[#This Row],[Products]],tblPrices[Products],0), 0)* tblAlibabaUnits[[#This Row],[cv_2022]]/10^6</f>
        <v>0</v>
      </c>
      <c r="R55" s="62" cm="1">
        <f t="array" ref="R55">INDEX(tblPrices[cv_2023], MATCH(tblAlibabaUnits[[#This Row],[Products]],tblPrices[Products],0), 0)* tblAlibabaUnits[[#This Row],[cv_2023]]/10^6</f>
        <v>0</v>
      </c>
      <c r="S55" s="62" cm="1">
        <f t="array" ref="S55">INDEX(tblPrices[cv_2024], MATCH(tblAlibabaUnits[[#This Row],[Products]],tblPrices[Products],0), 0)* tblAlibabaUnits[[#This Row],[cv_2024]]/10^6</f>
        <v>0</v>
      </c>
      <c r="T55" s="62" cm="1">
        <f t="array" ref="T55">INDEX(tblPrices[cv_2025], MATCH(tblAlibabaUnits[[#This Row],[Products]],tblPrices[Products],0), 0)* tblAlibabaUnits[[#This Row],[cv_2025]]/10^6</f>
        <v>0</v>
      </c>
      <c r="U55" s="62" cm="1">
        <f t="array" ref="U55">INDEX(tblPrices[cv_2026], MATCH(tblAlibabaUnits[[#This Row],[Products]],tblPrices[Products],0), 0)* tblAlibabaUnits[[#This Row],[cv_2026]]/10^6</f>
        <v>0</v>
      </c>
      <c r="V55" s="62" cm="1">
        <f t="array" ref="V55">INDEX(tblPrices[cv_2027], MATCH(tblAlibabaUnits[[#This Row],[Products]],tblPrices[Products],0), 0)* tblAlibabaUnits[[#This Row],[cv_2027]]/10^6</f>
        <v>0</v>
      </c>
      <c r="W55" s="62" cm="1">
        <f t="array" ref="W55">INDEX(tblPrices[cv_2028], MATCH(tblAlibabaUnits[[#This Row],[Products]],tblPrices[Products],0), 0)* tblAlibabaUnits[[#This Row],[cv_2028]]/10^6</f>
        <v>0</v>
      </c>
      <c r="X55" s="1">
        <f>VLOOKUP(A55,Products!$A$29:$F$110,6,FALSE)</f>
        <v>200</v>
      </c>
    </row>
    <row r="56" spans="1:24" s="1" customFormat="1" ht="13.15">
      <c r="A56" s="9" t="s">
        <v>41</v>
      </c>
      <c r="B56" s="8">
        <v>0</v>
      </c>
      <c r="C56" s="8">
        <v>0</v>
      </c>
      <c r="D56" s="8"/>
      <c r="E56" s="8"/>
      <c r="F56" s="8"/>
      <c r="G56" s="8"/>
      <c r="H56" s="8"/>
      <c r="I56" s="8"/>
      <c r="J56" s="8"/>
      <c r="K56" s="8"/>
      <c r="L56" s="8"/>
      <c r="M56" s="62" cm="1">
        <f t="array" ref="M56">INDEX(tblPrices[cv_2018], MATCH(tblAlibabaUnits[[#This Row],[Products]],tblPrices[Products],0), 0)* tblAlibabaUnits[[#This Row],[cv_2018]]/10^6</f>
        <v>0</v>
      </c>
      <c r="N56" s="62" cm="1">
        <f t="array" ref="N56">INDEX(tblPrices[cv_2019], MATCH(tblAlibabaUnits[[#This Row],[Products]],tblPrices[Products],0), 0)* tblAlibabaUnits[[#This Row],[cv_2019]]/10^6</f>
        <v>0</v>
      </c>
      <c r="O56" s="62" cm="1">
        <f t="array" ref="O56">INDEX(tblPrices[cv_2020], MATCH(tblAlibabaUnits[[#This Row],[Products]],tblPrices[Products],0), 0)* tblAlibabaUnits[[#This Row],[cv_2020]]/10^6</f>
        <v>0</v>
      </c>
      <c r="P56" s="62" cm="1">
        <f t="array" ref="P56">INDEX(tblPrices[cv_2021], MATCH(tblAlibabaUnits[[#This Row],[Products]],tblPrices[Products],0), 0)* tblAlibabaUnits[[#This Row],[cv_2021]]/10^6</f>
        <v>0</v>
      </c>
      <c r="Q56" s="62" cm="1">
        <f t="array" ref="Q56">INDEX(tblPrices[cv_2022], MATCH(tblAlibabaUnits[[#This Row],[Products]],tblPrices[Products],0), 0)* tblAlibabaUnits[[#This Row],[cv_2022]]/10^6</f>
        <v>0</v>
      </c>
      <c r="R56" s="62" cm="1">
        <f t="array" ref="R56">INDEX(tblPrices[cv_2023], MATCH(tblAlibabaUnits[[#This Row],[Products]],tblPrices[Products],0), 0)* tblAlibabaUnits[[#This Row],[cv_2023]]/10^6</f>
        <v>0</v>
      </c>
      <c r="S56" s="62" cm="1">
        <f t="array" ref="S56">INDEX(tblPrices[cv_2024], MATCH(tblAlibabaUnits[[#This Row],[Products]],tblPrices[Products],0), 0)* tblAlibabaUnits[[#This Row],[cv_2024]]/10^6</f>
        <v>0</v>
      </c>
      <c r="T56" s="62" cm="1">
        <f t="array" ref="T56">INDEX(tblPrices[cv_2025], MATCH(tblAlibabaUnits[[#This Row],[Products]],tblPrices[Products],0), 0)* tblAlibabaUnits[[#This Row],[cv_2025]]/10^6</f>
        <v>0</v>
      </c>
      <c r="U56" s="62" cm="1">
        <f t="array" ref="U56">INDEX(tblPrices[cv_2026], MATCH(tblAlibabaUnits[[#This Row],[Products]],tblPrices[Products],0), 0)* tblAlibabaUnits[[#This Row],[cv_2026]]/10^6</f>
        <v>0</v>
      </c>
      <c r="V56" s="62" cm="1">
        <f t="array" ref="V56">INDEX(tblPrices[cv_2027], MATCH(tblAlibabaUnits[[#This Row],[Products]],tblPrices[Products],0), 0)* tblAlibabaUnits[[#This Row],[cv_2027]]/10^6</f>
        <v>0</v>
      </c>
      <c r="W56" s="62" cm="1">
        <f t="array" ref="W56">INDEX(tblPrices[cv_2028], MATCH(tblAlibabaUnits[[#This Row],[Products]],tblPrices[Products],0), 0)* tblAlibabaUnits[[#This Row],[cv_2028]]/10^6</f>
        <v>0</v>
      </c>
      <c r="X56" s="1">
        <f>VLOOKUP(A56,Products!$A$29:$F$110,6,FALSE)</f>
        <v>200</v>
      </c>
    </row>
    <row r="57" spans="1:24" s="1" customFormat="1" ht="13.15">
      <c r="A57" s="9" t="s">
        <v>9</v>
      </c>
      <c r="B57" s="8">
        <v>0</v>
      </c>
      <c r="C57" s="8">
        <v>0</v>
      </c>
      <c r="D57" s="8"/>
      <c r="E57" s="8"/>
      <c r="F57" s="8"/>
      <c r="G57" s="8"/>
      <c r="H57" s="8"/>
      <c r="I57" s="8"/>
      <c r="J57" s="8"/>
      <c r="K57" s="8"/>
      <c r="L57" s="8"/>
      <c r="M57" s="62" cm="1">
        <f t="array" ref="M57">INDEX(tblPrices[cv_2018], MATCH(tblAlibabaUnits[[#This Row],[Products]],tblPrices[Products],0), 0)* tblAlibabaUnits[[#This Row],[cv_2018]]/10^6</f>
        <v>0</v>
      </c>
      <c r="N57" s="62" cm="1">
        <f t="array" ref="N57">INDEX(tblPrices[cv_2019], MATCH(tblAlibabaUnits[[#This Row],[Products]],tblPrices[Products],0), 0)* tblAlibabaUnits[[#This Row],[cv_2019]]/10^6</f>
        <v>0</v>
      </c>
      <c r="O57" s="62" cm="1">
        <f t="array" ref="O57">INDEX(tblPrices[cv_2020], MATCH(tblAlibabaUnits[[#This Row],[Products]],tblPrices[Products],0), 0)* tblAlibabaUnits[[#This Row],[cv_2020]]/10^6</f>
        <v>0</v>
      </c>
      <c r="P57" s="62" cm="1">
        <f t="array" ref="P57">INDEX(tblPrices[cv_2021], MATCH(tblAlibabaUnits[[#This Row],[Products]],tblPrices[Products],0), 0)* tblAlibabaUnits[[#This Row],[cv_2021]]/10^6</f>
        <v>0</v>
      </c>
      <c r="Q57" s="62" cm="1">
        <f t="array" ref="Q57">INDEX(tblPrices[cv_2022], MATCH(tblAlibabaUnits[[#This Row],[Products]],tblPrices[Products],0), 0)* tblAlibabaUnits[[#This Row],[cv_2022]]/10^6</f>
        <v>0</v>
      </c>
      <c r="R57" s="62" cm="1">
        <f t="array" ref="R57">INDEX(tblPrices[cv_2023], MATCH(tblAlibabaUnits[[#This Row],[Products]],tblPrices[Products],0), 0)* tblAlibabaUnits[[#This Row],[cv_2023]]/10^6</f>
        <v>0</v>
      </c>
      <c r="S57" s="62" cm="1">
        <f t="array" ref="S57">INDEX(tblPrices[cv_2024], MATCH(tblAlibabaUnits[[#This Row],[Products]],tblPrices[Products],0), 0)* tblAlibabaUnits[[#This Row],[cv_2024]]/10^6</f>
        <v>0</v>
      </c>
      <c r="T57" s="62" cm="1">
        <f t="array" ref="T57">INDEX(tblPrices[cv_2025], MATCH(tblAlibabaUnits[[#This Row],[Products]],tblPrices[Products],0), 0)* tblAlibabaUnits[[#This Row],[cv_2025]]/10^6</f>
        <v>0</v>
      </c>
      <c r="U57" s="62" cm="1">
        <f t="array" ref="U57">INDEX(tblPrices[cv_2026], MATCH(tblAlibabaUnits[[#This Row],[Products]],tblPrices[Products],0), 0)* tblAlibabaUnits[[#This Row],[cv_2026]]/10^6</f>
        <v>0</v>
      </c>
      <c r="V57" s="62" cm="1">
        <f t="array" ref="V57">INDEX(tblPrices[cv_2027], MATCH(tblAlibabaUnits[[#This Row],[Products]],tblPrices[Products],0), 0)* tblAlibabaUnits[[#This Row],[cv_2027]]/10^6</f>
        <v>0</v>
      </c>
      <c r="W57" s="62" cm="1">
        <f t="array" ref="W57">INDEX(tblPrices[cv_2028], MATCH(tblAlibabaUnits[[#This Row],[Products]],tblPrices[Products],0), 0)* tblAlibabaUnits[[#This Row],[cv_2028]]/10^6</f>
        <v>0</v>
      </c>
      <c r="X57" s="1">
        <f>VLOOKUP(A57,Products!$A$29:$F$110,6,FALSE)</f>
        <v>400</v>
      </c>
    </row>
    <row r="58" spans="1:24" s="1" customFormat="1" ht="13.15">
      <c r="A58" s="9" t="s">
        <v>339</v>
      </c>
      <c r="B58" s="8">
        <v>0</v>
      </c>
      <c r="C58" s="8">
        <v>0</v>
      </c>
      <c r="D58" s="8"/>
      <c r="E58" s="8"/>
      <c r="F58" s="8"/>
      <c r="G58" s="8"/>
      <c r="H58" s="8"/>
      <c r="I58" s="8"/>
      <c r="J58" s="8"/>
      <c r="K58" s="8"/>
      <c r="L58" s="8"/>
      <c r="M58" s="62" cm="1">
        <f t="array" ref="M58">INDEX(tblPrices[cv_2018], MATCH(tblAlibabaUnits[[#This Row],[Products]],tblPrices[Products],0), 0)* tblAlibabaUnits[[#This Row],[cv_2018]]/10^6</f>
        <v>0</v>
      </c>
      <c r="N58" s="62" cm="1">
        <f t="array" ref="N58">INDEX(tblPrices[cv_2019], MATCH(tblAlibabaUnits[[#This Row],[Products]],tblPrices[Products],0), 0)* tblAlibabaUnits[[#This Row],[cv_2019]]/10^6</f>
        <v>0</v>
      </c>
      <c r="O58" s="62" cm="1">
        <f t="array" ref="O58">INDEX(tblPrices[cv_2020], MATCH(tblAlibabaUnits[[#This Row],[Products]],tblPrices[Products],0), 0)* tblAlibabaUnits[[#This Row],[cv_2020]]/10^6</f>
        <v>0</v>
      </c>
      <c r="P58" s="62" cm="1">
        <f t="array" ref="P58">INDEX(tblPrices[cv_2021], MATCH(tblAlibabaUnits[[#This Row],[Products]],tblPrices[Products],0), 0)* tblAlibabaUnits[[#This Row],[cv_2021]]/10^6</f>
        <v>0</v>
      </c>
      <c r="Q58" s="62" cm="1">
        <f t="array" ref="Q58">INDEX(tblPrices[cv_2022], MATCH(tblAlibabaUnits[[#This Row],[Products]],tblPrices[Products],0), 0)* tblAlibabaUnits[[#This Row],[cv_2022]]/10^6</f>
        <v>0</v>
      </c>
      <c r="R58" s="62" cm="1">
        <f t="array" ref="R58">INDEX(tblPrices[cv_2023], MATCH(tblAlibabaUnits[[#This Row],[Products]],tblPrices[Products],0), 0)* tblAlibabaUnits[[#This Row],[cv_2023]]/10^6</f>
        <v>0</v>
      </c>
      <c r="S58" s="62" cm="1">
        <f t="array" ref="S58">INDEX(tblPrices[cv_2024], MATCH(tblAlibabaUnits[[#This Row],[Products]],tblPrices[Products],0), 0)* tblAlibabaUnits[[#This Row],[cv_2024]]/10^6</f>
        <v>0</v>
      </c>
      <c r="T58" s="62" cm="1">
        <f t="array" ref="T58">INDEX(tblPrices[cv_2025], MATCH(tblAlibabaUnits[[#This Row],[Products]],tblPrices[Products],0), 0)* tblAlibabaUnits[[#This Row],[cv_2025]]/10^6</f>
        <v>0</v>
      </c>
      <c r="U58" s="62" cm="1">
        <f t="array" ref="U58">INDEX(tblPrices[cv_2026], MATCH(tblAlibabaUnits[[#This Row],[Products]],tblPrices[Products],0), 0)* tblAlibabaUnits[[#This Row],[cv_2026]]/10^6</f>
        <v>0</v>
      </c>
      <c r="V58" s="62" cm="1">
        <f t="array" ref="V58">INDEX(tblPrices[cv_2027], MATCH(tblAlibabaUnits[[#This Row],[Products]],tblPrices[Products],0), 0)* tblAlibabaUnits[[#This Row],[cv_2027]]/10^6</f>
        <v>0</v>
      </c>
      <c r="W58" s="62" cm="1">
        <f t="array" ref="W58">INDEX(tblPrices[cv_2028], MATCH(tblAlibabaUnits[[#This Row],[Products]],tblPrices[Products],0), 0)* tblAlibabaUnits[[#This Row],[cv_2028]]/10^6</f>
        <v>0</v>
      </c>
      <c r="X58" s="1">
        <f>VLOOKUP(A58,Products!$A$29:$F$110,6,FALSE)</f>
        <v>400</v>
      </c>
    </row>
    <row r="59" spans="1:24" s="1" customFormat="1" ht="13.15">
      <c r="A59" s="9" t="s">
        <v>11</v>
      </c>
      <c r="B59" s="8">
        <v>0</v>
      </c>
      <c r="C59" s="8">
        <v>0</v>
      </c>
      <c r="D59" s="8"/>
      <c r="E59" s="8"/>
      <c r="F59" s="8"/>
      <c r="G59" s="8"/>
      <c r="H59" s="8"/>
      <c r="I59" s="8"/>
      <c r="J59" s="8"/>
      <c r="K59" s="8"/>
      <c r="L59" s="8"/>
      <c r="M59" s="62" cm="1">
        <f t="array" ref="M59">INDEX(tblPrices[cv_2018], MATCH(tblAlibabaUnits[[#This Row],[Products]],tblPrices[Products],0), 0)* tblAlibabaUnits[[#This Row],[cv_2018]]/10^6</f>
        <v>0</v>
      </c>
      <c r="N59" s="62" cm="1">
        <f t="array" ref="N59">INDEX(tblPrices[cv_2019], MATCH(tblAlibabaUnits[[#This Row],[Products]],tblPrices[Products],0), 0)* tblAlibabaUnits[[#This Row],[cv_2019]]/10^6</f>
        <v>0</v>
      </c>
      <c r="O59" s="62" cm="1">
        <f t="array" ref="O59">INDEX(tblPrices[cv_2020], MATCH(tblAlibabaUnits[[#This Row],[Products]],tblPrices[Products],0), 0)* tblAlibabaUnits[[#This Row],[cv_2020]]/10^6</f>
        <v>0</v>
      </c>
      <c r="P59" s="62" cm="1">
        <f t="array" ref="P59">INDEX(tblPrices[cv_2021], MATCH(tblAlibabaUnits[[#This Row],[Products]],tblPrices[Products],0), 0)* tblAlibabaUnits[[#This Row],[cv_2021]]/10^6</f>
        <v>0</v>
      </c>
      <c r="Q59" s="62" cm="1">
        <f t="array" ref="Q59">INDEX(tblPrices[cv_2022], MATCH(tblAlibabaUnits[[#This Row],[Products]],tblPrices[Products],0), 0)* tblAlibabaUnits[[#This Row],[cv_2022]]/10^6</f>
        <v>0</v>
      </c>
      <c r="R59" s="62" cm="1">
        <f t="array" ref="R59">INDEX(tblPrices[cv_2023], MATCH(tblAlibabaUnits[[#This Row],[Products]],tblPrices[Products],0), 0)* tblAlibabaUnits[[#This Row],[cv_2023]]/10^6</f>
        <v>0</v>
      </c>
      <c r="S59" s="62" cm="1">
        <f t="array" ref="S59">INDEX(tblPrices[cv_2024], MATCH(tblAlibabaUnits[[#This Row],[Products]],tblPrices[Products],0), 0)* tblAlibabaUnits[[#This Row],[cv_2024]]/10^6</f>
        <v>0</v>
      </c>
      <c r="T59" s="62" cm="1">
        <f t="array" ref="T59">INDEX(tblPrices[cv_2025], MATCH(tblAlibabaUnits[[#This Row],[Products]],tblPrices[Products],0), 0)* tblAlibabaUnits[[#This Row],[cv_2025]]/10^6</f>
        <v>0</v>
      </c>
      <c r="U59" s="62" cm="1">
        <f t="array" ref="U59">INDEX(tblPrices[cv_2026], MATCH(tblAlibabaUnits[[#This Row],[Products]],tblPrices[Products],0), 0)* tblAlibabaUnits[[#This Row],[cv_2026]]/10^6</f>
        <v>0</v>
      </c>
      <c r="V59" s="62" cm="1">
        <f t="array" ref="V59">INDEX(tblPrices[cv_2027], MATCH(tblAlibabaUnits[[#This Row],[Products]],tblPrices[Products],0), 0)* tblAlibabaUnits[[#This Row],[cv_2027]]/10^6</f>
        <v>0</v>
      </c>
      <c r="W59" s="62" cm="1">
        <f t="array" ref="W59">INDEX(tblPrices[cv_2028], MATCH(tblAlibabaUnits[[#This Row],[Products]],tblPrices[Products],0), 0)* tblAlibabaUnits[[#This Row],[cv_2028]]/10^6</f>
        <v>0</v>
      </c>
      <c r="X59" s="1">
        <f>VLOOKUP(A59,Products!$A$29:$F$110,6,FALSE)</f>
        <v>400</v>
      </c>
    </row>
    <row r="60" spans="1:24" s="1" customFormat="1" ht="13.15">
      <c r="A60" s="9" t="s">
        <v>42</v>
      </c>
      <c r="B60" s="8">
        <v>0</v>
      </c>
      <c r="C60" s="8">
        <v>0</v>
      </c>
      <c r="D60" s="8"/>
      <c r="E60" s="8"/>
      <c r="F60" s="8"/>
      <c r="G60" s="8"/>
      <c r="H60" s="8"/>
      <c r="I60" s="8"/>
      <c r="J60" s="8"/>
      <c r="K60" s="8"/>
      <c r="L60" s="8"/>
      <c r="M60" s="62" cm="1">
        <f t="array" ref="M60">INDEX(tblPrices[cv_2018], MATCH(tblAlibabaUnits[[#This Row],[Products]],tblPrices[Products],0), 0)* tblAlibabaUnits[[#This Row],[cv_2018]]/10^6</f>
        <v>0</v>
      </c>
      <c r="N60" s="62" cm="1">
        <f t="array" ref="N60">INDEX(tblPrices[cv_2019], MATCH(tblAlibabaUnits[[#This Row],[Products]],tblPrices[Products],0), 0)* tblAlibabaUnits[[#This Row],[cv_2019]]/10^6</f>
        <v>0</v>
      </c>
      <c r="O60" s="62" cm="1">
        <f t="array" ref="O60">INDEX(tblPrices[cv_2020], MATCH(tblAlibabaUnits[[#This Row],[Products]],tblPrices[Products],0), 0)* tblAlibabaUnits[[#This Row],[cv_2020]]/10^6</f>
        <v>0</v>
      </c>
      <c r="P60" s="62" cm="1">
        <f t="array" ref="P60">INDEX(tblPrices[cv_2021], MATCH(tblAlibabaUnits[[#This Row],[Products]],tblPrices[Products],0), 0)* tblAlibabaUnits[[#This Row],[cv_2021]]/10^6</f>
        <v>0</v>
      </c>
      <c r="Q60" s="62" cm="1">
        <f t="array" ref="Q60">INDEX(tblPrices[cv_2022], MATCH(tblAlibabaUnits[[#This Row],[Products]],tblPrices[Products],0), 0)* tblAlibabaUnits[[#This Row],[cv_2022]]/10^6</f>
        <v>0</v>
      </c>
      <c r="R60" s="62" cm="1">
        <f t="array" ref="R60">INDEX(tblPrices[cv_2023], MATCH(tblAlibabaUnits[[#This Row],[Products]],tblPrices[Products],0), 0)* tblAlibabaUnits[[#This Row],[cv_2023]]/10^6</f>
        <v>0</v>
      </c>
      <c r="S60" s="62" cm="1">
        <f t="array" ref="S60">INDEX(tblPrices[cv_2024], MATCH(tblAlibabaUnits[[#This Row],[Products]],tblPrices[Products],0), 0)* tblAlibabaUnits[[#This Row],[cv_2024]]/10^6</f>
        <v>0</v>
      </c>
      <c r="T60" s="62" cm="1">
        <f t="array" ref="T60">INDEX(tblPrices[cv_2025], MATCH(tblAlibabaUnits[[#This Row],[Products]],tblPrices[Products],0), 0)* tblAlibabaUnits[[#This Row],[cv_2025]]/10^6</f>
        <v>0</v>
      </c>
      <c r="U60" s="62" cm="1">
        <f t="array" ref="U60">INDEX(tblPrices[cv_2026], MATCH(tblAlibabaUnits[[#This Row],[Products]],tblPrices[Products],0), 0)* tblAlibabaUnits[[#This Row],[cv_2026]]/10^6</f>
        <v>0</v>
      </c>
      <c r="V60" s="62" cm="1">
        <f t="array" ref="V60">INDEX(tblPrices[cv_2027], MATCH(tblAlibabaUnits[[#This Row],[Products]],tblPrices[Products],0), 0)* tblAlibabaUnits[[#This Row],[cv_2027]]/10^6</f>
        <v>0</v>
      </c>
      <c r="W60" s="62" cm="1">
        <f t="array" ref="W60">INDEX(tblPrices[cv_2028], MATCH(tblAlibabaUnits[[#This Row],[Products]],tblPrices[Products],0), 0)* tblAlibabaUnits[[#This Row],[cv_2028]]/10^6</f>
        <v>0</v>
      </c>
      <c r="X60" s="1">
        <f>VLOOKUP(A60,Products!$A$29:$F$110,6,FALSE)</f>
        <v>400</v>
      </c>
    </row>
    <row r="61" spans="1:24" s="1" customFormat="1" ht="13.15">
      <c r="A61" s="9" t="s">
        <v>48</v>
      </c>
      <c r="B61" s="8">
        <v>0</v>
      </c>
      <c r="C61" s="8">
        <v>0</v>
      </c>
      <c r="D61" s="8"/>
      <c r="E61" s="8"/>
      <c r="F61" s="8"/>
      <c r="G61" s="8"/>
      <c r="H61" s="8"/>
      <c r="I61" s="8"/>
      <c r="J61" s="8"/>
      <c r="K61" s="8"/>
      <c r="L61" s="8"/>
      <c r="M61" s="62" cm="1">
        <f t="array" ref="M61">INDEX(tblPrices[cv_2018], MATCH(tblAlibabaUnits[[#This Row],[Products]],tblPrices[Products],0), 0)* tblAlibabaUnits[[#This Row],[cv_2018]]/10^6</f>
        <v>0</v>
      </c>
      <c r="N61" s="62" cm="1">
        <f t="array" ref="N61">INDEX(tblPrices[cv_2019], MATCH(tblAlibabaUnits[[#This Row],[Products]],tblPrices[Products],0), 0)* tblAlibabaUnits[[#This Row],[cv_2019]]/10^6</f>
        <v>0</v>
      </c>
      <c r="O61" s="62" cm="1">
        <f t="array" ref="O61">INDEX(tblPrices[cv_2020], MATCH(tblAlibabaUnits[[#This Row],[Products]],tblPrices[Products],0), 0)* tblAlibabaUnits[[#This Row],[cv_2020]]/10^6</f>
        <v>0</v>
      </c>
      <c r="P61" s="62" cm="1">
        <f t="array" ref="P61">INDEX(tblPrices[cv_2021], MATCH(tblAlibabaUnits[[#This Row],[Products]],tblPrices[Products],0), 0)* tblAlibabaUnits[[#This Row],[cv_2021]]/10^6</f>
        <v>0</v>
      </c>
      <c r="Q61" s="62" cm="1">
        <f t="array" ref="Q61">INDEX(tblPrices[cv_2022], MATCH(tblAlibabaUnits[[#This Row],[Products]],tblPrices[Products],0), 0)* tblAlibabaUnits[[#This Row],[cv_2022]]/10^6</f>
        <v>0</v>
      </c>
      <c r="R61" s="62" cm="1">
        <f t="array" ref="R61">INDEX(tblPrices[cv_2023], MATCH(tblAlibabaUnits[[#This Row],[Products]],tblPrices[Products],0), 0)* tblAlibabaUnits[[#This Row],[cv_2023]]/10^6</f>
        <v>0</v>
      </c>
      <c r="S61" s="62" cm="1">
        <f t="array" ref="S61">INDEX(tblPrices[cv_2024], MATCH(tblAlibabaUnits[[#This Row],[Products]],tblPrices[Products],0), 0)* tblAlibabaUnits[[#This Row],[cv_2024]]/10^6</f>
        <v>0</v>
      </c>
      <c r="T61" s="62" cm="1">
        <f t="array" ref="T61">INDEX(tblPrices[cv_2025], MATCH(tblAlibabaUnits[[#This Row],[Products]],tblPrices[Products],0), 0)* tblAlibabaUnits[[#This Row],[cv_2025]]/10^6</f>
        <v>0</v>
      </c>
      <c r="U61" s="62" cm="1">
        <f t="array" ref="U61">INDEX(tblPrices[cv_2026], MATCH(tblAlibabaUnits[[#This Row],[Products]],tblPrices[Products],0), 0)* tblAlibabaUnits[[#This Row],[cv_2026]]/10^6</f>
        <v>0</v>
      </c>
      <c r="V61" s="62" cm="1">
        <f t="array" ref="V61">INDEX(tblPrices[cv_2027], MATCH(tblAlibabaUnits[[#This Row],[Products]],tblPrices[Products],0), 0)* tblAlibabaUnits[[#This Row],[cv_2027]]/10^6</f>
        <v>0</v>
      </c>
      <c r="W61" s="62" cm="1">
        <f t="array" ref="W61">INDEX(tblPrices[cv_2028], MATCH(tblAlibabaUnits[[#This Row],[Products]],tblPrices[Products],0), 0)* tblAlibabaUnits[[#This Row],[cv_2028]]/10^6</f>
        <v>0</v>
      </c>
      <c r="X61" s="1">
        <f>VLOOKUP(A61,Products!$A$29:$F$110,6,FALSE)</f>
        <v>800</v>
      </c>
    </row>
    <row r="62" spans="1:24" s="1" customFormat="1" ht="13.15">
      <c r="A62" s="9" t="s">
        <v>13</v>
      </c>
      <c r="B62" s="8">
        <v>0</v>
      </c>
      <c r="C62" s="8">
        <v>0</v>
      </c>
      <c r="D62" s="8"/>
      <c r="E62" s="8"/>
      <c r="F62" s="8"/>
      <c r="G62" s="8"/>
      <c r="H62" s="8"/>
      <c r="I62" s="8"/>
      <c r="J62" s="8"/>
      <c r="K62" s="8"/>
      <c r="L62" s="8"/>
      <c r="M62" s="62" cm="1">
        <f t="array" ref="M62">INDEX(tblPrices[cv_2018], MATCH(tblAlibabaUnits[[#This Row],[Products]],tblPrices[Products],0), 0)* tblAlibabaUnits[[#This Row],[cv_2018]]/10^6</f>
        <v>0</v>
      </c>
      <c r="N62" s="62" cm="1">
        <f t="array" ref="N62">INDEX(tblPrices[cv_2019], MATCH(tblAlibabaUnits[[#This Row],[Products]],tblPrices[Products],0), 0)* tblAlibabaUnits[[#This Row],[cv_2019]]/10^6</f>
        <v>0</v>
      </c>
      <c r="O62" s="62" cm="1">
        <f t="array" ref="O62">INDEX(tblPrices[cv_2020], MATCH(tblAlibabaUnits[[#This Row],[Products]],tblPrices[Products],0), 0)* tblAlibabaUnits[[#This Row],[cv_2020]]/10^6</f>
        <v>0</v>
      </c>
      <c r="P62" s="62" cm="1">
        <f t="array" ref="P62">INDEX(tblPrices[cv_2021], MATCH(tblAlibabaUnits[[#This Row],[Products]],tblPrices[Products],0), 0)* tblAlibabaUnits[[#This Row],[cv_2021]]/10^6</f>
        <v>0</v>
      </c>
      <c r="Q62" s="62" cm="1">
        <f t="array" ref="Q62">INDEX(tblPrices[cv_2022], MATCH(tblAlibabaUnits[[#This Row],[Products]],tblPrices[Products],0), 0)* tblAlibabaUnits[[#This Row],[cv_2022]]/10^6</f>
        <v>0</v>
      </c>
      <c r="R62" s="62" cm="1">
        <f t="array" ref="R62">INDEX(tblPrices[cv_2023], MATCH(tblAlibabaUnits[[#This Row],[Products]],tblPrices[Products],0), 0)* tblAlibabaUnits[[#This Row],[cv_2023]]/10^6</f>
        <v>0</v>
      </c>
      <c r="S62" s="62" cm="1">
        <f t="array" ref="S62">INDEX(tblPrices[cv_2024], MATCH(tblAlibabaUnits[[#This Row],[Products]],tblPrices[Products],0), 0)* tblAlibabaUnits[[#This Row],[cv_2024]]/10^6</f>
        <v>0</v>
      </c>
      <c r="T62" s="62" cm="1">
        <f t="array" ref="T62">INDEX(tblPrices[cv_2025], MATCH(tblAlibabaUnits[[#This Row],[Products]],tblPrices[Products],0), 0)* tblAlibabaUnits[[#This Row],[cv_2025]]/10^6</f>
        <v>0</v>
      </c>
      <c r="U62" s="62" cm="1">
        <f t="array" ref="U62">INDEX(tblPrices[cv_2026], MATCH(tblAlibabaUnits[[#This Row],[Products]],tblPrices[Products],0), 0)* tblAlibabaUnits[[#This Row],[cv_2026]]/10^6</f>
        <v>0</v>
      </c>
      <c r="V62" s="62" cm="1">
        <f t="array" ref="V62">INDEX(tblPrices[cv_2027], MATCH(tblAlibabaUnits[[#This Row],[Products]],tblPrices[Products],0), 0)* tblAlibabaUnits[[#This Row],[cv_2027]]/10^6</f>
        <v>0</v>
      </c>
      <c r="W62" s="62" cm="1">
        <f t="array" ref="W62">INDEX(tblPrices[cv_2028], MATCH(tblAlibabaUnits[[#This Row],[Products]],tblPrices[Products],0), 0)* tblAlibabaUnits[[#This Row],[cv_2028]]/10^6</f>
        <v>0</v>
      </c>
      <c r="X62" s="1">
        <f>VLOOKUP(A62,Products!$A$29:$F$110,6,FALSE)</f>
        <v>800</v>
      </c>
    </row>
    <row r="63" spans="1:24" s="1" customFormat="1" ht="13.15">
      <c r="A63" s="9" t="s">
        <v>14</v>
      </c>
      <c r="B63" s="8">
        <v>0</v>
      </c>
      <c r="C63" s="8">
        <v>0</v>
      </c>
      <c r="D63" s="8"/>
      <c r="E63" s="8"/>
      <c r="F63" s="8"/>
      <c r="G63" s="8"/>
      <c r="H63" s="8"/>
      <c r="I63" s="8"/>
      <c r="J63" s="8"/>
      <c r="K63" s="8"/>
      <c r="L63" s="8"/>
      <c r="M63" s="62" cm="1">
        <f t="array" ref="M63">INDEX(tblPrices[cv_2018], MATCH(tblAlibabaUnits[[#This Row],[Products]],tblPrices[Products],0), 0)* tblAlibabaUnits[[#This Row],[cv_2018]]/10^6</f>
        <v>0</v>
      </c>
      <c r="N63" s="62" cm="1">
        <f t="array" ref="N63">INDEX(tblPrices[cv_2019], MATCH(tblAlibabaUnits[[#This Row],[Products]],tblPrices[Products],0), 0)* tblAlibabaUnits[[#This Row],[cv_2019]]/10^6</f>
        <v>0</v>
      </c>
      <c r="O63" s="62" cm="1">
        <f t="array" ref="O63">INDEX(tblPrices[cv_2020], MATCH(tblAlibabaUnits[[#This Row],[Products]],tblPrices[Products],0), 0)* tblAlibabaUnits[[#This Row],[cv_2020]]/10^6</f>
        <v>0</v>
      </c>
      <c r="P63" s="62" cm="1">
        <f t="array" ref="P63">INDEX(tblPrices[cv_2021], MATCH(tblAlibabaUnits[[#This Row],[Products]],tblPrices[Products],0), 0)* tblAlibabaUnits[[#This Row],[cv_2021]]/10^6</f>
        <v>0</v>
      </c>
      <c r="Q63" s="62" cm="1">
        <f t="array" ref="Q63">INDEX(tblPrices[cv_2022], MATCH(tblAlibabaUnits[[#This Row],[Products]],tblPrices[Products],0), 0)* tblAlibabaUnits[[#This Row],[cv_2022]]/10^6</f>
        <v>0</v>
      </c>
      <c r="R63" s="62" cm="1">
        <f t="array" ref="R63">INDEX(tblPrices[cv_2023], MATCH(tblAlibabaUnits[[#This Row],[Products]],tblPrices[Products],0), 0)* tblAlibabaUnits[[#This Row],[cv_2023]]/10^6</f>
        <v>0</v>
      </c>
      <c r="S63" s="62" cm="1">
        <f t="array" ref="S63">INDEX(tblPrices[cv_2024], MATCH(tblAlibabaUnits[[#This Row],[Products]],tblPrices[Products],0), 0)* tblAlibabaUnits[[#This Row],[cv_2024]]/10^6</f>
        <v>0</v>
      </c>
      <c r="T63" s="62" cm="1">
        <f t="array" ref="T63">INDEX(tblPrices[cv_2025], MATCH(tblAlibabaUnits[[#This Row],[Products]],tblPrices[Products],0), 0)* tblAlibabaUnits[[#This Row],[cv_2025]]/10^6</f>
        <v>0</v>
      </c>
      <c r="U63" s="62" cm="1">
        <f t="array" ref="U63">INDEX(tblPrices[cv_2026], MATCH(tblAlibabaUnits[[#This Row],[Products]],tblPrices[Products],0), 0)* tblAlibabaUnits[[#This Row],[cv_2026]]/10^6</f>
        <v>0</v>
      </c>
      <c r="V63" s="62" cm="1">
        <f t="array" ref="V63">INDEX(tblPrices[cv_2027], MATCH(tblAlibabaUnits[[#This Row],[Products]],tblPrices[Products],0), 0)* tblAlibabaUnits[[#This Row],[cv_2027]]/10^6</f>
        <v>0</v>
      </c>
      <c r="W63" s="62" cm="1">
        <f t="array" ref="W63">INDEX(tblPrices[cv_2028], MATCH(tblAlibabaUnits[[#This Row],[Products]],tblPrices[Products],0), 0)* tblAlibabaUnits[[#This Row],[cv_2028]]/10^6</f>
        <v>0</v>
      </c>
      <c r="X63" s="1">
        <f>VLOOKUP(A63,Products!$A$29:$F$110,6,FALSE)</f>
        <v>800</v>
      </c>
    </row>
    <row r="64" spans="1:24" s="1" customFormat="1" ht="13.15">
      <c r="A64" s="9" t="s">
        <v>15</v>
      </c>
      <c r="B64" s="8">
        <v>0</v>
      </c>
      <c r="C64" s="8">
        <v>0</v>
      </c>
      <c r="D64" s="8"/>
      <c r="E64" s="8"/>
      <c r="F64" s="8"/>
      <c r="G64" s="8"/>
      <c r="H64" s="8"/>
      <c r="I64" s="8"/>
      <c r="J64" s="8"/>
      <c r="K64" s="8"/>
      <c r="L64" s="8"/>
      <c r="M64" s="62" cm="1">
        <f t="array" ref="M64">INDEX(tblPrices[cv_2018], MATCH(tblAlibabaUnits[[#This Row],[Products]],tblPrices[Products],0), 0)* tblAlibabaUnits[[#This Row],[cv_2018]]/10^6</f>
        <v>0</v>
      </c>
      <c r="N64" s="62" cm="1">
        <f t="array" ref="N64">INDEX(tblPrices[cv_2019], MATCH(tblAlibabaUnits[[#This Row],[Products]],tblPrices[Products],0), 0)* tblAlibabaUnits[[#This Row],[cv_2019]]/10^6</f>
        <v>0</v>
      </c>
      <c r="O64" s="62" cm="1">
        <f t="array" ref="O64">INDEX(tblPrices[cv_2020], MATCH(tblAlibabaUnits[[#This Row],[Products]],tblPrices[Products],0), 0)* tblAlibabaUnits[[#This Row],[cv_2020]]/10^6</f>
        <v>0</v>
      </c>
      <c r="P64" s="62" cm="1">
        <f t="array" ref="P64">INDEX(tblPrices[cv_2021], MATCH(tblAlibabaUnits[[#This Row],[Products]],tblPrices[Products],0), 0)* tblAlibabaUnits[[#This Row],[cv_2021]]/10^6</f>
        <v>0</v>
      </c>
      <c r="Q64" s="62" cm="1">
        <f t="array" ref="Q64">INDEX(tblPrices[cv_2022], MATCH(tblAlibabaUnits[[#This Row],[Products]],tblPrices[Products],0), 0)* tblAlibabaUnits[[#This Row],[cv_2022]]/10^6</f>
        <v>0</v>
      </c>
      <c r="R64" s="62" cm="1">
        <f t="array" ref="R64">INDEX(tblPrices[cv_2023], MATCH(tblAlibabaUnits[[#This Row],[Products]],tblPrices[Products],0), 0)* tblAlibabaUnits[[#This Row],[cv_2023]]/10^6</f>
        <v>0</v>
      </c>
      <c r="S64" s="62" cm="1">
        <f t="array" ref="S64">INDEX(tblPrices[cv_2024], MATCH(tblAlibabaUnits[[#This Row],[Products]],tblPrices[Products],0), 0)* tblAlibabaUnits[[#This Row],[cv_2024]]/10^6</f>
        <v>0</v>
      </c>
      <c r="T64" s="62" cm="1">
        <f t="array" ref="T64">INDEX(tblPrices[cv_2025], MATCH(tblAlibabaUnits[[#This Row],[Products]],tblPrices[Products],0), 0)* tblAlibabaUnits[[#This Row],[cv_2025]]/10^6</f>
        <v>0</v>
      </c>
      <c r="U64" s="62" cm="1">
        <f t="array" ref="U64">INDEX(tblPrices[cv_2026], MATCH(tblAlibabaUnits[[#This Row],[Products]],tblPrices[Products],0), 0)* tblAlibabaUnits[[#This Row],[cv_2026]]/10^6</f>
        <v>0</v>
      </c>
      <c r="V64" s="62" cm="1">
        <f t="array" ref="V64">INDEX(tblPrices[cv_2027], MATCH(tblAlibabaUnits[[#This Row],[Products]],tblPrices[Products],0), 0)* tblAlibabaUnits[[#This Row],[cv_2027]]/10^6</f>
        <v>0</v>
      </c>
      <c r="W64" s="62" cm="1">
        <f t="array" ref="W64">INDEX(tblPrices[cv_2028], MATCH(tblAlibabaUnits[[#This Row],[Products]],tblPrices[Products],0), 0)* tblAlibabaUnits[[#This Row],[cv_2028]]/10^6</f>
        <v>0</v>
      </c>
      <c r="X64" s="1">
        <f>VLOOKUP(A64,Products!$A$29:$F$110,6,FALSE)</f>
        <v>800</v>
      </c>
    </row>
    <row r="65" spans="1:24" s="1" customFormat="1" ht="13.15">
      <c r="A65" s="16" t="s">
        <v>16</v>
      </c>
      <c r="B65" s="8">
        <v>0</v>
      </c>
      <c r="C65" s="8">
        <v>0</v>
      </c>
      <c r="D65" s="8"/>
      <c r="E65" s="8"/>
      <c r="F65" s="8"/>
      <c r="G65" s="8"/>
      <c r="H65" s="8"/>
      <c r="I65" s="8"/>
      <c r="J65" s="8"/>
      <c r="K65" s="8"/>
      <c r="L65" s="8"/>
      <c r="M65" s="62" cm="1">
        <f t="array" ref="M65">INDEX(tblPrices[cv_2018], MATCH(tblAlibabaUnits[[#This Row],[Products]],tblPrices[Products],0), 0)* tblAlibabaUnits[[#This Row],[cv_2018]]/10^6</f>
        <v>0</v>
      </c>
      <c r="N65" s="62" cm="1">
        <f t="array" ref="N65">INDEX(tblPrices[cv_2019], MATCH(tblAlibabaUnits[[#This Row],[Products]],tblPrices[Products],0), 0)* tblAlibabaUnits[[#This Row],[cv_2019]]/10^6</f>
        <v>0</v>
      </c>
      <c r="O65" s="62" cm="1">
        <f t="array" ref="O65">INDEX(tblPrices[cv_2020], MATCH(tblAlibabaUnits[[#This Row],[Products]],tblPrices[Products],0), 0)* tblAlibabaUnits[[#This Row],[cv_2020]]/10^6</f>
        <v>0</v>
      </c>
      <c r="P65" s="62" cm="1">
        <f t="array" ref="P65">INDEX(tblPrices[cv_2021], MATCH(tblAlibabaUnits[[#This Row],[Products]],tblPrices[Products],0), 0)* tblAlibabaUnits[[#This Row],[cv_2021]]/10^6</f>
        <v>0</v>
      </c>
      <c r="Q65" s="62" cm="1">
        <f t="array" ref="Q65">INDEX(tblPrices[cv_2022], MATCH(tblAlibabaUnits[[#This Row],[Products]],tblPrices[Products],0), 0)* tblAlibabaUnits[[#This Row],[cv_2022]]/10^6</f>
        <v>0</v>
      </c>
      <c r="R65" s="62" cm="1">
        <f t="array" ref="R65">INDEX(tblPrices[cv_2023], MATCH(tblAlibabaUnits[[#This Row],[Products]],tblPrices[Products],0), 0)* tblAlibabaUnits[[#This Row],[cv_2023]]/10^6</f>
        <v>0</v>
      </c>
      <c r="S65" s="62" cm="1">
        <f t="array" ref="S65">INDEX(tblPrices[cv_2024], MATCH(tblAlibabaUnits[[#This Row],[Products]],tblPrices[Products],0), 0)* tblAlibabaUnits[[#This Row],[cv_2024]]/10^6</f>
        <v>0</v>
      </c>
      <c r="T65" s="62" cm="1">
        <f t="array" ref="T65">INDEX(tblPrices[cv_2025], MATCH(tblAlibabaUnits[[#This Row],[Products]],tblPrices[Products],0), 0)* tblAlibabaUnits[[#This Row],[cv_2025]]/10^6</f>
        <v>0</v>
      </c>
      <c r="U65" s="62" cm="1">
        <f t="array" ref="U65">INDEX(tblPrices[cv_2026], MATCH(tblAlibabaUnits[[#This Row],[Products]],tblPrices[Products],0), 0)* tblAlibabaUnits[[#This Row],[cv_2026]]/10^6</f>
        <v>0</v>
      </c>
      <c r="V65" s="62" cm="1">
        <f t="array" ref="V65">INDEX(tblPrices[cv_2027], MATCH(tblAlibabaUnits[[#This Row],[Products]],tblPrices[Products],0), 0)* tblAlibabaUnits[[#This Row],[cv_2027]]/10^6</f>
        <v>0</v>
      </c>
      <c r="W65" s="62" cm="1">
        <f t="array" ref="W65">INDEX(tblPrices[cv_2028], MATCH(tblAlibabaUnits[[#This Row],[Products]],tblPrices[Products],0), 0)* tblAlibabaUnits[[#This Row],[cv_2028]]/10^6</f>
        <v>0</v>
      </c>
      <c r="X65" s="1">
        <f>VLOOKUP(A65,Products!$A$29:$F$110,6,FALSE)</f>
        <v>800</v>
      </c>
    </row>
    <row r="66" spans="1:24" s="1" customFormat="1" ht="13.15">
      <c r="A66" s="16" t="s">
        <v>17</v>
      </c>
      <c r="B66" s="8">
        <v>0</v>
      </c>
      <c r="C66" s="8">
        <v>0</v>
      </c>
      <c r="D66" s="8"/>
      <c r="E66" s="8"/>
      <c r="F66" s="8"/>
      <c r="G66" s="8"/>
      <c r="H66" s="8"/>
      <c r="I66" s="8"/>
      <c r="J66" s="8"/>
      <c r="K66" s="8"/>
      <c r="L66" s="8"/>
      <c r="M66" s="62" cm="1">
        <f t="array" ref="M66">INDEX(tblPrices[cv_2018], MATCH(tblAlibabaUnits[[#This Row],[Products]],tblPrices[Products],0), 0)* tblAlibabaUnits[[#This Row],[cv_2018]]/10^6</f>
        <v>0</v>
      </c>
      <c r="N66" s="62" cm="1">
        <f t="array" ref="N66">INDEX(tblPrices[cv_2019], MATCH(tblAlibabaUnits[[#This Row],[Products]],tblPrices[Products],0), 0)* tblAlibabaUnits[[#This Row],[cv_2019]]/10^6</f>
        <v>0</v>
      </c>
      <c r="O66" s="62" cm="1">
        <f t="array" ref="O66">INDEX(tblPrices[cv_2020], MATCH(tblAlibabaUnits[[#This Row],[Products]],tblPrices[Products],0), 0)* tblAlibabaUnits[[#This Row],[cv_2020]]/10^6</f>
        <v>0</v>
      </c>
      <c r="P66" s="62" cm="1">
        <f t="array" ref="P66">INDEX(tblPrices[cv_2021], MATCH(tblAlibabaUnits[[#This Row],[Products]],tblPrices[Products],0), 0)* tblAlibabaUnits[[#This Row],[cv_2021]]/10^6</f>
        <v>0</v>
      </c>
      <c r="Q66" s="62" cm="1">
        <f t="array" ref="Q66">INDEX(tblPrices[cv_2022], MATCH(tblAlibabaUnits[[#This Row],[Products]],tblPrices[Products],0), 0)* tblAlibabaUnits[[#This Row],[cv_2022]]/10^6</f>
        <v>0</v>
      </c>
      <c r="R66" s="62" cm="1">
        <f t="array" ref="R66">INDEX(tblPrices[cv_2023], MATCH(tblAlibabaUnits[[#This Row],[Products]],tblPrices[Products],0), 0)* tblAlibabaUnits[[#This Row],[cv_2023]]/10^6</f>
        <v>0</v>
      </c>
      <c r="S66" s="62" cm="1">
        <f t="array" ref="S66">INDEX(tblPrices[cv_2024], MATCH(tblAlibabaUnits[[#This Row],[Products]],tblPrices[Products],0), 0)* tblAlibabaUnits[[#This Row],[cv_2024]]/10^6</f>
        <v>0</v>
      </c>
      <c r="T66" s="62" cm="1">
        <f t="array" ref="T66">INDEX(tblPrices[cv_2025], MATCH(tblAlibabaUnits[[#This Row],[Products]],tblPrices[Products],0), 0)* tblAlibabaUnits[[#This Row],[cv_2025]]/10^6</f>
        <v>0</v>
      </c>
      <c r="U66" s="62" cm="1">
        <f t="array" ref="U66">INDEX(tblPrices[cv_2026], MATCH(tblAlibabaUnits[[#This Row],[Products]],tblPrices[Products],0), 0)* tblAlibabaUnits[[#This Row],[cv_2026]]/10^6</f>
        <v>0</v>
      </c>
      <c r="V66" s="62" cm="1">
        <f t="array" ref="V66">INDEX(tblPrices[cv_2027], MATCH(tblAlibabaUnits[[#This Row],[Products]],tblPrices[Products],0), 0)* tblAlibabaUnits[[#This Row],[cv_2027]]/10^6</f>
        <v>0</v>
      </c>
      <c r="W66" s="62" cm="1">
        <f t="array" ref="W66">INDEX(tblPrices[cv_2028], MATCH(tblAlibabaUnits[[#This Row],[Products]],tblPrices[Products],0), 0)* tblAlibabaUnits[[#This Row],[cv_2028]]/10^6</f>
        <v>0</v>
      </c>
      <c r="X66" s="1">
        <f>VLOOKUP(A66,Products!$A$29:$F$110,6,FALSE)</f>
        <v>800</v>
      </c>
    </row>
    <row r="67" spans="1:24" s="1" customFormat="1" ht="13.15">
      <c r="A67" s="16" t="s">
        <v>18</v>
      </c>
      <c r="B67" s="8">
        <v>0</v>
      </c>
      <c r="C67" s="8">
        <v>0</v>
      </c>
      <c r="D67" s="8"/>
      <c r="E67" s="8"/>
      <c r="F67" s="8"/>
      <c r="G67" s="8"/>
      <c r="H67" s="8"/>
      <c r="I67" s="8"/>
      <c r="J67" s="8"/>
      <c r="K67" s="8"/>
      <c r="L67" s="8"/>
      <c r="M67" s="62" cm="1">
        <f t="array" ref="M67">INDEX(tblPrices[cv_2018], MATCH(tblAlibabaUnits[[#This Row],[Products]],tblPrices[Products],0), 0)* tblAlibabaUnits[[#This Row],[cv_2018]]/10^6</f>
        <v>0</v>
      </c>
      <c r="N67" s="62" cm="1">
        <f t="array" ref="N67">INDEX(tblPrices[cv_2019], MATCH(tblAlibabaUnits[[#This Row],[Products]],tblPrices[Products],0), 0)* tblAlibabaUnits[[#This Row],[cv_2019]]/10^6</f>
        <v>0</v>
      </c>
      <c r="O67" s="62" cm="1">
        <f t="array" ref="O67">INDEX(tblPrices[cv_2020], MATCH(tblAlibabaUnits[[#This Row],[Products]],tblPrices[Products],0), 0)* tblAlibabaUnits[[#This Row],[cv_2020]]/10^6</f>
        <v>0</v>
      </c>
      <c r="P67" s="62" cm="1">
        <f t="array" ref="P67">INDEX(tblPrices[cv_2021], MATCH(tblAlibabaUnits[[#This Row],[Products]],tblPrices[Products],0), 0)* tblAlibabaUnits[[#This Row],[cv_2021]]/10^6</f>
        <v>0</v>
      </c>
      <c r="Q67" s="62" cm="1">
        <f t="array" ref="Q67">INDEX(tblPrices[cv_2022], MATCH(tblAlibabaUnits[[#This Row],[Products]],tblPrices[Products],0), 0)* tblAlibabaUnits[[#This Row],[cv_2022]]/10^6</f>
        <v>0</v>
      </c>
      <c r="R67" s="62" cm="1">
        <f t="array" ref="R67">INDEX(tblPrices[cv_2023], MATCH(tblAlibabaUnits[[#This Row],[Products]],tblPrices[Products],0), 0)* tblAlibabaUnits[[#This Row],[cv_2023]]/10^6</f>
        <v>0</v>
      </c>
      <c r="S67" s="62" cm="1">
        <f t="array" ref="S67">INDEX(tblPrices[cv_2024], MATCH(tblAlibabaUnits[[#This Row],[Products]],tblPrices[Products],0), 0)* tblAlibabaUnits[[#This Row],[cv_2024]]/10^6</f>
        <v>0</v>
      </c>
      <c r="T67" s="62" cm="1">
        <f t="array" ref="T67">INDEX(tblPrices[cv_2025], MATCH(tblAlibabaUnits[[#This Row],[Products]],tblPrices[Products],0), 0)* tblAlibabaUnits[[#This Row],[cv_2025]]/10^6</f>
        <v>0</v>
      </c>
      <c r="U67" s="62" cm="1">
        <f t="array" ref="U67">INDEX(tblPrices[cv_2026], MATCH(tblAlibabaUnits[[#This Row],[Products]],tblPrices[Products],0), 0)* tblAlibabaUnits[[#This Row],[cv_2026]]/10^6</f>
        <v>0</v>
      </c>
      <c r="V67" s="62" cm="1">
        <f t="array" ref="V67">INDEX(tblPrices[cv_2027], MATCH(tblAlibabaUnits[[#This Row],[Products]],tblPrices[Products],0), 0)* tblAlibabaUnits[[#This Row],[cv_2027]]/10^6</f>
        <v>0</v>
      </c>
      <c r="W67" s="62" cm="1">
        <f t="array" ref="W67">INDEX(tblPrices[cv_2028], MATCH(tblAlibabaUnits[[#This Row],[Products]],tblPrices[Products],0), 0)* tblAlibabaUnits[[#This Row],[cv_2028]]/10^6</f>
        <v>0</v>
      </c>
      <c r="X67" s="1">
        <f>VLOOKUP(A67,Products!$A$29:$F$110,6,FALSE)</f>
        <v>1600</v>
      </c>
    </row>
    <row r="68" spans="1:24" s="1" customFormat="1" ht="13.15">
      <c r="A68" s="16" t="s">
        <v>19</v>
      </c>
      <c r="B68" s="8">
        <v>0</v>
      </c>
      <c r="C68" s="8">
        <v>0</v>
      </c>
      <c r="D68" s="8"/>
      <c r="E68" s="8"/>
      <c r="F68" s="8"/>
      <c r="G68" s="8"/>
      <c r="H68" s="8"/>
      <c r="I68" s="8"/>
      <c r="J68" s="8"/>
      <c r="K68" s="8"/>
      <c r="L68" s="8"/>
      <c r="M68" s="62" cm="1">
        <f t="array" ref="M68">INDEX(tblPrices[cv_2018], MATCH(tblAlibabaUnits[[#This Row],[Products]],tblPrices[Products],0), 0)* tblAlibabaUnits[[#This Row],[cv_2018]]/10^6</f>
        <v>0</v>
      </c>
      <c r="N68" s="62" cm="1">
        <f t="array" ref="N68">INDEX(tblPrices[cv_2019], MATCH(tblAlibabaUnits[[#This Row],[Products]],tblPrices[Products],0), 0)* tblAlibabaUnits[[#This Row],[cv_2019]]/10^6</f>
        <v>0</v>
      </c>
      <c r="O68" s="62" cm="1">
        <f t="array" ref="O68">INDEX(tblPrices[cv_2020], MATCH(tblAlibabaUnits[[#This Row],[Products]],tblPrices[Products],0), 0)* tblAlibabaUnits[[#This Row],[cv_2020]]/10^6</f>
        <v>0</v>
      </c>
      <c r="P68" s="62" cm="1">
        <f t="array" ref="P68">INDEX(tblPrices[cv_2021], MATCH(tblAlibabaUnits[[#This Row],[Products]],tblPrices[Products],0), 0)* tblAlibabaUnits[[#This Row],[cv_2021]]/10^6</f>
        <v>0</v>
      </c>
      <c r="Q68" s="62" cm="1">
        <f t="array" ref="Q68">INDEX(tblPrices[cv_2022], MATCH(tblAlibabaUnits[[#This Row],[Products]],tblPrices[Products],0), 0)* tblAlibabaUnits[[#This Row],[cv_2022]]/10^6</f>
        <v>0</v>
      </c>
      <c r="R68" s="62" cm="1">
        <f t="array" ref="R68">INDEX(tblPrices[cv_2023], MATCH(tblAlibabaUnits[[#This Row],[Products]],tblPrices[Products],0), 0)* tblAlibabaUnits[[#This Row],[cv_2023]]/10^6</f>
        <v>0</v>
      </c>
      <c r="S68" s="62" cm="1">
        <f t="array" ref="S68">INDEX(tblPrices[cv_2024], MATCH(tblAlibabaUnits[[#This Row],[Products]],tblPrices[Products],0), 0)* tblAlibabaUnits[[#This Row],[cv_2024]]/10^6</f>
        <v>0</v>
      </c>
      <c r="T68" s="62" cm="1">
        <f t="array" ref="T68">INDEX(tblPrices[cv_2025], MATCH(tblAlibabaUnits[[#This Row],[Products]],tblPrices[Products],0), 0)* tblAlibabaUnits[[#This Row],[cv_2025]]/10^6</f>
        <v>0</v>
      </c>
      <c r="U68" s="62" cm="1">
        <f t="array" ref="U68">INDEX(tblPrices[cv_2026], MATCH(tblAlibabaUnits[[#This Row],[Products]],tblPrices[Products],0), 0)* tblAlibabaUnits[[#This Row],[cv_2026]]/10^6</f>
        <v>0</v>
      </c>
      <c r="V68" s="62" cm="1">
        <f t="array" ref="V68">INDEX(tblPrices[cv_2027], MATCH(tblAlibabaUnits[[#This Row],[Products]],tblPrices[Products],0), 0)* tblAlibabaUnits[[#This Row],[cv_2027]]/10^6</f>
        <v>0</v>
      </c>
      <c r="W68" s="62" cm="1">
        <f t="array" ref="W68">INDEX(tblPrices[cv_2028], MATCH(tblAlibabaUnits[[#This Row],[Products]],tblPrices[Products],0), 0)* tblAlibabaUnits[[#This Row],[cv_2028]]/10^6</f>
        <v>0</v>
      </c>
      <c r="X68" s="1">
        <f>VLOOKUP(A68,Products!$A$29:$F$110,6,FALSE)</f>
        <v>1600</v>
      </c>
    </row>
    <row r="69" spans="1:24" s="1" customFormat="1" ht="13.15">
      <c r="A69" s="16" t="s">
        <v>20</v>
      </c>
      <c r="B69" s="8">
        <v>0</v>
      </c>
      <c r="C69" s="8">
        <v>0</v>
      </c>
      <c r="D69" s="8"/>
      <c r="E69" s="8"/>
      <c r="F69" s="8"/>
      <c r="G69" s="8"/>
      <c r="H69" s="8"/>
      <c r="I69" s="8"/>
      <c r="J69" s="8"/>
      <c r="K69" s="8"/>
      <c r="L69" s="8"/>
      <c r="M69" s="62" cm="1">
        <f t="array" ref="M69">INDEX(tblPrices[cv_2018], MATCH(tblAlibabaUnits[[#This Row],[Products]],tblPrices[Products],0), 0)* tblAlibabaUnits[[#This Row],[cv_2018]]/10^6</f>
        <v>0</v>
      </c>
      <c r="N69" s="62" cm="1">
        <f t="array" ref="N69">INDEX(tblPrices[cv_2019], MATCH(tblAlibabaUnits[[#This Row],[Products]],tblPrices[Products],0), 0)* tblAlibabaUnits[[#This Row],[cv_2019]]/10^6</f>
        <v>0</v>
      </c>
      <c r="O69" s="62" cm="1">
        <f t="array" ref="O69">INDEX(tblPrices[cv_2020], MATCH(tblAlibabaUnits[[#This Row],[Products]],tblPrices[Products],0), 0)* tblAlibabaUnits[[#This Row],[cv_2020]]/10^6</f>
        <v>0</v>
      </c>
      <c r="P69" s="62" cm="1">
        <f t="array" ref="P69">INDEX(tblPrices[cv_2021], MATCH(tblAlibabaUnits[[#This Row],[Products]],tblPrices[Products],0), 0)* tblAlibabaUnits[[#This Row],[cv_2021]]/10^6</f>
        <v>0</v>
      </c>
      <c r="Q69" s="62" cm="1">
        <f t="array" ref="Q69">INDEX(tblPrices[cv_2022], MATCH(tblAlibabaUnits[[#This Row],[Products]],tblPrices[Products],0), 0)* tblAlibabaUnits[[#This Row],[cv_2022]]/10^6</f>
        <v>0</v>
      </c>
      <c r="R69" s="62" cm="1">
        <f t="array" ref="R69">INDEX(tblPrices[cv_2023], MATCH(tblAlibabaUnits[[#This Row],[Products]],tblPrices[Products],0), 0)* tblAlibabaUnits[[#This Row],[cv_2023]]/10^6</f>
        <v>0</v>
      </c>
      <c r="S69" s="62" cm="1">
        <f t="array" ref="S69">INDEX(tblPrices[cv_2024], MATCH(tblAlibabaUnits[[#This Row],[Products]],tblPrices[Products],0), 0)* tblAlibabaUnits[[#This Row],[cv_2024]]/10^6</f>
        <v>0</v>
      </c>
      <c r="T69" s="62" cm="1">
        <f t="array" ref="T69">INDEX(tblPrices[cv_2025], MATCH(tblAlibabaUnits[[#This Row],[Products]],tblPrices[Products],0), 0)* tblAlibabaUnits[[#This Row],[cv_2025]]/10^6</f>
        <v>0</v>
      </c>
      <c r="U69" s="62" cm="1">
        <f t="array" ref="U69">INDEX(tblPrices[cv_2026], MATCH(tblAlibabaUnits[[#This Row],[Products]],tblPrices[Products],0), 0)* tblAlibabaUnits[[#This Row],[cv_2026]]/10^6</f>
        <v>0</v>
      </c>
      <c r="V69" s="62" cm="1">
        <f t="array" ref="V69">INDEX(tblPrices[cv_2027], MATCH(tblAlibabaUnits[[#This Row],[Products]],tblPrices[Products],0), 0)* tblAlibabaUnits[[#This Row],[cv_2027]]/10^6</f>
        <v>0</v>
      </c>
      <c r="W69" s="62" cm="1">
        <f t="array" ref="W69">INDEX(tblPrices[cv_2028], MATCH(tblAlibabaUnits[[#This Row],[Products]],tblPrices[Products],0), 0)* tblAlibabaUnits[[#This Row],[cv_2028]]/10^6</f>
        <v>0</v>
      </c>
      <c r="X69" s="1">
        <f>VLOOKUP(A69,Products!$A$29:$F$110,6,FALSE)</f>
        <v>1600</v>
      </c>
    </row>
    <row r="70" spans="1:24" s="1" customFormat="1" ht="13.15">
      <c r="A70" s="114" t="s">
        <v>49</v>
      </c>
      <c r="B70" s="73">
        <v>0</v>
      </c>
      <c r="C70" s="73">
        <v>0</v>
      </c>
      <c r="D70" s="73"/>
      <c r="E70" s="73"/>
      <c r="F70" s="73"/>
      <c r="G70" s="73"/>
      <c r="H70" s="73"/>
      <c r="I70" s="73"/>
      <c r="J70" s="73"/>
      <c r="K70" s="73"/>
      <c r="L70" s="73"/>
      <c r="M70" s="115" cm="1">
        <f t="array" ref="M70">INDEX(tblPrices[cv_2018], MATCH(tblAlibabaUnits[[#This Row],[Products]],tblPrices[Products],0), 0)* tblAlibabaUnits[[#This Row],[cv_2018]]/10^6</f>
        <v>0</v>
      </c>
      <c r="N70" s="115" cm="1">
        <f t="array" ref="N70">INDEX(tblPrices[cv_2019], MATCH(tblAlibabaUnits[[#This Row],[Products]],tblPrices[Products],0), 0)* tblAlibabaUnits[[#This Row],[cv_2019]]/10^6</f>
        <v>0</v>
      </c>
      <c r="O70" s="115" cm="1">
        <f t="array" ref="O70">INDEX(tblPrices[cv_2020], MATCH(tblAlibabaUnits[[#This Row],[Products]],tblPrices[Products],0), 0)* tblAlibabaUnits[[#This Row],[cv_2020]]/10^6</f>
        <v>0</v>
      </c>
      <c r="P70" s="115" cm="1">
        <f t="array" ref="P70">INDEX(tblPrices[cv_2021], MATCH(tblAlibabaUnits[[#This Row],[Products]],tblPrices[Products],0), 0)* tblAlibabaUnits[[#This Row],[cv_2021]]/10^6</f>
        <v>0</v>
      </c>
      <c r="Q70" s="115" cm="1">
        <f t="array" ref="Q70">INDEX(tblPrices[cv_2022], MATCH(tblAlibabaUnits[[#This Row],[Products]],tblPrices[Products],0), 0)* tblAlibabaUnits[[#This Row],[cv_2022]]/10^6</f>
        <v>0</v>
      </c>
      <c r="R70" s="115" cm="1">
        <f t="array" ref="R70">INDEX(tblPrices[cv_2023], MATCH(tblAlibabaUnits[[#This Row],[Products]],tblPrices[Products],0), 0)* tblAlibabaUnits[[#This Row],[cv_2023]]/10^6</f>
        <v>0</v>
      </c>
      <c r="S70" s="115" cm="1">
        <f t="array" ref="S70">INDEX(tblPrices[cv_2024], MATCH(tblAlibabaUnits[[#This Row],[Products]],tblPrices[Products],0), 0)* tblAlibabaUnits[[#This Row],[cv_2024]]/10^6</f>
        <v>0</v>
      </c>
      <c r="T70" s="115" cm="1">
        <f t="array" ref="T70">INDEX(tblPrices[cv_2025], MATCH(tblAlibabaUnits[[#This Row],[Products]],tblPrices[Products],0), 0)* tblAlibabaUnits[[#This Row],[cv_2025]]/10^6</f>
        <v>0</v>
      </c>
      <c r="U70" s="115" cm="1">
        <f t="array" ref="U70">INDEX(tblPrices[cv_2026], MATCH(tblAlibabaUnits[[#This Row],[Products]],tblPrices[Products],0), 0)* tblAlibabaUnits[[#This Row],[cv_2026]]/10^6</f>
        <v>0</v>
      </c>
      <c r="V70" s="115" cm="1">
        <f t="array" ref="V70">INDEX(tblPrices[cv_2027], MATCH(tblAlibabaUnits[[#This Row],[Products]],tblPrices[Products],0), 0)* tblAlibabaUnits[[#This Row],[cv_2027]]/10^6</f>
        <v>0</v>
      </c>
      <c r="W70" s="115" cm="1">
        <f t="array" ref="W70">INDEX(tblPrices[cv_2028], MATCH(tblAlibabaUnits[[#This Row],[Products]],tblPrices[Products],0), 0)* tblAlibabaUnits[[#This Row],[cv_2028]]/10^6</f>
        <v>0</v>
      </c>
      <c r="X70" s="1">
        <f>VLOOKUP(A70,Products!$A$29:$F$110,6,FALSE)</f>
        <v>1600</v>
      </c>
    </row>
    <row r="71" spans="1:24">
      <c r="A71" s="16" t="s">
        <v>21</v>
      </c>
      <c r="B71" s="8">
        <v>3091.5607499999987</v>
      </c>
      <c r="C71" s="8">
        <v>4087.2341434075033</v>
      </c>
      <c r="D71" s="8"/>
      <c r="E71" s="8"/>
      <c r="F71" s="8"/>
      <c r="G71" s="8"/>
      <c r="H71" s="8"/>
      <c r="I71" s="8"/>
      <c r="J71" s="8"/>
      <c r="K71" s="8"/>
      <c r="L71" s="8"/>
      <c r="M71" s="62" cm="1">
        <f t="array" ref="M71">INDEX(tblPrices[cv_2018], MATCH(tblAlibabaUnits[[#This Row],[Products]],tblPrices[Products],0), 0)* tblAlibabaUnits[[#This Row],[cv_2018]]/10^6</f>
        <v>1.4810870071035087</v>
      </c>
      <c r="N71" s="62" cm="1">
        <f t="array" ref="N71">INDEX(tblPrices[cv_2019], MATCH(tblAlibabaUnits[[#This Row],[Products]],tblPrices[Products],0), 0)* tblAlibabaUnits[[#This Row],[cv_2019]]/10^6</f>
        <v>1.6006869838837035</v>
      </c>
      <c r="O71" s="62" cm="1">
        <f t="array" ref="O71">INDEX(tblPrices[cv_2020], MATCH(tblAlibabaUnits[[#This Row],[Products]],tblPrices[Products],0), 0)* tblAlibabaUnits[[#This Row],[cv_2020]]/10^6</f>
        <v>0</v>
      </c>
      <c r="P71" s="62" cm="1">
        <f t="array" ref="P71">INDEX(tblPrices[cv_2021], MATCH(tblAlibabaUnits[[#This Row],[Products]],tblPrices[Products],0), 0)* tblAlibabaUnits[[#This Row],[cv_2021]]/10^6</f>
        <v>0</v>
      </c>
      <c r="Q71" s="62" cm="1">
        <f t="array" ref="Q71">INDEX(tblPrices[cv_2022], MATCH(tblAlibabaUnits[[#This Row],[Products]],tblPrices[Products],0), 0)* tblAlibabaUnits[[#This Row],[cv_2022]]/10^6</f>
        <v>0</v>
      </c>
      <c r="R71" s="62" cm="1">
        <f t="array" ref="R71">INDEX(tblPrices[cv_2023], MATCH(tblAlibabaUnits[[#This Row],[Products]],tblPrices[Products],0), 0)* tblAlibabaUnits[[#This Row],[cv_2023]]/10^6</f>
        <v>0</v>
      </c>
      <c r="S71" s="62" cm="1">
        <f t="array" ref="S71">INDEX(tblPrices[cv_2024], MATCH(tblAlibabaUnits[[#This Row],[Products]],tblPrices[Products],0), 0)* tblAlibabaUnits[[#This Row],[cv_2024]]/10^6</f>
        <v>0</v>
      </c>
      <c r="T71" s="62" cm="1">
        <f t="array" ref="T71">INDEX(tblPrices[cv_2025], MATCH(tblAlibabaUnits[[#This Row],[Products]],tblPrices[Products],0), 0)* tblAlibabaUnits[[#This Row],[cv_2025]]/10^6</f>
        <v>0</v>
      </c>
      <c r="U71" s="62" cm="1">
        <f t="array" ref="U71">INDEX(tblPrices[cv_2026], MATCH(tblAlibabaUnits[[#This Row],[Products]],tblPrices[Products],0), 0)* tblAlibabaUnits[[#This Row],[cv_2026]]/10^6</f>
        <v>0</v>
      </c>
      <c r="V71" s="62" cm="1">
        <f t="array" ref="V71">INDEX(tblPrices[cv_2027], MATCH(tblAlibabaUnits[[#This Row],[Products]],tblPrices[Products],0), 0)* tblAlibabaUnits[[#This Row],[cv_2027]]/10^6</f>
        <v>0</v>
      </c>
      <c r="W71" s="62" cm="1">
        <f t="array" ref="W71">INDEX(tblPrices[cv_2028], MATCH(tblAlibabaUnits[[#This Row],[Products]],tblPrices[Products],0), 0)* tblAlibabaUnits[[#This Row],[cv_2028]]/10^6</f>
        <v>0</v>
      </c>
      <c r="X71" s="1">
        <f>VLOOKUP(A71,Products!$A$29:$F$110,6,FALSE)</f>
        <v>10</v>
      </c>
    </row>
    <row r="72" spans="1:24">
      <c r="A72" s="16" t="s">
        <v>22</v>
      </c>
      <c r="B72" s="8">
        <v>0</v>
      </c>
      <c r="C72" s="8">
        <v>0</v>
      </c>
      <c r="D72" s="8"/>
      <c r="E72" s="8"/>
      <c r="F72" s="8"/>
      <c r="G72" s="8"/>
      <c r="H72" s="8"/>
      <c r="I72" s="8"/>
      <c r="J72" s="8"/>
      <c r="K72" s="8"/>
      <c r="L72" s="8"/>
      <c r="M72" s="62" cm="1">
        <f t="array" ref="M72">INDEX(tblPrices[cv_2018], MATCH(tblAlibabaUnits[[#This Row],[Products]],tblPrices[Products],0), 0)* tblAlibabaUnits[[#This Row],[cv_2018]]/10^6</f>
        <v>0</v>
      </c>
      <c r="N72" s="62" cm="1">
        <f t="array" ref="N72">INDEX(tblPrices[cv_2019], MATCH(tblAlibabaUnits[[#This Row],[Products]],tblPrices[Products],0), 0)* tblAlibabaUnits[[#This Row],[cv_2019]]/10^6</f>
        <v>0</v>
      </c>
      <c r="O72" s="62" cm="1">
        <f t="array" ref="O72">INDEX(tblPrices[cv_2020], MATCH(tblAlibabaUnits[[#This Row],[Products]],tblPrices[Products],0), 0)* tblAlibabaUnits[[#This Row],[cv_2020]]/10^6</f>
        <v>0</v>
      </c>
      <c r="P72" s="62" cm="1">
        <f t="array" ref="P72">INDEX(tblPrices[cv_2021], MATCH(tblAlibabaUnits[[#This Row],[Products]],tblPrices[Products],0), 0)* tblAlibabaUnits[[#This Row],[cv_2021]]/10^6</f>
        <v>0</v>
      </c>
      <c r="Q72" s="62" cm="1">
        <f t="array" ref="Q72">INDEX(tblPrices[cv_2022], MATCH(tblAlibabaUnits[[#This Row],[Products]],tblPrices[Products],0), 0)* tblAlibabaUnits[[#This Row],[cv_2022]]/10^6</f>
        <v>0</v>
      </c>
      <c r="R72" s="62" cm="1">
        <f t="array" ref="R72">INDEX(tblPrices[cv_2023], MATCH(tblAlibabaUnits[[#This Row],[Products]],tblPrices[Products],0), 0)* tblAlibabaUnits[[#This Row],[cv_2023]]/10^6</f>
        <v>0</v>
      </c>
      <c r="S72" s="62" cm="1">
        <f t="array" ref="S72">INDEX(tblPrices[cv_2024], MATCH(tblAlibabaUnits[[#This Row],[Products]],tblPrices[Products],0), 0)* tblAlibabaUnits[[#This Row],[cv_2024]]/10^6</f>
        <v>0</v>
      </c>
      <c r="T72" s="62" cm="1">
        <f t="array" ref="T72">INDEX(tblPrices[cv_2025], MATCH(tblAlibabaUnits[[#This Row],[Products]],tblPrices[Products],0), 0)* tblAlibabaUnits[[#This Row],[cv_2025]]/10^6</f>
        <v>0</v>
      </c>
      <c r="U72" s="62" cm="1">
        <f t="array" ref="U72">INDEX(tblPrices[cv_2026], MATCH(tblAlibabaUnits[[#This Row],[Products]],tblPrices[Products],0), 0)* tblAlibabaUnits[[#This Row],[cv_2026]]/10^6</f>
        <v>0</v>
      </c>
      <c r="V72" s="62" cm="1">
        <f t="array" ref="V72">INDEX(tblPrices[cv_2027], MATCH(tblAlibabaUnits[[#This Row],[Products]],tblPrices[Products],0), 0)* tblAlibabaUnits[[#This Row],[cv_2027]]/10^6</f>
        <v>0</v>
      </c>
      <c r="W72" s="62" cm="1">
        <f t="array" ref="W72">INDEX(tblPrices[cv_2028], MATCH(tblAlibabaUnits[[#This Row],[Products]],tblPrices[Products],0), 0)* tblAlibabaUnits[[#This Row],[cv_2028]]/10^6</f>
        <v>0</v>
      </c>
      <c r="X72" s="1">
        <f>VLOOKUP(A72,Products!$A$29:$F$110,6,FALSE)</f>
        <v>40</v>
      </c>
    </row>
    <row r="73" spans="1:24">
      <c r="A73" s="16" t="s">
        <v>23</v>
      </c>
      <c r="B73" s="8">
        <v>4967.9696596638641</v>
      </c>
      <c r="C73" s="8">
        <v>4416.4039999999995</v>
      </c>
      <c r="D73" s="8"/>
      <c r="E73" s="8"/>
      <c r="F73" s="8"/>
      <c r="G73" s="8"/>
      <c r="H73" s="8"/>
      <c r="I73" s="8"/>
      <c r="J73" s="8"/>
      <c r="K73" s="8"/>
      <c r="L73" s="8"/>
      <c r="M73" s="62" cm="1">
        <f t="array" ref="M73">INDEX(tblPrices[cv_2018], MATCH(tblAlibabaUnits[[#This Row],[Products]],tblPrices[Products],0), 0)* tblAlibabaUnits[[#This Row],[cv_2018]]/10^6</f>
        <v>39.743757277310912</v>
      </c>
      <c r="N73" s="62" cm="1">
        <f t="array" ref="N73">INDEX(tblPrices[cv_2019], MATCH(tblAlibabaUnits[[#This Row],[Products]],tblPrices[Products],0), 0)* tblAlibabaUnits[[#This Row],[cv_2019]]/10^6</f>
        <v>28.264985599999999</v>
      </c>
      <c r="O73" s="62" cm="1">
        <f t="array" ref="O73">INDEX(tblPrices[cv_2020], MATCH(tblAlibabaUnits[[#This Row],[Products]],tblPrices[Products],0), 0)* tblAlibabaUnits[[#This Row],[cv_2020]]/10^6</f>
        <v>0</v>
      </c>
      <c r="P73" s="62" cm="1">
        <f t="array" ref="P73">INDEX(tblPrices[cv_2021], MATCH(tblAlibabaUnits[[#This Row],[Products]],tblPrices[Products],0), 0)* tblAlibabaUnits[[#This Row],[cv_2021]]/10^6</f>
        <v>0</v>
      </c>
      <c r="Q73" s="62" cm="1">
        <f t="array" ref="Q73">INDEX(tblPrices[cv_2022], MATCH(tblAlibabaUnits[[#This Row],[Products]],tblPrices[Products],0), 0)* tblAlibabaUnits[[#This Row],[cv_2022]]/10^6</f>
        <v>0</v>
      </c>
      <c r="R73" s="62" cm="1">
        <f t="array" ref="R73">INDEX(tblPrices[cv_2023], MATCH(tblAlibabaUnits[[#This Row],[Products]],tblPrices[Products],0), 0)* tblAlibabaUnits[[#This Row],[cv_2023]]/10^6</f>
        <v>0</v>
      </c>
      <c r="S73" s="62" cm="1">
        <f t="array" ref="S73">INDEX(tblPrices[cv_2024], MATCH(tblAlibabaUnits[[#This Row],[Products]],tblPrices[Products],0), 0)* tblAlibabaUnits[[#This Row],[cv_2024]]/10^6</f>
        <v>0</v>
      </c>
      <c r="T73" s="62" cm="1">
        <f t="array" ref="T73">INDEX(tblPrices[cv_2025], MATCH(tblAlibabaUnits[[#This Row],[Products]],tblPrices[Products],0), 0)* tblAlibabaUnits[[#This Row],[cv_2025]]/10^6</f>
        <v>0</v>
      </c>
      <c r="U73" s="62" cm="1">
        <f t="array" ref="U73">INDEX(tblPrices[cv_2026], MATCH(tblAlibabaUnits[[#This Row],[Products]],tblPrices[Products],0), 0)* tblAlibabaUnits[[#This Row],[cv_2026]]/10^6</f>
        <v>0</v>
      </c>
      <c r="V73" s="62" cm="1">
        <f t="array" ref="V73">INDEX(tblPrices[cv_2027], MATCH(tblAlibabaUnits[[#This Row],[Products]],tblPrices[Products],0), 0)* tblAlibabaUnits[[#This Row],[cv_2027]]/10^6</f>
        <v>0</v>
      </c>
      <c r="W73" s="62" cm="1">
        <f t="array" ref="W73">INDEX(tblPrices[cv_2028], MATCH(tblAlibabaUnits[[#This Row],[Products]],tblPrices[Products],0), 0)* tblAlibabaUnits[[#This Row],[cv_2028]]/10^6</f>
        <v>0</v>
      </c>
      <c r="X73" s="1">
        <f>VLOOKUP(A73,Products!$A$29:$F$110,6,FALSE)</f>
        <v>100</v>
      </c>
    </row>
    <row r="74" spans="1:24">
      <c r="A74" s="16" t="s">
        <v>24</v>
      </c>
      <c r="B74" s="8">
        <v>0</v>
      </c>
      <c r="C74" s="8">
        <v>0</v>
      </c>
      <c r="D74" s="8"/>
      <c r="E74" s="8"/>
      <c r="F74" s="8"/>
      <c r="G74" s="8"/>
      <c r="H74" s="8"/>
      <c r="I74" s="8"/>
      <c r="J74" s="8"/>
      <c r="K74" s="8"/>
      <c r="L74" s="8"/>
      <c r="M74" s="62" cm="1">
        <f t="array" ref="M74">INDEX(tblPrices[cv_2018], MATCH(tblAlibabaUnits[[#This Row],[Products]],tblPrices[Products],0), 0)* tblAlibabaUnits[[#This Row],[cv_2018]]/10^6</f>
        <v>0</v>
      </c>
      <c r="N74" s="62" cm="1">
        <f t="array" ref="N74">INDEX(tblPrices[cv_2019], MATCH(tblAlibabaUnits[[#This Row],[Products]],tblPrices[Products],0), 0)* tblAlibabaUnits[[#This Row],[cv_2019]]/10^6</f>
        <v>0</v>
      </c>
      <c r="O74" s="62" cm="1">
        <f t="array" ref="O74">INDEX(tblPrices[cv_2020], MATCH(tblAlibabaUnits[[#This Row],[Products]],tblPrices[Products],0), 0)* tblAlibabaUnits[[#This Row],[cv_2020]]/10^6</f>
        <v>0</v>
      </c>
      <c r="P74" s="62" cm="1">
        <f t="array" ref="P74">INDEX(tblPrices[cv_2021], MATCH(tblAlibabaUnits[[#This Row],[Products]],tblPrices[Products],0), 0)* tblAlibabaUnits[[#This Row],[cv_2021]]/10^6</f>
        <v>0</v>
      </c>
      <c r="Q74" s="62" cm="1">
        <f t="array" ref="Q74">INDEX(tblPrices[cv_2022], MATCH(tblAlibabaUnits[[#This Row],[Products]],tblPrices[Products],0), 0)* tblAlibabaUnits[[#This Row],[cv_2022]]/10^6</f>
        <v>0</v>
      </c>
      <c r="R74" s="62" cm="1">
        <f t="array" ref="R74">INDEX(tblPrices[cv_2023], MATCH(tblAlibabaUnits[[#This Row],[Products]],tblPrices[Products],0), 0)* tblAlibabaUnits[[#This Row],[cv_2023]]/10^6</f>
        <v>0</v>
      </c>
      <c r="S74" s="62" cm="1">
        <f t="array" ref="S74">INDEX(tblPrices[cv_2024], MATCH(tblAlibabaUnits[[#This Row],[Products]],tblPrices[Products],0), 0)* tblAlibabaUnits[[#This Row],[cv_2024]]/10^6</f>
        <v>0</v>
      </c>
      <c r="T74" s="62" cm="1">
        <f t="array" ref="T74">INDEX(tblPrices[cv_2025], MATCH(tblAlibabaUnits[[#This Row],[Products]],tblPrices[Products],0), 0)* tblAlibabaUnits[[#This Row],[cv_2025]]/10^6</f>
        <v>0</v>
      </c>
      <c r="U74" s="62" cm="1">
        <f t="array" ref="U74">INDEX(tblPrices[cv_2026], MATCH(tblAlibabaUnits[[#This Row],[Products]],tblPrices[Products],0), 0)* tblAlibabaUnits[[#This Row],[cv_2026]]/10^6</f>
        <v>0</v>
      </c>
      <c r="V74" s="62" cm="1">
        <f t="array" ref="V74">INDEX(tblPrices[cv_2027], MATCH(tblAlibabaUnits[[#This Row],[Products]],tblPrices[Products],0), 0)* tblAlibabaUnits[[#This Row],[cv_2027]]/10^6</f>
        <v>0</v>
      </c>
      <c r="W74" s="62" cm="1">
        <f t="array" ref="W74">INDEX(tblPrices[cv_2028], MATCH(tblAlibabaUnits[[#This Row],[Products]],tblPrices[Products],0), 0)* tblAlibabaUnits[[#This Row],[cv_2028]]/10^6</f>
        <v>0</v>
      </c>
      <c r="X74" s="1">
        <f>VLOOKUP(A74,Products!$A$29:$F$110,6,FALSE)</f>
        <v>100</v>
      </c>
    </row>
    <row r="75" spans="1:24">
      <c r="A75" s="16" t="s">
        <v>25</v>
      </c>
      <c r="B75" s="8"/>
      <c r="C75" s="8"/>
      <c r="D75" s="8"/>
      <c r="E75" s="8"/>
      <c r="F75" s="8"/>
      <c r="G75" s="8"/>
      <c r="H75" s="8"/>
      <c r="I75" s="8"/>
      <c r="J75" s="8"/>
      <c r="K75" s="8"/>
      <c r="L75" s="8"/>
      <c r="M75" s="62" cm="1">
        <f t="array" ref="M75">INDEX(tblPrices[cv_2018], MATCH(tblAlibabaUnits[[#This Row],[Products]],tblPrices[Products],0), 0)* tblAlibabaUnits[[#This Row],[cv_2018]]/10^6</f>
        <v>0</v>
      </c>
      <c r="N75" s="62" cm="1">
        <f t="array" ref="N75">INDEX(tblPrices[cv_2019], MATCH(tblAlibabaUnits[[#This Row],[Products]],tblPrices[Products],0), 0)* tblAlibabaUnits[[#This Row],[cv_2019]]/10^6</f>
        <v>0</v>
      </c>
      <c r="O75" s="62" cm="1">
        <f t="array" ref="O75">INDEX(tblPrices[cv_2020], MATCH(tblAlibabaUnits[[#This Row],[Products]],tblPrices[Products],0), 0)* tblAlibabaUnits[[#This Row],[cv_2020]]/10^6</f>
        <v>0</v>
      </c>
      <c r="P75" s="62" cm="1">
        <f t="array" ref="P75">INDEX(tblPrices[cv_2021], MATCH(tblAlibabaUnits[[#This Row],[Products]],tblPrices[Products],0), 0)* tblAlibabaUnits[[#This Row],[cv_2021]]/10^6</f>
        <v>0</v>
      </c>
      <c r="Q75" s="62" cm="1">
        <f t="array" ref="Q75">INDEX(tblPrices[cv_2022], MATCH(tblAlibabaUnits[[#This Row],[Products]],tblPrices[Products],0), 0)* tblAlibabaUnits[[#This Row],[cv_2022]]/10^6</f>
        <v>0</v>
      </c>
      <c r="R75" s="62" cm="1">
        <f t="array" ref="R75">INDEX(tblPrices[cv_2023], MATCH(tblAlibabaUnits[[#This Row],[Products]],tblPrices[Products],0), 0)* tblAlibabaUnits[[#This Row],[cv_2023]]/10^6</f>
        <v>0</v>
      </c>
      <c r="S75" s="62" cm="1">
        <f t="array" ref="S75">INDEX(tblPrices[cv_2024], MATCH(tblAlibabaUnits[[#This Row],[Products]],tblPrices[Products],0), 0)* tblAlibabaUnits[[#This Row],[cv_2024]]/10^6</f>
        <v>0</v>
      </c>
      <c r="T75" s="62" cm="1">
        <f t="array" ref="T75">INDEX(tblPrices[cv_2025], MATCH(tblAlibabaUnits[[#This Row],[Products]],tblPrices[Products],0), 0)* tblAlibabaUnits[[#This Row],[cv_2025]]/10^6</f>
        <v>0</v>
      </c>
      <c r="U75" s="62" cm="1">
        <f t="array" ref="U75">INDEX(tblPrices[cv_2026], MATCH(tblAlibabaUnits[[#This Row],[Products]],tblPrices[Products],0), 0)* tblAlibabaUnits[[#This Row],[cv_2026]]/10^6</f>
        <v>0</v>
      </c>
      <c r="V75" s="62" cm="1">
        <f t="array" ref="V75">INDEX(tblPrices[cv_2027], MATCH(tblAlibabaUnits[[#This Row],[Products]],tblPrices[Products],0), 0)* tblAlibabaUnits[[#This Row],[cv_2027]]/10^6</f>
        <v>0</v>
      </c>
      <c r="W75" s="62" cm="1">
        <f t="array" ref="W75">INDEX(tblPrices[cv_2028], MATCH(tblAlibabaUnits[[#This Row],[Products]],tblPrices[Products],0), 0)* tblAlibabaUnits[[#This Row],[cv_2028]]/10^6</f>
        <v>0</v>
      </c>
      <c r="X75" s="1">
        <f>VLOOKUP(A75,Products!$A$29:$F$110,6,FALSE)</f>
        <v>100</v>
      </c>
    </row>
    <row r="76" spans="1:24">
      <c r="A76" s="16" t="s">
        <v>26</v>
      </c>
      <c r="B76" s="8"/>
      <c r="C76" s="8"/>
      <c r="D76" s="8"/>
      <c r="E76" s="8"/>
      <c r="F76" s="8"/>
      <c r="G76" s="8"/>
      <c r="H76" s="8"/>
      <c r="I76" s="8"/>
      <c r="J76" s="8"/>
      <c r="K76" s="8"/>
      <c r="L76" s="8"/>
      <c r="M76" s="62" cm="1">
        <f t="array" ref="M76">INDEX(tblPrices[cv_2018], MATCH(tblAlibabaUnits[[#This Row],[Products]],tblPrices[Products],0), 0)* tblAlibabaUnits[[#This Row],[cv_2018]]/10^6</f>
        <v>0</v>
      </c>
      <c r="N76" s="62" cm="1">
        <f t="array" ref="N76">INDEX(tblPrices[cv_2019], MATCH(tblAlibabaUnits[[#This Row],[Products]],tblPrices[Products],0), 0)* tblAlibabaUnits[[#This Row],[cv_2019]]/10^6</f>
        <v>0</v>
      </c>
      <c r="O76" s="62" cm="1">
        <f t="array" ref="O76">INDEX(tblPrices[cv_2020], MATCH(tblAlibabaUnits[[#This Row],[Products]],tblPrices[Products],0), 0)* tblAlibabaUnits[[#This Row],[cv_2020]]/10^6</f>
        <v>0</v>
      </c>
      <c r="P76" s="62" cm="1">
        <f t="array" ref="P76">INDEX(tblPrices[cv_2021], MATCH(tblAlibabaUnits[[#This Row],[Products]],tblPrices[Products],0), 0)* tblAlibabaUnits[[#This Row],[cv_2021]]/10^6</f>
        <v>0</v>
      </c>
      <c r="Q76" s="62" cm="1">
        <f t="array" ref="Q76">INDEX(tblPrices[cv_2022], MATCH(tblAlibabaUnits[[#This Row],[Products]],tblPrices[Products],0), 0)* tblAlibabaUnits[[#This Row],[cv_2022]]/10^6</f>
        <v>0</v>
      </c>
      <c r="R76" s="62" cm="1">
        <f t="array" ref="R76">INDEX(tblPrices[cv_2023], MATCH(tblAlibabaUnits[[#This Row],[Products]],tblPrices[Products],0), 0)* tblAlibabaUnits[[#This Row],[cv_2023]]/10^6</f>
        <v>0</v>
      </c>
      <c r="S76" s="62" cm="1">
        <f t="array" ref="S76">INDEX(tblPrices[cv_2024], MATCH(tblAlibabaUnits[[#This Row],[Products]],tblPrices[Products],0), 0)* tblAlibabaUnits[[#This Row],[cv_2024]]/10^6</f>
        <v>0</v>
      </c>
      <c r="T76" s="62" cm="1">
        <f t="array" ref="T76">INDEX(tblPrices[cv_2025], MATCH(tblAlibabaUnits[[#This Row],[Products]],tblPrices[Products],0), 0)* tblAlibabaUnits[[#This Row],[cv_2025]]/10^6</f>
        <v>0</v>
      </c>
      <c r="U76" s="62" cm="1">
        <f t="array" ref="U76">INDEX(tblPrices[cv_2026], MATCH(tblAlibabaUnits[[#This Row],[Products]],tblPrices[Products],0), 0)* tblAlibabaUnits[[#This Row],[cv_2026]]/10^6</f>
        <v>0</v>
      </c>
      <c r="V76" s="62" cm="1">
        <f t="array" ref="V76">INDEX(tblPrices[cv_2027], MATCH(tblAlibabaUnits[[#This Row],[Products]],tblPrices[Products],0), 0)* tblAlibabaUnits[[#This Row],[cv_2027]]/10^6</f>
        <v>0</v>
      </c>
      <c r="W76" s="62" cm="1">
        <f t="array" ref="W76">INDEX(tblPrices[cv_2028], MATCH(tblAlibabaUnits[[#This Row],[Products]],tblPrices[Products],0), 0)* tblAlibabaUnits[[#This Row],[cv_2028]]/10^6</f>
        <v>0</v>
      </c>
      <c r="X76" s="1">
        <f>VLOOKUP(A76,Products!$A$29:$F$110,6,FALSE)</f>
        <v>100</v>
      </c>
    </row>
    <row r="77" spans="1:24">
      <c r="A77" s="16" t="s">
        <v>27</v>
      </c>
      <c r="B77" s="8"/>
      <c r="C77" s="8"/>
      <c r="D77" s="8"/>
      <c r="E77" s="8"/>
      <c r="F77" s="8"/>
      <c r="G77" s="8"/>
      <c r="H77" s="8"/>
      <c r="I77" s="8"/>
      <c r="J77" s="8"/>
      <c r="K77" s="8"/>
      <c r="L77" s="8"/>
      <c r="M77" s="62" cm="1">
        <f t="array" ref="M77">INDEX(tblPrices[cv_2018], MATCH(tblAlibabaUnits[[#This Row],[Products]],tblPrices[Products],0), 0)* tblAlibabaUnits[[#This Row],[cv_2018]]/10^6</f>
        <v>0</v>
      </c>
      <c r="N77" s="62" cm="1">
        <f t="array" ref="N77">INDEX(tblPrices[cv_2019], MATCH(tblAlibabaUnits[[#This Row],[Products]],tblPrices[Products],0), 0)* tblAlibabaUnits[[#This Row],[cv_2019]]/10^6</f>
        <v>0</v>
      </c>
      <c r="O77" s="62" cm="1">
        <f t="array" ref="O77">INDEX(tblPrices[cv_2020], MATCH(tblAlibabaUnits[[#This Row],[Products]],tblPrices[Products],0), 0)* tblAlibabaUnits[[#This Row],[cv_2020]]/10^6</f>
        <v>0</v>
      </c>
      <c r="P77" s="62" cm="1">
        <f t="array" ref="P77">INDEX(tblPrices[cv_2021], MATCH(tblAlibabaUnits[[#This Row],[Products]],tblPrices[Products],0), 0)* tblAlibabaUnits[[#This Row],[cv_2021]]/10^6</f>
        <v>0</v>
      </c>
      <c r="Q77" s="62" cm="1">
        <f t="array" ref="Q77">INDEX(tblPrices[cv_2022], MATCH(tblAlibabaUnits[[#This Row],[Products]],tblPrices[Products],0), 0)* tblAlibabaUnits[[#This Row],[cv_2022]]/10^6</f>
        <v>0</v>
      </c>
      <c r="R77" s="62" cm="1">
        <f t="array" ref="R77">INDEX(tblPrices[cv_2023], MATCH(tblAlibabaUnits[[#This Row],[Products]],tblPrices[Products],0), 0)* tblAlibabaUnits[[#This Row],[cv_2023]]/10^6</f>
        <v>0</v>
      </c>
      <c r="S77" s="62" cm="1">
        <f t="array" ref="S77">INDEX(tblPrices[cv_2024], MATCH(tblAlibabaUnits[[#This Row],[Products]],tblPrices[Products],0), 0)* tblAlibabaUnits[[#This Row],[cv_2024]]/10^6</f>
        <v>0</v>
      </c>
      <c r="T77" s="62" cm="1">
        <f t="array" ref="T77">INDEX(tblPrices[cv_2025], MATCH(tblAlibabaUnits[[#This Row],[Products]],tblPrices[Products],0), 0)* tblAlibabaUnits[[#This Row],[cv_2025]]/10^6</f>
        <v>0</v>
      </c>
      <c r="U77" s="62" cm="1">
        <f t="array" ref="U77">INDEX(tblPrices[cv_2026], MATCH(tblAlibabaUnits[[#This Row],[Products]],tblPrices[Products],0), 0)* tblAlibabaUnits[[#This Row],[cv_2026]]/10^6</f>
        <v>0</v>
      </c>
      <c r="V77" s="62" cm="1">
        <f t="array" ref="V77">INDEX(tblPrices[cv_2027], MATCH(tblAlibabaUnits[[#This Row],[Products]],tblPrices[Products],0), 0)* tblAlibabaUnits[[#This Row],[cv_2027]]/10^6</f>
        <v>0</v>
      </c>
      <c r="W77" s="62" cm="1">
        <f t="array" ref="W77">INDEX(tblPrices[cv_2028], MATCH(tblAlibabaUnits[[#This Row],[Products]],tblPrices[Products],0), 0)* tblAlibabaUnits[[#This Row],[cv_2028]]/10^6</f>
        <v>0</v>
      </c>
      <c r="X77" s="1">
        <f>VLOOKUP(A77,Products!$A$29:$F$110,6,FALSE)</f>
        <v>100</v>
      </c>
    </row>
    <row r="78" spans="1:24">
      <c r="A78" s="16" t="s">
        <v>28</v>
      </c>
      <c r="B78" s="8">
        <v>449.09016393442607</v>
      </c>
      <c r="C78" s="8">
        <v>1427.5530000000008</v>
      </c>
      <c r="D78" s="8"/>
      <c r="E78" s="8"/>
      <c r="F78" s="8"/>
      <c r="G78" s="8"/>
      <c r="H78" s="8"/>
      <c r="I78" s="8"/>
      <c r="J78" s="8"/>
      <c r="K78" s="8"/>
      <c r="L78" s="8"/>
      <c r="M78" s="62" cm="1">
        <f t="array" ref="M78">INDEX(tblPrices[cv_2018], MATCH(tblAlibabaUnits[[#This Row],[Products]],tblPrices[Products],0), 0)* tblAlibabaUnits[[#This Row],[cv_2018]]/10^6</f>
        <v>3.9193323397913553</v>
      </c>
      <c r="N78" s="62" cm="1">
        <f t="array" ref="N78">INDEX(tblPrices[cv_2019], MATCH(tblAlibabaUnits[[#This Row],[Products]],tblPrices[Products],0), 0)* tblAlibabaUnits[[#This Row],[cv_2019]]/10^6</f>
        <v>9.9669154909090967</v>
      </c>
      <c r="O78" s="62" cm="1">
        <f t="array" ref="O78">INDEX(tblPrices[cv_2020], MATCH(tblAlibabaUnits[[#This Row],[Products]],tblPrices[Products],0), 0)* tblAlibabaUnits[[#This Row],[cv_2020]]/10^6</f>
        <v>0</v>
      </c>
      <c r="P78" s="62" cm="1">
        <f t="array" ref="P78">INDEX(tblPrices[cv_2021], MATCH(tblAlibabaUnits[[#This Row],[Products]],tblPrices[Products],0), 0)* tblAlibabaUnits[[#This Row],[cv_2021]]/10^6</f>
        <v>0</v>
      </c>
      <c r="Q78" s="62" cm="1">
        <f t="array" ref="Q78">INDEX(tblPrices[cv_2022], MATCH(tblAlibabaUnits[[#This Row],[Products]],tblPrices[Products],0), 0)* tblAlibabaUnits[[#This Row],[cv_2022]]/10^6</f>
        <v>0</v>
      </c>
      <c r="R78" s="62" cm="1">
        <f t="array" ref="R78">INDEX(tblPrices[cv_2023], MATCH(tblAlibabaUnits[[#This Row],[Products]],tblPrices[Products],0), 0)* tblAlibabaUnits[[#This Row],[cv_2023]]/10^6</f>
        <v>0</v>
      </c>
      <c r="S78" s="62" cm="1">
        <f t="array" ref="S78">INDEX(tblPrices[cv_2024], MATCH(tblAlibabaUnits[[#This Row],[Products]],tblPrices[Products],0), 0)* tblAlibabaUnits[[#This Row],[cv_2024]]/10^6</f>
        <v>0</v>
      </c>
      <c r="T78" s="62" cm="1">
        <f t="array" ref="T78">INDEX(tblPrices[cv_2025], MATCH(tblAlibabaUnits[[#This Row],[Products]],tblPrices[Products],0), 0)* tblAlibabaUnits[[#This Row],[cv_2025]]/10^6</f>
        <v>0</v>
      </c>
      <c r="U78" s="62" cm="1">
        <f t="array" ref="U78">INDEX(tblPrices[cv_2026], MATCH(tblAlibabaUnits[[#This Row],[Products]],tblPrices[Products],0), 0)* tblAlibabaUnits[[#This Row],[cv_2026]]/10^6</f>
        <v>0</v>
      </c>
      <c r="V78" s="62" cm="1">
        <f t="array" ref="V78">INDEX(tblPrices[cv_2027], MATCH(tblAlibabaUnits[[#This Row],[Products]],tblPrices[Products],0), 0)* tblAlibabaUnits[[#This Row],[cv_2027]]/10^6</f>
        <v>0</v>
      </c>
      <c r="W78" s="62" cm="1">
        <f t="array" ref="W78">INDEX(tblPrices[cv_2028], MATCH(tblAlibabaUnits[[#This Row],[Products]],tblPrices[Products],0), 0)* tblAlibabaUnits[[#This Row],[cv_2028]]/10^6</f>
        <v>0</v>
      </c>
      <c r="X78" s="1">
        <f>VLOOKUP(A78,Products!$A$29:$F$110,6,FALSE)</f>
        <v>200</v>
      </c>
    </row>
    <row r="79" spans="1:24">
      <c r="A79" s="16" t="s">
        <v>29</v>
      </c>
      <c r="B79" s="8">
        <v>189.00614754098365</v>
      </c>
      <c r="C79" s="8">
        <v>1285.9949999999999</v>
      </c>
      <c r="D79" s="8"/>
      <c r="E79" s="8"/>
      <c r="F79" s="8"/>
      <c r="G79" s="8"/>
      <c r="H79" s="8"/>
      <c r="I79" s="8"/>
      <c r="J79" s="8"/>
      <c r="K79" s="8"/>
      <c r="L79" s="8"/>
      <c r="M79" s="62" cm="1">
        <f t="array" ref="M79">INDEX(tblPrices[cv_2018], MATCH(tblAlibabaUnits[[#This Row],[Products]],tblPrices[Products],0), 0)* tblAlibabaUnits[[#This Row],[cv_2018]]/10^6</f>
        <v>1.134036885245902</v>
      </c>
      <c r="N79" s="62" cm="1">
        <f t="array" ref="N79">INDEX(tblPrices[cv_2019], MATCH(tblAlibabaUnits[[#This Row],[Products]],tblPrices[Products],0), 0)* tblAlibabaUnits[[#This Row],[cv_2019]]/10^6</f>
        <v>6.1727759999999989</v>
      </c>
      <c r="O79" s="62" cm="1">
        <f t="array" ref="O79">INDEX(tblPrices[cv_2020], MATCH(tblAlibabaUnits[[#This Row],[Products]],tblPrices[Products],0), 0)* tblAlibabaUnits[[#This Row],[cv_2020]]/10^6</f>
        <v>0</v>
      </c>
      <c r="P79" s="62" cm="1">
        <f t="array" ref="P79">INDEX(tblPrices[cv_2021], MATCH(tblAlibabaUnits[[#This Row],[Products]],tblPrices[Products],0), 0)* tblAlibabaUnits[[#This Row],[cv_2021]]/10^6</f>
        <v>0</v>
      </c>
      <c r="Q79" s="62" cm="1">
        <f t="array" ref="Q79">INDEX(tblPrices[cv_2022], MATCH(tblAlibabaUnits[[#This Row],[Products]],tblPrices[Products],0), 0)* tblAlibabaUnits[[#This Row],[cv_2022]]/10^6</f>
        <v>0</v>
      </c>
      <c r="R79" s="62" cm="1">
        <f t="array" ref="R79">INDEX(tblPrices[cv_2023], MATCH(tblAlibabaUnits[[#This Row],[Products]],tblPrices[Products],0), 0)* tblAlibabaUnits[[#This Row],[cv_2023]]/10^6</f>
        <v>0</v>
      </c>
      <c r="S79" s="62" cm="1">
        <f t="array" ref="S79">INDEX(tblPrices[cv_2024], MATCH(tblAlibabaUnits[[#This Row],[Products]],tblPrices[Products],0), 0)* tblAlibabaUnits[[#This Row],[cv_2024]]/10^6</f>
        <v>0</v>
      </c>
      <c r="T79" s="62" cm="1">
        <f t="array" ref="T79">INDEX(tblPrices[cv_2025], MATCH(tblAlibabaUnits[[#This Row],[Products]],tblPrices[Products],0), 0)* tblAlibabaUnits[[#This Row],[cv_2025]]/10^6</f>
        <v>0</v>
      </c>
      <c r="U79" s="62" cm="1">
        <f t="array" ref="U79">INDEX(tblPrices[cv_2026], MATCH(tblAlibabaUnits[[#This Row],[Products]],tblPrices[Products],0), 0)* tblAlibabaUnits[[#This Row],[cv_2026]]/10^6</f>
        <v>0</v>
      </c>
      <c r="V79" s="62" cm="1">
        <f t="array" ref="V79">INDEX(tblPrices[cv_2027], MATCH(tblAlibabaUnits[[#This Row],[Products]],tblPrices[Products],0), 0)* tblAlibabaUnits[[#This Row],[cv_2027]]/10^6</f>
        <v>0</v>
      </c>
      <c r="W79" s="62" cm="1">
        <f t="array" ref="W79">INDEX(tblPrices[cv_2028], MATCH(tblAlibabaUnits[[#This Row],[Products]],tblPrices[Products],0), 0)* tblAlibabaUnits[[#This Row],[cv_2028]]/10^6</f>
        <v>0</v>
      </c>
      <c r="X79" s="1">
        <f>VLOOKUP(A79,Products!$A$29:$F$110,6,FALSE)</f>
        <v>200</v>
      </c>
    </row>
    <row r="80" spans="1:24">
      <c r="A80" s="16" t="s">
        <v>30</v>
      </c>
      <c r="B80" s="8"/>
      <c r="C80" s="8"/>
      <c r="D80" s="8"/>
      <c r="E80" s="8"/>
      <c r="F80" s="8"/>
      <c r="G80" s="8"/>
      <c r="H80" s="8"/>
      <c r="I80" s="8"/>
      <c r="J80" s="8"/>
      <c r="K80" s="8"/>
      <c r="L80" s="8"/>
      <c r="M80" s="62" cm="1">
        <f t="array" ref="M80">INDEX(tblPrices[cv_2018], MATCH(tblAlibabaUnits[[#This Row],[Products]],tblPrices[Products],0), 0)* tblAlibabaUnits[[#This Row],[cv_2018]]/10^6</f>
        <v>0</v>
      </c>
      <c r="N80" s="62" cm="1">
        <f t="array" ref="N80">INDEX(tblPrices[cv_2019], MATCH(tblAlibabaUnits[[#This Row],[Products]],tblPrices[Products],0), 0)* tblAlibabaUnits[[#This Row],[cv_2019]]/10^6</f>
        <v>0</v>
      </c>
      <c r="O80" s="62" cm="1">
        <f t="array" ref="O80">INDEX(tblPrices[cv_2020], MATCH(tblAlibabaUnits[[#This Row],[Products]],tblPrices[Products],0), 0)* tblAlibabaUnits[[#This Row],[cv_2020]]/10^6</f>
        <v>0</v>
      </c>
      <c r="P80" s="62" cm="1">
        <f t="array" ref="P80">INDEX(tblPrices[cv_2021], MATCH(tblAlibabaUnits[[#This Row],[Products]],tblPrices[Products],0), 0)* tblAlibabaUnits[[#This Row],[cv_2021]]/10^6</f>
        <v>0</v>
      </c>
      <c r="Q80" s="62" cm="1">
        <f t="array" ref="Q80">INDEX(tblPrices[cv_2022], MATCH(tblAlibabaUnits[[#This Row],[Products]],tblPrices[Products],0), 0)* tblAlibabaUnits[[#This Row],[cv_2022]]/10^6</f>
        <v>0</v>
      </c>
      <c r="R80" s="62" cm="1">
        <f t="array" ref="R80">INDEX(tblPrices[cv_2023], MATCH(tblAlibabaUnits[[#This Row],[Products]],tblPrices[Products],0), 0)* tblAlibabaUnits[[#This Row],[cv_2023]]/10^6</f>
        <v>0</v>
      </c>
      <c r="S80" s="62" cm="1">
        <f t="array" ref="S80">INDEX(tblPrices[cv_2024], MATCH(tblAlibabaUnits[[#This Row],[Products]],tblPrices[Products],0), 0)* tblAlibabaUnits[[#This Row],[cv_2024]]/10^6</f>
        <v>0</v>
      </c>
      <c r="T80" s="62" cm="1">
        <f t="array" ref="T80">INDEX(tblPrices[cv_2025], MATCH(tblAlibabaUnits[[#This Row],[Products]],tblPrices[Products],0), 0)* tblAlibabaUnits[[#This Row],[cv_2025]]/10^6</f>
        <v>0</v>
      </c>
      <c r="U80" s="62" cm="1">
        <f t="array" ref="U80">INDEX(tblPrices[cv_2026], MATCH(tblAlibabaUnits[[#This Row],[Products]],tblPrices[Products],0), 0)* tblAlibabaUnits[[#This Row],[cv_2026]]/10^6</f>
        <v>0</v>
      </c>
      <c r="V80" s="62" cm="1">
        <f t="array" ref="V80">INDEX(tblPrices[cv_2027], MATCH(tblAlibabaUnits[[#This Row],[Products]],tblPrices[Products],0), 0)* tblAlibabaUnits[[#This Row],[cv_2027]]/10^6</f>
        <v>0</v>
      </c>
      <c r="W80" s="62" cm="1">
        <f t="array" ref="W80">INDEX(tblPrices[cv_2028], MATCH(tblAlibabaUnits[[#This Row],[Products]],tblPrices[Products],0), 0)* tblAlibabaUnits[[#This Row],[cv_2028]]/10^6</f>
        <v>0</v>
      </c>
      <c r="X80" s="1">
        <f>VLOOKUP(A80,Products!$A$29:$F$110,6,FALSE)</f>
        <v>200</v>
      </c>
    </row>
    <row r="81" spans="1:24">
      <c r="A81" s="16" t="s">
        <v>31</v>
      </c>
      <c r="B81" s="8">
        <v>0</v>
      </c>
      <c r="C81" s="8">
        <v>0</v>
      </c>
      <c r="D81" s="8"/>
      <c r="E81" s="8"/>
      <c r="F81" s="8"/>
      <c r="G81" s="8"/>
      <c r="H81" s="8"/>
      <c r="I81" s="8"/>
      <c r="J81" s="8"/>
      <c r="K81" s="8"/>
      <c r="L81" s="8"/>
      <c r="M81" s="62" cm="1">
        <f t="array" ref="M81">INDEX(tblPrices[cv_2018], MATCH(tblAlibabaUnits[[#This Row],[Products]],tblPrices[Products],0), 0)* tblAlibabaUnits[[#This Row],[cv_2018]]/10^6</f>
        <v>0</v>
      </c>
      <c r="N81" s="62" cm="1">
        <f t="array" ref="N81">INDEX(tblPrices[cv_2019], MATCH(tblAlibabaUnits[[#This Row],[Products]],tblPrices[Products],0), 0)* tblAlibabaUnits[[#This Row],[cv_2019]]/10^6</f>
        <v>0</v>
      </c>
      <c r="O81" s="62" cm="1">
        <f t="array" ref="O81">INDEX(tblPrices[cv_2020], MATCH(tblAlibabaUnits[[#This Row],[Products]],tblPrices[Products],0), 0)* tblAlibabaUnits[[#This Row],[cv_2020]]/10^6</f>
        <v>0</v>
      </c>
      <c r="P81" s="62" cm="1">
        <f t="array" ref="P81">INDEX(tblPrices[cv_2021], MATCH(tblAlibabaUnits[[#This Row],[Products]],tblPrices[Products],0), 0)* tblAlibabaUnits[[#This Row],[cv_2021]]/10^6</f>
        <v>0</v>
      </c>
      <c r="Q81" s="62" cm="1">
        <f t="array" ref="Q81">INDEX(tblPrices[cv_2022], MATCH(tblAlibabaUnits[[#This Row],[Products]],tblPrices[Products],0), 0)* tblAlibabaUnits[[#This Row],[cv_2022]]/10^6</f>
        <v>0</v>
      </c>
      <c r="R81" s="62" cm="1">
        <f t="array" ref="R81">INDEX(tblPrices[cv_2023], MATCH(tblAlibabaUnits[[#This Row],[Products]],tblPrices[Products],0), 0)* tblAlibabaUnits[[#This Row],[cv_2023]]/10^6</f>
        <v>0</v>
      </c>
      <c r="S81" s="62" cm="1">
        <f t="array" ref="S81">INDEX(tblPrices[cv_2024], MATCH(tblAlibabaUnits[[#This Row],[Products]],tblPrices[Products],0), 0)* tblAlibabaUnits[[#This Row],[cv_2024]]/10^6</f>
        <v>0</v>
      </c>
      <c r="T81" s="62" cm="1">
        <f t="array" ref="T81">INDEX(tblPrices[cv_2025], MATCH(tblAlibabaUnits[[#This Row],[Products]],tblPrices[Products],0), 0)* tblAlibabaUnits[[#This Row],[cv_2025]]/10^6</f>
        <v>0</v>
      </c>
      <c r="U81" s="62" cm="1">
        <f t="array" ref="U81">INDEX(tblPrices[cv_2026], MATCH(tblAlibabaUnits[[#This Row],[Products]],tblPrices[Products],0), 0)* tblAlibabaUnits[[#This Row],[cv_2026]]/10^6</f>
        <v>0</v>
      </c>
      <c r="V81" s="62" cm="1">
        <f t="array" ref="V81">INDEX(tblPrices[cv_2027], MATCH(tblAlibabaUnits[[#This Row],[Products]],tblPrices[Products],0), 0)* tblAlibabaUnits[[#This Row],[cv_2027]]/10^6</f>
        <v>0</v>
      </c>
      <c r="W81" s="62" cm="1">
        <f t="array" ref="W81">INDEX(tblPrices[cv_2028], MATCH(tblAlibabaUnits[[#This Row],[Products]],tblPrices[Products],0), 0)* tblAlibabaUnits[[#This Row],[cv_2028]]/10^6</f>
        <v>0</v>
      </c>
      <c r="X81" s="1">
        <f>VLOOKUP(A81,Products!$A$29:$F$110,6,FALSE)</f>
        <v>400</v>
      </c>
    </row>
    <row r="82" spans="1:24">
      <c r="A82" s="16" t="s">
        <v>32</v>
      </c>
      <c r="B82" s="8">
        <v>0</v>
      </c>
      <c r="C82" s="8">
        <v>0</v>
      </c>
      <c r="D82" s="8"/>
      <c r="E82" s="8"/>
      <c r="F82" s="8"/>
      <c r="G82" s="8"/>
      <c r="H82" s="8"/>
      <c r="I82" s="8"/>
      <c r="J82" s="8"/>
      <c r="K82" s="8"/>
      <c r="L82" s="8"/>
      <c r="M82" s="62" cm="1">
        <f t="array" ref="M82">INDEX(tblPrices[cv_2018], MATCH(tblAlibabaUnits[[#This Row],[Products]],tblPrices[Products],0), 0)* tblAlibabaUnits[[#This Row],[cv_2018]]/10^6</f>
        <v>0</v>
      </c>
      <c r="N82" s="62" cm="1">
        <f t="array" ref="N82">INDEX(tblPrices[cv_2019], MATCH(tblAlibabaUnits[[#This Row],[Products]],tblPrices[Products],0), 0)* tblAlibabaUnits[[#This Row],[cv_2019]]/10^6</f>
        <v>0</v>
      </c>
      <c r="O82" s="62" cm="1">
        <f t="array" ref="O82">INDEX(tblPrices[cv_2020], MATCH(tblAlibabaUnits[[#This Row],[Products]],tblPrices[Products],0), 0)* tblAlibabaUnits[[#This Row],[cv_2020]]/10^6</f>
        <v>0</v>
      </c>
      <c r="P82" s="62" cm="1">
        <f t="array" ref="P82">INDEX(tblPrices[cv_2021], MATCH(tblAlibabaUnits[[#This Row],[Products]],tblPrices[Products],0), 0)* tblAlibabaUnits[[#This Row],[cv_2021]]/10^6</f>
        <v>0</v>
      </c>
      <c r="Q82" s="62" cm="1">
        <f t="array" ref="Q82">INDEX(tblPrices[cv_2022], MATCH(tblAlibabaUnits[[#This Row],[Products]],tblPrices[Products],0), 0)* tblAlibabaUnits[[#This Row],[cv_2022]]/10^6</f>
        <v>0</v>
      </c>
      <c r="R82" s="62" cm="1">
        <f t="array" ref="R82">INDEX(tblPrices[cv_2023], MATCH(tblAlibabaUnits[[#This Row],[Products]],tblPrices[Products],0), 0)* tblAlibabaUnits[[#This Row],[cv_2023]]/10^6</f>
        <v>0</v>
      </c>
      <c r="S82" s="62" cm="1">
        <f t="array" ref="S82">INDEX(tblPrices[cv_2024], MATCH(tblAlibabaUnits[[#This Row],[Products]],tblPrices[Products],0), 0)* tblAlibabaUnits[[#This Row],[cv_2024]]/10^6</f>
        <v>0</v>
      </c>
      <c r="T82" s="62" cm="1">
        <f t="array" ref="T82">INDEX(tblPrices[cv_2025], MATCH(tblAlibabaUnits[[#This Row],[Products]],tblPrices[Products],0), 0)* tblAlibabaUnits[[#This Row],[cv_2025]]/10^6</f>
        <v>0</v>
      </c>
      <c r="U82" s="62" cm="1">
        <f t="array" ref="U82">INDEX(tblPrices[cv_2026], MATCH(tblAlibabaUnits[[#This Row],[Products]],tblPrices[Products],0), 0)* tblAlibabaUnits[[#This Row],[cv_2026]]/10^6</f>
        <v>0</v>
      </c>
      <c r="V82" s="62" cm="1">
        <f t="array" ref="V82">INDEX(tblPrices[cv_2027], MATCH(tblAlibabaUnits[[#This Row],[Products]],tblPrices[Products],0), 0)* tblAlibabaUnits[[#This Row],[cv_2027]]/10^6</f>
        <v>0</v>
      </c>
      <c r="W82" s="62" cm="1">
        <f t="array" ref="W82">INDEX(tblPrices[cv_2028], MATCH(tblAlibabaUnits[[#This Row],[Products]],tblPrices[Products],0), 0)* tblAlibabaUnits[[#This Row],[cv_2028]]/10^6</f>
        <v>0</v>
      </c>
      <c r="X82" s="1">
        <f>VLOOKUP(A82,Products!$A$29:$F$110,6,FALSE)</f>
        <v>400</v>
      </c>
    </row>
    <row r="83" spans="1:24">
      <c r="A83" s="16" t="s">
        <v>33</v>
      </c>
      <c r="B83" s="8">
        <v>0</v>
      </c>
      <c r="C83" s="8">
        <v>0</v>
      </c>
      <c r="D83" s="8"/>
      <c r="E83" s="8"/>
      <c r="F83" s="8"/>
      <c r="G83" s="8"/>
      <c r="H83" s="8"/>
      <c r="I83" s="8"/>
      <c r="J83" s="8"/>
      <c r="K83" s="8"/>
      <c r="L83" s="8"/>
      <c r="M83" s="62" cm="1">
        <f t="array" ref="M83">INDEX(tblPrices[cv_2018], MATCH(tblAlibabaUnits[[#This Row],[Products]],tblPrices[Products],0), 0)* tblAlibabaUnits[[#This Row],[cv_2018]]/10^6</f>
        <v>0</v>
      </c>
      <c r="N83" s="62" cm="1">
        <f t="array" ref="N83">INDEX(tblPrices[cv_2019], MATCH(tblAlibabaUnits[[#This Row],[Products]],tblPrices[Products],0), 0)* tblAlibabaUnits[[#This Row],[cv_2019]]/10^6</f>
        <v>0</v>
      </c>
      <c r="O83" s="62" cm="1">
        <f t="array" ref="O83">INDEX(tblPrices[cv_2020], MATCH(tblAlibabaUnits[[#This Row],[Products]],tblPrices[Products],0), 0)* tblAlibabaUnits[[#This Row],[cv_2020]]/10^6</f>
        <v>0</v>
      </c>
      <c r="P83" s="62" cm="1">
        <f t="array" ref="P83">INDEX(tblPrices[cv_2021], MATCH(tblAlibabaUnits[[#This Row],[Products]],tblPrices[Products],0), 0)* tblAlibabaUnits[[#This Row],[cv_2021]]/10^6</f>
        <v>0</v>
      </c>
      <c r="Q83" s="62" cm="1">
        <f t="array" ref="Q83">INDEX(tblPrices[cv_2022], MATCH(tblAlibabaUnits[[#This Row],[Products]],tblPrices[Products],0), 0)* tblAlibabaUnits[[#This Row],[cv_2022]]/10^6</f>
        <v>0</v>
      </c>
      <c r="R83" s="62" cm="1">
        <f t="array" ref="R83">INDEX(tblPrices[cv_2023], MATCH(tblAlibabaUnits[[#This Row],[Products]],tblPrices[Products],0), 0)* tblAlibabaUnits[[#This Row],[cv_2023]]/10^6</f>
        <v>0</v>
      </c>
      <c r="S83" s="62" cm="1">
        <f t="array" ref="S83">INDEX(tblPrices[cv_2024], MATCH(tblAlibabaUnits[[#This Row],[Products]],tblPrices[Products],0), 0)* tblAlibabaUnits[[#This Row],[cv_2024]]/10^6</f>
        <v>0</v>
      </c>
      <c r="T83" s="62" cm="1">
        <f t="array" ref="T83">INDEX(tblPrices[cv_2025], MATCH(tblAlibabaUnits[[#This Row],[Products]],tblPrices[Products],0), 0)* tblAlibabaUnits[[#This Row],[cv_2025]]/10^6</f>
        <v>0</v>
      </c>
      <c r="U83" s="62" cm="1">
        <f t="array" ref="U83">INDEX(tblPrices[cv_2026], MATCH(tblAlibabaUnits[[#This Row],[Products]],tblPrices[Products],0), 0)* tblAlibabaUnits[[#This Row],[cv_2026]]/10^6</f>
        <v>0</v>
      </c>
      <c r="V83" s="62" cm="1">
        <f t="array" ref="V83">INDEX(tblPrices[cv_2027], MATCH(tblAlibabaUnits[[#This Row],[Products]],tblPrices[Products],0), 0)* tblAlibabaUnits[[#This Row],[cv_2027]]/10^6</f>
        <v>0</v>
      </c>
      <c r="W83" s="62" cm="1">
        <f t="array" ref="W83">INDEX(tblPrices[cv_2028], MATCH(tblAlibabaUnits[[#This Row],[Products]],tblPrices[Products],0), 0)* tblAlibabaUnits[[#This Row],[cv_2028]]/10^6</f>
        <v>0</v>
      </c>
      <c r="X83" s="1">
        <f>VLOOKUP(A83,Products!$A$29:$F$110,6,FALSE)</f>
        <v>400</v>
      </c>
    </row>
    <row r="84" spans="1:24">
      <c r="A84" s="16" t="s">
        <v>34</v>
      </c>
      <c r="B84" s="8">
        <v>0</v>
      </c>
      <c r="C84" s="8">
        <v>0</v>
      </c>
      <c r="D84" s="8"/>
      <c r="E84" s="8"/>
      <c r="F84" s="8"/>
      <c r="G84" s="8"/>
      <c r="H84" s="8"/>
      <c r="I84" s="8"/>
      <c r="J84" s="8"/>
      <c r="K84" s="8"/>
      <c r="L84" s="8"/>
      <c r="M84" s="62" cm="1">
        <f t="array" ref="M84">INDEX(tblPrices[cv_2018], MATCH(tblAlibabaUnits[[#This Row],[Products]],tblPrices[Products],0), 0)* tblAlibabaUnits[[#This Row],[cv_2018]]/10^6</f>
        <v>0</v>
      </c>
      <c r="N84" s="62" cm="1">
        <f t="array" ref="N84">INDEX(tblPrices[cv_2019], MATCH(tblAlibabaUnits[[#This Row],[Products]],tblPrices[Products],0), 0)* tblAlibabaUnits[[#This Row],[cv_2019]]/10^6</f>
        <v>0</v>
      </c>
      <c r="O84" s="62" cm="1">
        <f t="array" ref="O84">INDEX(tblPrices[cv_2020], MATCH(tblAlibabaUnits[[#This Row],[Products]],tblPrices[Products],0), 0)* tblAlibabaUnits[[#This Row],[cv_2020]]/10^6</f>
        <v>0</v>
      </c>
      <c r="P84" s="62" cm="1">
        <f t="array" ref="P84">INDEX(tblPrices[cv_2021], MATCH(tblAlibabaUnits[[#This Row],[Products]],tblPrices[Products],0), 0)* tblAlibabaUnits[[#This Row],[cv_2021]]/10^6</f>
        <v>0</v>
      </c>
      <c r="Q84" s="62" cm="1">
        <f t="array" ref="Q84">INDEX(tblPrices[cv_2022], MATCH(tblAlibabaUnits[[#This Row],[Products]],tblPrices[Products],0), 0)* tblAlibabaUnits[[#This Row],[cv_2022]]/10^6</f>
        <v>0</v>
      </c>
      <c r="R84" s="62" cm="1">
        <f t="array" ref="R84">INDEX(tblPrices[cv_2023], MATCH(tblAlibabaUnits[[#This Row],[Products]],tblPrices[Products],0), 0)* tblAlibabaUnits[[#This Row],[cv_2023]]/10^6</f>
        <v>0</v>
      </c>
      <c r="S84" s="62" cm="1">
        <f t="array" ref="S84">INDEX(tblPrices[cv_2024], MATCH(tblAlibabaUnits[[#This Row],[Products]],tblPrices[Products],0), 0)* tblAlibabaUnits[[#This Row],[cv_2024]]/10^6</f>
        <v>0</v>
      </c>
      <c r="T84" s="62" cm="1">
        <f t="array" ref="T84">INDEX(tblPrices[cv_2025], MATCH(tblAlibabaUnits[[#This Row],[Products]],tblPrices[Products],0), 0)* tblAlibabaUnits[[#This Row],[cv_2025]]/10^6</f>
        <v>0</v>
      </c>
      <c r="U84" s="62" cm="1">
        <f t="array" ref="U84">INDEX(tblPrices[cv_2026], MATCH(tblAlibabaUnits[[#This Row],[Products]],tblPrices[Products],0), 0)* tblAlibabaUnits[[#This Row],[cv_2026]]/10^6</f>
        <v>0</v>
      </c>
      <c r="V84" s="62" cm="1">
        <f t="array" ref="V84">INDEX(tblPrices[cv_2027], MATCH(tblAlibabaUnits[[#This Row],[Products]],tblPrices[Products],0), 0)* tblAlibabaUnits[[#This Row],[cv_2027]]/10^6</f>
        <v>0</v>
      </c>
      <c r="W84" s="62" cm="1">
        <f t="array" ref="W84">INDEX(tblPrices[cv_2028], MATCH(tblAlibabaUnits[[#This Row],[Products]],tblPrices[Products],0), 0)* tblAlibabaUnits[[#This Row],[cv_2028]]/10^6</f>
        <v>0</v>
      </c>
      <c r="X84" s="1">
        <f>VLOOKUP(A84,Products!$A$29:$F$110,6,FALSE)</f>
        <v>400</v>
      </c>
    </row>
    <row r="85" spans="1:24">
      <c r="A85" s="16" t="s">
        <v>35</v>
      </c>
      <c r="B85" s="8">
        <v>0</v>
      </c>
      <c r="C85" s="8">
        <v>0</v>
      </c>
      <c r="D85" s="8"/>
      <c r="E85" s="8"/>
      <c r="F85" s="8"/>
      <c r="G85" s="8"/>
      <c r="H85" s="8"/>
      <c r="I85" s="8"/>
      <c r="J85" s="8"/>
      <c r="K85" s="8"/>
      <c r="L85" s="8"/>
      <c r="M85" s="62" cm="1">
        <f t="array" ref="M85">INDEX(tblPrices[cv_2018], MATCH(tblAlibabaUnits[[#This Row],[Products]],tblPrices[Products],0), 0)* tblAlibabaUnits[[#This Row],[cv_2018]]/10^6</f>
        <v>0</v>
      </c>
      <c r="N85" s="62" cm="1">
        <f t="array" ref="N85">INDEX(tblPrices[cv_2019], MATCH(tblAlibabaUnits[[#This Row],[Products]],tblPrices[Products],0), 0)* tblAlibabaUnits[[#This Row],[cv_2019]]/10^6</f>
        <v>0</v>
      </c>
      <c r="O85" s="62" cm="1">
        <f t="array" ref="O85">INDEX(tblPrices[cv_2020], MATCH(tblAlibabaUnits[[#This Row],[Products]],tblPrices[Products],0), 0)* tblAlibabaUnits[[#This Row],[cv_2020]]/10^6</f>
        <v>0</v>
      </c>
      <c r="P85" s="62" cm="1">
        <f t="array" ref="P85">INDEX(tblPrices[cv_2021], MATCH(tblAlibabaUnits[[#This Row],[Products]],tblPrices[Products],0), 0)* tblAlibabaUnits[[#This Row],[cv_2021]]/10^6</f>
        <v>0</v>
      </c>
      <c r="Q85" s="62" cm="1">
        <f t="array" ref="Q85">INDEX(tblPrices[cv_2022], MATCH(tblAlibabaUnits[[#This Row],[Products]],tblPrices[Products],0), 0)* tblAlibabaUnits[[#This Row],[cv_2022]]/10^6</f>
        <v>0</v>
      </c>
      <c r="R85" s="62" cm="1">
        <f t="array" ref="R85">INDEX(tblPrices[cv_2023], MATCH(tblAlibabaUnits[[#This Row],[Products]],tblPrices[Products],0), 0)* tblAlibabaUnits[[#This Row],[cv_2023]]/10^6</f>
        <v>0</v>
      </c>
      <c r="S85" s="62" cm="1">
        <f t="array" ref="S85">INDEX(tblPrices[cv_2024], MATCH(tblAlibabaUnits[[#This Row],[Products]],tblPrices[Products],0), 0)* tblAlibabaUnits[[#This Row],[cv_2024]]/10^6</f>
        <v>0</v>
      </c>
      <c r="T85" s="62" cm="1">
        <f t="array" ref="T85">INDEX(tblPrices[cv_2025], MATCH(tblAlibabaUnits[[#This Row],[Products]],tblPrices[Products],0), 0)* tblAlibabaUnits[[#This Row],[cv_2025]]/10^6</f>
        <v>0</v>
      </c>
      <c r="U85" s="62" cm="1">
        <f t="array" ref="U85">INDEX(tblPrices[cv_2026], MATCH(tblAlibabaUnits[[#This Row],[Products]],tblPrices[Products],0), 0)* tblAlibabaUnits[[#This Row],[cv_2026]]/10^6</f>
        <v>0</v>
      </c>
      <c r="V85" s="62" cm="1">
        <f t="array" ref="V85">INDEX(tblPrices[cv_2027], MATCH(tblAlibabaUnits[[#This Row],[Products]],tblPrices[Products],0), 0)* tblAlibabaUnits[[#This Row],[cv_2027]]/10^6</f>
        <v>0</v>
      </c>
      <c r="W85" s="62" cm="1">
        <f t="array" ref="W85">INDEX(tblPrices[cv_2028], MATCH(tblAlibabaUnits[[#This Row],[Products]],tblPrices[Products],0), 0)* tblAlibabaUnits[[#This Row],[cv_2028]]/10^6</f>
        <v>0</v>
      </c>
      <c r="X85" s="1">
        <f>VLOOKUP(A85,Products!$A$29:$F$110,6,FALSE)</f>
        <v>600</v>
      </c>
    </row>
    <row r="86" spans="1:24">
      <c r="A86" s="16" t="s">
        <v>36</v>
      </c>
      <c r="B86" s="8">
        <v>0</v>
      </c>
      <c r="C86" s="8">
        <v>0</v>
      </c>
      <c r="D86" s="8"/>
      <c r="E86" s="8"/>
      <c r="F86" s="8"/>
      <c r="G86" s="8"/>
      <c r="H86" s="8"/>
      <c r="I86" s="8"/>
      <c r="J86" s="8"/>
      <c r="K86" s="8"/>
      <c r="L86" s="8"/>
      <c r="M86" s="62" cm="1">
        <f t="array" ref="M86">INDEX(tblPrices[cv_2018], MATCH(tblAlibabaUnits[[#This Row],[Products]],tblPrices[Products],0), 0)* tblAlibabaUnits[[#This Row],[cv_2018]]/10^6</f>
        <v>0</v>
      </c>
      <c r="N86" s="62" cm="1">
        <f t="array" ref="N86">INDEX(tblPrices[cv_2019], MATCH(tblAlibabaUnits[[#This Row],[Products]],tblPrices[Products],0), 0)* tblAlibabaUnits[[#This Row],[cv_2019]]/10^6</f>
        <v>0</v>
      </c>
      <c r="O86" s="62" cm="1">
        <f t="array" ref="O86">INDEX(tblPrices[cv_2020], MATCH(tblAlibabaUnits[[#This Row],[Products]],tblPrices[Products],0), 0)* tblAlibabaUnits[[#This Row],[cv_2020]]/10^6</f>
        <v>0</v>
      </c>
      <c r="P86" s="62" cm="1">
        <f t="array" ref="P86">INDEX(tblPrices[cv_2021], MATCH(tblAlibabaUnits[[#This Row],[Products]],tblPrices[Products],0), 0)* tblAlibabaUnits[[#This Row],[cv_2021]]/10^6</f>
        <v>0</v>
      </c>
      <c r="Q86" s="62" cm="1">
        <f t="array" ref="Q86">INDEX(tblPrices[cv_2022], MATCH(tblAlibabaUnits[[#This Row],[Products]],tblPrices[Products],0), 0)* tblAlibabaUnits[[#This Row],[cv_2022]]/10^6</f>
        <v>0</v>
      </c>
      <c r="R86" s="62" cm="1">
        <f t="array" ref="R86">INDEX(tblPrices[cv_2023], MATCH(tblAlibabaUnits[[#This Row],[Products]],tblPrices[Products],0), 0)* tblAlibabaUnits[[#This Row],[cv_2023]]/10^6</f>
        <v>0</v>
      </c>
      <c r="S86" s="62" cm="1">
        <f t="array" ref="S86">INDEX(tblPrices[cv_2024], MATCH(tblAlibabaUnits[[#This Row],[Products]],tblPrices[Products],0), 0)* tblAlibabaUnits[[#This Row],[cv_2024]]/10^6</f>
        <v>0</v>
      </c>
      <c r="T86" s="62" cm="1">
        <f t="array" ref="T86">INDEX(tblPrices[cv_2025], MATCH(tblAlibabaUnits[[#This Row],[Products]],tblPrices[Products],0), 0)* tblAlibabaUnits[[#This Row],[cv_2025]]/10^6</f>
        <v>0</v>
      </c>
      <c r="U86" s="62" cm="1">
        <f t="array" ref="U86">INDEX(tblPrices[cv_2026], MATCH(tblAlibabaUnits[[#This Row],[Products]],tblPrices[Products],0), 0)* tblAlibabaUnits[[#This Row],[cv_2026]]/10^6</f>
        <v>0</v>
      </c>
      <c r="V86" s="62" cm="1">
        <f t="array" ref="V86">INDEX(tblPrices[cv_2027], MATCH(tblAlibabaUnits[[#This Row],[Products]],tblPrices[Products],0), 0)* tblAlibabaUnits[[#This Row],[cv_2027]]/10^6</f>
        <v>0</v>
      </c>
      <c r="W86" s="62" cm="1">
        <f t="array" ref="W86">INDEX(tblPrices[cv_2028], MATCH(tblAlibabaUnits[[#This Row],[Products]],tblPrices[Products],0), 0)* tblAlibabaUnits[[#This Row],[cv_2028]]/10^6</f>
        <v>0</v>
      </c>
      <c r="X86" s="1">
        <f>VLOOKUP(A86,Products!$A$29:$F$110,6,FALSE)</f>
        <v>800</v>
      </c>
    </row>
    <row r="87" spans="1:24">
      <c r="A87" s="16" t="s">
        <v>37</v>
      </c>
      <c r="B87" s="8">
        <v>0</v>
      </c>
      <c r="C87" s="8">
        <v>0</v>
      </c>
      <c r="D87" s="8"/>
      <c r="E87" s="8"/>
      <c r="F87" s="8"/>
      <c r="G87" s="8"/>
      <c r="H87" s="8"/>
      <c r="I87" s="8"/>
      <c r="J87" s="8"/>
      <c r="K87" s="8"/>
      <c r="L87" s="8"/>
      <c r="M87" s="62" cm="1">
        <f t="array" ref="M87">INDEX(tblPrices[cv_2018], MATCH(tblAlibabaUnits[[#This Row],[Products]],tblPrices[Products],0), 0)* tblAlibabaUnits[[#This Row],[cv_2018]]/10^6</f>
        <v>0</v>
      </c>
      <c r="N87" s="62" cm="1">
        <f t="array" ref="N87">INDEX(tblPrices[cv_2019], MATCH(tblAlibabaUnits[[#This Row],[Products]],tblPrices[Products],0), 0)* tblAlibabaUnits[[#This Row],[cv_2019]]/10^6</f>
        <v>0</v>
      </c>
      <c r="O87" s="62" cm="1">
        <f t="array" ref="O87">INDEX(tblPrices[cv_2020], MATCH(tblAlibabaUnits[[#This Row],[Products]],tblPrices[Products],0), 0)* tblAlibabaUnits[[#This Row],[cv_2020]]/10^6</f>
        <v>0</v>
      </c>
      <c r="P87" s="62" cm="1">
        <f t="array" ref="P87">INDEX(tblPrices[cv_2021], MATCH(tblAlibabaUnits[[#This Row],[Products]],tblPrices[Products],0), 0)* tblAlibabaUnits[[#This Row],[cv_2021]]/10^6</f>
        <v>0</v>
      </c>
      <c r="Q87" s="62" cm="1">
        <f t="array" ref="Q87">INDEX(tblPrices[cv_2022], MATCH(tblAlibabaUnits[[#This Row],[Products]],tblPrices[Products],0), 0)* tblAlibabaUnits[[#This Row],[cv_2022]]/10^6</f>
        <v>0</v>
      </c>
      <c r="R87" s="62" cm="1">
        <f t="array" ref="R87">INDEX(tblPrices[cv_2023], MATCH(tblAlibabaUnits[[#This Row],[Products]],tblPrices[Products],0), 0)* tblAlibabaUnits[[#This Row],[cv_2023]]/10^6</f>
        <v>0</v>
      </c>
      <c r="S87" s="62" cm="1">
        <f t="array" ref="S87">INDEX(tblPrices[cv_2024], MATCH(tblAlibabaUnits[[#This Row],[Products]],tblPrices[Products],0), 0)* tblAlibabaUnits[[#This Row],[cv_2024]]/10^6</f>
        <v>0</v>
      </c>
      <c r="T87" s="62" cm="1">
        <f t="array" ref="T87">INDEX(tblPrices[cv_2025], MATCH(tblAlibabaUnits[[#This Row],[Products]],tblPrices[Products],0), 0)* tblAlibabaUnits[[#This Row],[cv_2025]]/10^6</f>
        <v>0</v>
      </c>
      <c r="U87" s="62" cm="1">
        <f t="array" ref="U87">INDEX(tblPrices[cv_2026], MATCH(tblAlibabaUnits[[#This Row],[Products]],tblPrices[Products],0), 0)* tblAlibabaUnits[[#This Row],[cv_2026]]/10^6</f>
        <v>0</v>
      </c>
      <c r="V87" s="62" cm="1">
        <f t="array" ref="V87">INDEX(tblPrices[cv_2027], MATCH(tblAlibabaUnits[[#This Row],[Products]],tblPrices[Products],0), 0)* tblAlibabaUnits[[#This Row],[cv_2027]]/10^6</f>
        <v>0</v>
      </c>
      <c r="W87" s="62" cm="1">
        <f t="array" ref="W87">INDEX(tblPrices[cv_2028], MATCH(tblAlibabaUnits[[#This Row],[Products]],tblPrices[Products],0), 0)* tblAlibabaUnits[[#This Row],[cv_2028]]/10^6</f>
        <v>0</v>
      </c>
      <c r="X87" s="1">
        <f>VLOOKUP(A87,Products!$A$29:$F$110,6,FALSE)</f>
        <v>800</v>
      </c>
    </row>
    <row r="88" spans="1:24">
      <c r="A88" s="16" t="s">
        <v>38</v>
      </c>
      <c r="B88" s="8">
        <v>0</v>
      </c>
      <c r="C88" s="8">
        <v>0</v>
      </c>
      <c r="D88" s="8"/>
      <c r="E88" s="8"/>
      <c r="F88" s="8"/>
      <c r="G88" s="8"/>
      <c r="H88" s="8"/>
      <c r="I88" s="8"/>
      <c r="J88" s="8"/>
      <c r="K88" s="8"/>
      <c r="L88" s="8"/>
      <c r="M88" s="62" cm="1">
        <f t="array" ref="M88">INDEX(tblPrices[cv_2018], MATCH(tblAlibabaUnits[[#This Row],[Products]],tblPrices[Products],0), 0)* tblAlibabaUnits[[#This Row],[cv_2018]]/10^6</f>
        <v>0</v>
      </c>
      <c r="N88" s="62" cm="1">
        <f t="array" ref="N88">INDEX(tblPrices[cv_2019], MATCH(tblAlibabaUnits[[#This Row],[Products]],tblPrices[Products],0), 0)* tblAlibabaUnits[[#This Row],[cv_2019]]/10^6</f>
        <v>0</v>
      </c>
      <c r="O88" s="62" cm="1">
        <f t="array" ref="O88">INDEX(tblPrices[cv_2020], MATCH(tblAlibabaUnits[[#This Row],[Products]],tblPrices[Products],0), 0)* tblAlibabaUnits[[#This Row],[cv_2020]]/10^6</f>
        <v>0</v>
      </c>
      <c r="P88" s="62" cm="1">
        <f t="array" ref="P88">INDEX(tblPrices[cv_2021], MATCH(tblAlibabaUnits[[#This Row],[Products]],tblPrices[Products],0), 0)* tblAlibabaUnits[[#This Row],[cv_2021]]/10^6</f>
        <v>0</v>
      </c>
      <c r="Q88" s="62" cm="1">
        <f t="array" ref="Q88">INDEX(tblPrices[cv_2022], MATCH(tblAlibabaUnits[[#This Row],[Products]],tblPrices[Products],0), 0)* tblAlibabaUnits[[#This Row],[cv_2022]]/10^6</f>
        <v>0</v>
      </c>
      <c r="R88" s="62" cm="1">
        <f t="array" ref="R88">INDEX(tblPrices[cv_2023], MATCH(tblAlibabaUnits[[#This Row],[Products]],tblPrices[Products],0), 0)* tblAlibabaUnits[[#This Row],[cv_2023]]/10^6</f>
        <v>0</v>
      </c>
      <c r="S88" s="62" cm="1">
        <f t="array" ref="S88">INDEX(tblPrices[cv_2024], MATCH(tblAlibabaUnits[[#This Row],[Products]],tblPrices[Products],0), 0)* tblAlibabaUnits[[#This Row],[cv_2024]]/10^6</f>
        <v>0</v>
      </c>
      <c r="T88" s="62" cm="1">
        <f t="array" ref="T88">INDEX(tblPrices[cv_2025], MATCH(tblAlibabaUnits[[#This Row],[Products]],tblPrices[Products],0), 0)* tblAlibabaUnits[[#This Row],[cv_2025]]/10^6</f>
        <v>0</v>
      </c>
      <c r="U88" s="62" cm="1">
        <f t="array" ref="U88">INDEX(tblPrices[cv_2026], MATCH(tblAlibabaUnits[[#This Row],[Products]],tblPrices[Products],0), 0)* tblAlibabaUnits[[#This Row],[cv_2026]]/10^6</f>
        <v>0</v>
      </c>
      <c r="V88" s="62" cm="1">
        <f t="array" ref="V88">INDEX(tblPrices[cv_2027], MATCH(tblAlibabaUnits[[#This Row],[Products]],tblPrices[Products],0), 0)* tblAlibabaUnits[[#This Row],[cv_2027]]/10^6</f>
        <v>0</v>
      </c>
      <c r="W88" s="62" cm="1">
        <f t="array" ref="W88">INDEX(tblPrices[cv_2028], MATCH(tblAlibabaUnits[[#This Row],[Products]],tblPrices[Products],0), 0)* tblAlibabaUnits[[#This Row],[cv_2028]]/10^6</f>
        <v>0</v>
      </c>
      <c r="X88" s="1">
        <f>VLOOKUP(A88,Products!$A$29:$F$110,6,FALSE)</f>
        <v>1200</v>
      </c>
    </row>
    <row r="89" spans="1:24">
      <c r="A89" s="16" t="s">
        <v>39</v>
      </c>
      <c r="B89" s="8">
        <v>0</v>
      </c>
      <c r="C89" s="8">
        <v>0</v>
      </c>
      <c r="D89" s="8"/>
      <c r="E89" s="8"/>
      <c r="F89" s="8"/>
      <c r="G89" s="8"/>
      <c r="H89" s="8"/>
      <c r="I89" s="8"/>
      <c r="J89" s="8"/>
      <c r="K89" s="8"/>
      <c r="L89" s="8"/>
      <c r="M89" s="62" cm="1">
        <f t="array" ref="M89">INDEX(tblPrices[cv_2018], MATCH(tblAlibabaUnits[[#This Row],[Products]],tblPrices[Products],0), 0)* tblAlibabaUnits[[#This Row],[cv_2018]]/10^6</f>
        <v>0</v>
      </c>
      <c r="N89" s="62" cm="1">
        <f t="array" ref="N89">INDEX(tblPrices[cv_2019], MATCH(tblAlibabaUnits[[#This Row],[Products]],tblPrices[Products],0), 0)* tblAlibabaUnits[[#This Row],[cv_2019]]/10^6</f>
        <v>0</v>
      </c>
      <c r="O89" s="62" cm="1">
        <f t="array" ref="O89">INDEX(tblPrices[cv_2020], MATCH(tblAlibabaUnits[[#This Row],[Products]],tblPrices[Products],0), 0)* tblAlibabaUnits[[#This Row],[cv_2020]]/10^6</f>
        <v>0</v>
      </c>
      <c r="P89" s="62" cm="1">
        <f t="array" ref="P89">INDEX(tblPrices[cv_2021], MATCH(tblAlibabaUnits[[#This Row],[Products]],tblPrices[Products],0), 0)* tblAlibabaUnits[[#This Row],[cv_2021]]/10^6</f>
        <v>0</v>
      </c>
      <c r="Q89" s="62" cm="1">
        <f t="array" ref="Q89">INDEX(tblPrices[cv_2022], MATCH(tblAlibabaUnits[[#This Row],[Products]],tblPrices[Products],0), 0)* tblAlibabaUnits[[#This Row],[cv_2022]]/10^6</f>
        <v>0</v>
      </c>
      <c r="R89" s="62" cm="1">
        <f t="array" ref="R89">INDEX(tblPrices[cv_2023], MATCH(tblAlibabaUnits[[#This Row],[Products]],tblPrices[Products],0), 0)* tblAlibabaUnits[[#This Row],[cv_2023]]/10^6</f>
        <v>0</v>
      </c>
      <c r="S89" s="62" cm="1">
        <f t="array" ref="S89">INDEX(tblPrices[cv_2024], MATCH(tblAlibabaUnits[[#This Row],[Products]],tblPrices[Products],0), 0)* tblAlibabaUnits[[#This Row],[cv_2024]]/10^6</f>
        <v>0</v>
      </c>
      <c r="T89" s="62" cm="1">
        <f t="array" ref="T89">INDEX(tblPrices[cv_2025], MATCH(tblAlibabaUnits[[#This Row],[Products]],tblPrices[Products],0), 0)* tblAlibabaUnits[[#This Row],[cv_2025]]/10^6</f>
        <v>0</v>
      </c>
      <c r="U89" s="62" cm="1">
        <f t="array" ref="U89">INDEX(tblPrices[cv_2026], MATCH(tblAlibabaUnits[[#This Row],[Products]],tblPrices[Products],0), 0)* tblAlibabaUnits[[#This Row],[cv_2026]]/10^6</f>
        <v>0</v>
      </c>
      <c r="V89" s="62" cm="1">
        <f t="array" ref="V89">INDEX(tblPrices[cv_2027], MATCH(tblAlibabaUnits[[#This Row],[Products]],tblPrices[Products],0), 0)* tblAlibabaUnits[[#This Row],[cv_2027]]/10^6</f>
        <v>0</v>
      </c>
      <c r="W89" s="62" cm="1">
        <f t="array" ref="W89">INDEX(tblPrices[cv_2028], MATCH(tblAlibabaUnits[[#This Row],[Products]],tblPrices[Products],0), 0)* tblAlibabaUnits[[#This Row],[cv_2028]]/10^6</f>
        <v>0</v>
      </c>
      <c r="X89" s="1">
        <f>VLOOKUP(A89,Products!$A$29:$F$110,6,FALSE)</f>
        <v>1600</v>
      </c>
    </row>
    <row r="90" spans="1:24">
      <c r="A90" s="1"/>
      <c r="B90" s="2">
        <f t="shared" ref="B90:W90" si="0">SUM(B41:B89)</f>
        <v>885577.93366593099</v>
      </c>
      <c r="C90" s="2">
        <f t="shared" si="0"/>
        <v>963656.14470068482</v>
      </c>
      <c r="D90" s="2">
        <f t="shared" si="0"/>
        <v>0</v>
      </c>
      <c r="E90" s="2">
        <f t="shared" si="0"/>
        <v>0</v>
      </c>
      <c r="F90" s="2">
        <f t="shared" si="0"/>
        <v>0</v>
      </c>
      <c r="G90" s="2">
        <f t="shared" si="0"/>
        <v>0</v>
      </c>
      <c r="H90" s="2">
        <f t="shared" si="0"/>
        <v>0</v>
      </c>
      <c r="I90" s="2">
        <f t="shared" si="0"/>
        <v>0</v>
      </c>
      <c r="J90" s="2">
        <f t="shared" si="0"/>
        <v>0</v>
      </c>
      <c r="K90" s="2">
        <f t="shared" si="0"/>
        <v>0</v>
      </c>
      <c r="L90" s="2">
        <f t="shared" si="0"/>
        <v>0</v>
      </c>
      <c r="M90" s="63">
        <f t="shared" si="0"/>
        <v>176.42062180741598</v>
      </c>
      <c r="N90" s="63">
        <f t="shared" si="0"/>
        <v>163.33242588029168</v>
      </c>
      <c r="O90" s="63">
        <f t="shared" si="0"/>
        <v>0</v>
      </c>
      <c r="P90" s="63">
        <f t="shared" si="0"/>
        <v>0</v>
      </c>
      <c r="Q90" s="63">
        <f t="shared" si="0"/>
        <v>0</v>
      </c>
      <c r="R90" s="63">
        <f t="shared" si="0"/>
        <v>0</v>
      </c>
      <c r="S90" s="63">
        <f t="shared" si="0"/>
        <v>0</v>
      </c>
      <c r="T90" s="63">
        <f t="shared" si="0"/>
        <v>0</v>
      </c>
      <c r="U90" s="63">
        <f t="shared" si="0"/>
        <v>0</v>
      </c>
      <c r="V90" s="63">
        <f t="shared" si="0"/>
        <v>0</v>
      </c>
      <c r="W90" s="63">
        <f t="shared" si="0"/>
        <v>0</v>
      </c>
    </row>
    <row r="92" spans="1:24">
      <c r="A92" s="25"/>
    </row>
    <row r="93" spans="1:24">
      <c r="A93" s="175" t="s">
        <v>431</v>
      </c>
      <c r="B93" s="68">
        <v>2018</v>
      </c>
      <c r="C93" s="50">
        <v>2019</v>
      </c>
      <c r="D93" s="50">
        <v>2020</v>
      </c>
      <c r="E93" s="50">
        <v>2021</v>
      </c>
      <c r="F93" s="50">
        <v>2022</v>
      </c>
      <c r="G93" s="50">
        <v>2023</v>
      </c>
      <c r="H93" s="50">
        <v>2024</v>
      </c>
      <c r="I93" s="50">
        <v>2025</v>
      </c>
      <c r="J93" s="50">
        <v>2026</v>
      </c>
      <c r="K93" s="50">
        <v>2027</v>
      </c>
      <c r="L93" s="50">
        <v>2028</v>
      </c>
      <c r="M93" s="68">
        <v>2018</v>
      </c>
      <c r="N93" s="50">
        <v>2019</v>
      </c>
      <c r="O93" s="50">
        <v>2020</v>
      </c>
      <c r="P93" s="50">
        <v>2021</v>
      </c>
      <c r="Q93" s="50">
        <v>2022</v>
      </c>
      <c r="R93" s="50">
        <v>2023</v>
      </c>
      <c r="S93" s="50">
        <v>2024</v>
      </c>
      <c r="T93" s="50">
        <v>2025</v>
      </c>
      <c r="U93" s="50">
        <v>2026</v>
      </c>
      <c r="V93" s="50">
        <v>2027</v>
      </c>
      <c r="W93" s="50">
        <v>2028</v>
      </c>
      <c r="X93" s="1"/>
    </row>
    <row r="94" spans="1:24">
      <c r="A94" s="65" t="s">
        <v>80</v>
      </c>
      <c r="B94" s="2">
        <f t="shared" ref="B94:W94" si="1">SUMIF($X$41:$X$70,40,B$41:B$70)</f>
        <v>238877.94829999999</v>
      </c>
      <c r="C94" s="2">
        <f t="shared" si="1"/>
        <v>162279.57044999997</v>
      </c>
      <c r="D94" s="2">
        <f t="shared" si="1"/>
        <v>0</v>
      </c>
      <c r="E94" s="2">
        <f t="shared" si="1"/>
        <v>0</v>
      </c>
      <c r="F94" s="2">
        <f t="shared" si="1"/>
        <v>0</v>
      </c>
      <c r="G94" s="2">
        <f t="shared" si="1"/>
        <v>0</v>
      </c>
      <c r="H94" s="2">
        <f t="shared" si="1"/>
        <v>0</v>
      </c>
      <c r="I94" s="2">
        <f t="shared" si="1"/>
        <v>0</v>
      </c>
      <c r="J94" s="2">
        <f t="shared" si="1"/>
        <v>0</v>
      </c>
      <c r="K94" s="2">
        <f t="shared" si="1"/>
        <v>0</v>
      </c>
      <c r="L94" s="2">
        <f t="shared" si="1"/>
        <v>0</v>
      </c>
      <c r="M94" s="79">
        <f t="shared" si="1"/>
        <v>20.912414044614689</v>
      </c>
      <c r="N94" s="76">
        <f t="shared" si="1"/>
        <v>18.025087283879596</v>
      </c>
      <c r="O94" s="76">
        <f t="shared" si="1"/>
        <v>0</v>
      </c>
      <c r="P94" s="76">
        <f t="shared" si="1"/>
        <v>0</v>
      </c>
      <c r="Q94" s="76">
        <f t="shared" si="1"/>
        <v>0</v>
      </c>
      <c r="R94" s="76">
        <f t="shared" si="1"/>
        <v>0</v>
      </c>
      <c r="S94" s="76">
        <f t="shared" si="1"/>
        <v>0</v>
      </c>
      <c r="T94" s="76">
        <f t="shared" si="1"/>
        <v>0</v>
      </c>
      <c r="U94" s="76">
        <f t="shared" si="1"/>
        <v>0</v>
      </c>
      <c r="V94" s="76">
        <f t="shared" si="1"/>
        <v>0</v>
      </c>
      <c r="W94" s="76">
        <f t="shared" si="1"/>
        <v>0</v>
      </c>
      <c r="X94" s="1"/>
    </row>
    <row r="95" spans="1:24">
      <c r="A95" s="65" t="s">
        <v>205</v>
      </c>
      <c r="B95" s="2">
        <f t="shared" ref="B95:W95" si="2">SUMIF($X$41:$X$70,100,B$41:B$70)</f>
        <v>423072.86441769614</v>
      </c>
      <c r="C95" s="2">
        <f t="shared" si="2"/>
        <v>667400.3647235001</v>
      </c>
      <c r="D95" s="2">
        <f t="shared" si="2"/>
        <v>0</v>
      </c>
      <c r="E95" s="2">
        <f t="shared" si="2"/>
        <v>0</v>
      </c>
      <c r="F95" s="2">
        <f t="shared" si="2"/>
        <v>0</v>
      </c>
      <c r="G95" s="2">
        <f t="shared" si="2"/>
        <v>0</v>
      </c>
      <c r="H95" s="2">
        <f t="shared" si="2"/>
        <v>0</v>
      </c>
      <c r="I95" s="2">
        <f t="shared" si="2"/>
        <v>0</v>
      </c>
      <c r="J95" s="2">
        <f t="shared" si="2"/>
        <v>0</v>
      </c>
      <c r="K95" s="2">
        <f t="shared" si="2"/>
        <v>0</v>
      </c>
      <c r="L95" s="2">
        <f t="shared" si="2"/>
        <v>0</v>
      </c>
      <c r="M95" s="79">
        <f t="shared" si="2"/>
        <v>105.84114460029724</v>
      </c>
      <c r="N95" s="76">
        <f t="shared" si="2"/>
        <v>96.162593214576916</v>
      </c>
      <c r="O95" s="76">
        <f t="shared" si="2"/>
        <v>0</v>
      </c>
      <c r="P95" s="76">
        <f t="shared" si="2"/>
        <v>0</v>
      </c>
      <c r="Q95" s="76">
        <f t="shared" si="2"/>
        <v>0</v>
      </c>
      <c r="R95" s="76">
        <f t="shared" si="2"/>
        <v>0</v>
      </c>
      <c r="S95" s="76">
        <f t="shared" si="2"/>
        <v>0</v>
      </c>
      <c r="T95" s="76">
        <f t="shared" si="2"/>
        <v>0</v>
      </c>
      <c r="U95" s="76">
        <f t="shared" si="2"/>
        <v>0</v>
      </c>
      <c r="V95" s="76">
        <f t="shared" si="2"/>
        <v>0</v>
      </c>
      <c r="W95" s="76">
        <f t="shared" si="2"/>
        <v>0</v>
      </c>
      <c r="X95" s="1"/>
    </row>
    <row r="96" spans="1:24">
      <c r="A96" s="65" t="s">
        <v>206</v>
      </c>
      <c r="B96" s="2">
        <f t="shared" ref="B96:W96" si="3">SUMIF($X$41:$X$70,200,B$41:B$70)</f>
        <v>300</v>
      </c>
      <c r="C96" s="2">
        <f t="shared" si="3"/>
        <v>2500</v>
      </c>
      <c r="D96" s="2">
        <f t="shared" si="3"/>
        <v>0</v>
      </c>
      <c r="E96" s="2">
        <f t="shared" si="3"/>
        <v>0</v>
      </c>
      <c r="F96" s="2">
        <f t="shared" si="3"/>
        <v>0</v>
      </c>
      <c r="G96" s="2">
        <f t="shared" si="3"/>
        <v>0</v>
      </c>
      <c r="H96" s="2">
        <f t="shared" si="3"/>
        <v>0</v>
      </c>
      <c r="I96" s="2">
        <f t="shared" si="3"/>
        <v>0</v>
      </c>
      <c r="J96" s="2">
        <f t="shared" si="3"/>
        <v>0</v>
      </c>
      <c r="K96" s="2">
        <f t="shared" si="3"/>
        <v>0</v>
      </c>
      <c r="L96" s="2">
        <f t="shared" si="3"/>
        <v>0</v>
      </c>
      <c r="M96" s="79">
        <f t="shared" si="3"/>
        <v>0.21</v>
      </c>
      <c r="N96" s="76">
        <f t="shared" si="3"/>
        <v>1.5</v>
      </c>
      <c r="O96" s="76">
        <f t="shared" si="3"/>
        <v>0</v>
      </c>
      <c r="P96" s="76">
        <f t="shared" si="3"/>
        <v>0</v>
      </c>
      <c r="Q96" s="76">
        <f t="shared" si="3"/>
        <v>0</v>
      </c>
      <c r="R96" s="76">
        <f t="shared" si="3"/>
        <v>0</v>
      </c>
      <c r="S96" s="76">
        <f t="shared" si="3"/>
        <v>0</v>
      </c>
      <c r="T96" s="76">
        <f t="shared" si="3"/>
        <v>0</v>
      </c>
      <c r="U96" s="76">
        <f t="shared" si="3"/>
        <v>0</v>
      </c>
      <c r="V96" s="76">
        <f t="shared" si="3"/>
        <v>0</v>
      </c>
      <c r="W96" s="76">
        <f t="shared" si="3"/>
        <v>0</v>
      </c>
      <c r="X96" s="1"/>
    </row>
    <row r="97" spans="1:24">
      <c r="A97" s="65" t="s">
        <v>207</v>
      </c>
      <c r="B97" s="2">
        <f t="shared" ref="B97:W97" si="4">SUMIF($X$41:$X$70,400,B$41:B$70)</f>
        <v>0</v>
      </c>
      <c r="C97" s="2">
        <f t="shared" si="4"/>
        <v>0</v>
      </c>
      <c r="D97" s="2">
        <f t="shared" si="4"/>
        <v>0</v>
      </c>
      <c r="E97" s="2">
        <f t="shared" si="4"/>
        <v>0</v>
      </c>
      <c r="F97" s="2">
        <f t="shared" si="4"/>
        <v>0</v>
      </c>
      <c r="G97" s="2">
        <f t="shared" si="4"/>
        <v>0</v>
      </c>
      <c r="H97" s="2">
        <f t="shared" si="4"/>
        <v>0</v>
      </c>
      <c r="I97" s="2">
        <f t="shared" si="4"/>
        <v>0</v>
      </c>
      <c r="J97" s="2">
        <f t="shared" si="4"/>
        <v>0</v>
      </c>
      <c r="K97" s="2">
        <f t="shared" si="4"/>
        <v>0</v>
      </c>
      <c r="L97" s="2">
        <f t="shared" si="4"/>
        <v>0</v>
      </c>
      <c r="M97" s="79">
        <f t="shared" si="4"/>
        <v>0</v>
      </c>
      <c r="N97" s="76">
        <f t="shared" si="4"/>
        <v>0</v>
      </c>
      <c r="O97" s="76">
        <f t="shared" si="4"/>
        <v>0</v>
      </c>
      <c r="P97" s="76">
        <f t="shared" si="4"/>
        <v>0</v>
      </c>
      <c r="Q97" s="76">
        <f t="shared" si="4"/>
        <v>0</v>
      </c>
      <c r="R97" s="76">
        <f t="shared" si="4"/>
        <v>0</v>
      </c>
      <c r="S97" s="76">
        <f t="shared" si="4"/>
        <v>0</v>
      </c>
      <c r="T97" s="76">
        <f t="shared" si="4"/>
        <v>0</v>
      </c>
      <c r="U97" s="76">
        <f t="shared" si="4"/>
        <v>0</v>
      </c>
      <c r="V97" s="76">
        <f t="shared" si="4"/>
        <v>0</v>
      </c>
      <c r="W97" s="76">
        <f t="shared" si="4"/>
        <v>0</v>
      </c>
      <c r="X97" s="1"/>
    </row>
    <row r="98" spans="1:24">
      <c r="A98" s="65" t="s">
        <v>209</v>
      </c>
      <c r="B98" s="2">
        <f t="shared" ref="B98:W98" si="5">SUMIF($X$41:$X$70,800,B$41:B$70)</f>
        <v>0</v>
      </c>
      <c r="C98" s="2">
        <f t="shared" si="5"/>
        <v>0</v>
      </c>
      <c r="D98" s="2">
        <f t="shared" si="5"/>
        <v>0</v>
      </c>
      <c r="E98" s="2">
        <f t="shared" si="5"/>
        <v>0</v>
      </c>
      <c r="F98" s="2">
        <f t="shared" si="5"/>
        <v>0</v>
      </c>
      <c r="G98" s="2">
        <f t="shared" si="5"/>
        <v>0</v>
      </c>
      <c r="H98" s="2">
        <f t="shared" si="5"/>
        <v>0</v>
      </c>
      <c r="I98" s="2">
        <f t="shared" si="5"/>
        <v>0</v>
      </c>
      <c r="J98" s="2">
        <f t="shared" si="5"/>
        <v>0</v>
      </c>
      <c r="K98" s="2">
        <f t="shared" si="5"/>
        <v>0</v>
      </c>
      <c r="L98" s="2">
        <f t="shared" si="5"/>
        <v>0</v>
      </c>
      <c r="M98" s="79">
        <f t="shared" si="5"/>
        <v>0</v>
      </c>
      <c r="N98" s="76">
        <f t="shared" si="5"/>
        <v>0</v>
      </c>
      <c r="O98" s="76">
        <f t="shared" si="5"/>
        <v>0</v>
      </c>
      <c r="P98" s="76">
        <f t="shared" si="5"/>
        <v>0</v>
      </c>
      <c r="Q98" s="76">
        <f t="shared" si="5"/>
        <v>0</v>
      </c>
      <c r="R98" s="76">
        <f t="shared" si="5"/>
        <v>0</v>
      </c>
      <c r="S98" s="76">
        <f t="shared" si="5"/>
        <v>0</v>
      </c>
      <c r="T98" s="76">
        <f t="shared" si="5"/>
        <v>0</v>
      </c>
      <c r="U98" s="76">
        <f t="shared" si="5"/>
        <v>0</v>
      </c>
      <c r="V98" s="76">
        <f t="shared" si="5"/>
        <v>0</v>
      </c>
      <c r="W98" s="76">
        <f t="shared" si="5"/>
        <v>0</v>
      </c>
    </row>
    <row r="99" spans="1:24">
      <c r="A99" s="65" t="s">
        <v>211</v>
      </c>
      <c r="B99" s="2">
        <f t="shared" ref="B99:W99" si="6">SUMIF($X$41:$X$70,1600,B$41:B$70)</f>
        <v>0</v>
      </c>
      <c r="C99" s="2">
        <f t="shared" si="6"/>
        <v>0</v>
      </c>
      <c r="D99" s="2">
        <f t="shared" si="6"/>
        <v>0</v>
      </c>
      <c r="E99" s="2">
        <f t="shared" si="6"/>
        <v>0</v>
      </c>
      <c r="F99" s="2">
        <f t="shared" si="6"/>
        <v>0</v>
      </c>
      <c r="G99" s="2">
        <f t="shared" si="6"/>
        <v>0</v>
      </c>
      <c r="H99" s="2">
        <f t="shared" si="6"/>
        <v>0</v>
      </c>
      <c r="I99" s="2">
        <f t="shared" si="6"/>
        <v>0</v>
      </c>
      <c r="J99" s="2">
        <f t="shared" si="6"/>
        <v>0</v>
      </c>
      <c r="K99" s="2">
        <f t="shared" si="6"/>
        <v>0</v>
      </c>
      <c r="L99" s="2">
        <f t="shared" si="6"/>
        <v>0</v>
      </c>
      <c r="M99" s="79">
        <f t="shared" si="6"/>
        <v>0</v>
      </c>
      <c r="N99" s="76">
        <f t="shared" si="6"/>
        <v>0</v>
      </c>
      <c r="O99" s="76">
        <f t="shared" si="6"/>
        <v>0</v>
      </c>
      <c r="P99" s="76">
        <f t="shared" si="6"/>
        <v>0</v>
      </c>
      <c r="Q99" s="76">
        <f t="shared" si="6"/>
        <v>0</v>
      </c>
      <c r="R99" s="76">
        <f t="shared" si="6"/>
        <v>0</v>
      </c>
      <c r="S99" s="76">
        <f t="shared" si="6"/>
        <v>0</v>
      </c>
      <c r="T99" s="76">
        <f t="shared" si="6"/>
        <v>0</v>
      </c>
      <c r="U99" s="76">
        <f t="shared" si="6"/>
        <v>0</v>
      </c>
      <c r="V99" s="76">
        <f t="shared" si="6"/>
        <v>0</v>
      </c>
      <c r="W99" s="76">
        <f t="shared" si="6"/>
        <v>0</v>
      </c>
    </row>
    <row r="100" spans="1:24">
      <c r="A100" s="65" t="s">
        <v>276</v>
      </c>
      <c r="B100" s="2">
        <f>SUM(B41:B70)</f>
        <v>876880.30694479181</v>
      </c>
      <c r="C100" s="2">
        <f t="shared" ref="C100:L100" si="7">SUM(C41:C70)</f>
        <v>952438.95855727734</v>
      </c>
      <c r="D100" s="2">
        <f t="shared" si="7"/>
        <v>0</v>
      </c>
      <c r="E100" s="2">
        <f t="shared" si="7"/>
        <v>0</v>
      </c>
      <c r="F100" s="2">
        <f t="shared" si="7"/>
        <v>0</v>
      </c>
      <c r="G100" s="2">
        <f t="shared" si="7"/>
        <v>0</v>
      </c>
      <c r="H100" s="2">
        <f t="shared" si="7"/>
        <v>0</v>
      </c>
      <c r="I100" s="2">
        <f t="shared" si="7"/>
        <v>0</v>
      </c>
      <c r="J100" s="2">
        <f t="shared" si="7"/>
        <v>0</v>
      </c>
      <c r="K100" s="2">
        <f t="shared" si="7"/>
        <v>0</v>
      </c>
      <c r="L100" s="2">
        <f t="shared" si="7"/>
        <v>0</v>
      </c>
      <c r="M100" s="79">
        <f>SUM(M41:M70)</f>
        <v>130.14240829796429</v>
      </c>
      <c r="N100" s="76">
        <f t="shared" ref="N100:W100" si="8">SUM(N41:N70)</f>
        <v>117.3270618054989</v>
      </c>
      <c r="O100" s="76">
        <f t="shared" si="8"/>
        <v>0</v>
      </c>
      <c r="P100" s="76">
        <f t="shared" si="8"/>
        <v>0</v>
      </c>
      <c r="Q100" s="76">
        <f t="shared" si="8"/>
        <v>0</v>
      </c>
      <c r="R100" s="76">
        <f t="shared" si="8"/>
        <v>0</v>
      </c>
      <c r="S100" s="76">
        <f t="shared" si="8"/>
        <v>0</v>
      </c>
      <c r="T100" s="76">
        <f t="shared" si="8"/>
        <v>0</v>
      </c>
      <c r="U100" s="76">
        <f t="shared" si="8"/>
        <v>0</v>
      </c>
      <c r="V100" s="76">
        <f t="shared" si="8"/>
        <v>0</v>
      </c>
      <c r="W100" s="76">
        <f t="shared" si="8"/>
        <v>0</v>
      </c>
    </row>
    <row r="101" spans="1:24">
      <c r="A101" s="65"/>
    </row>
    <row r="102" spans="1:24">
      <c r="A102" s="176" t="s">
        <v>428</v>
      </c>
      <c r="B102" s="68">
        <v>2018</v>
      </c>
      <c r="C102" s="50">
        <v>2019</v>
      </c>
      <c r="D102" s="50">
        <v>2020</v>
      </c>
      <c r="E102" s="50">
        <v>2021</v>
      </c>
      <c r="F102" s="50">
        <v>2022</v>
      </c>
      <c r="G102" s="50">
        <v>2023</v>
      </c>
      <c r="H102" s="50">
        <v>2024</v>
      </c>
      <c r="I102" s="50">
        <v>2025</v>
      </c>
      <c r="J102" s="50">
        <v>2026</v>
      </c>
      <c r="K102" s="50">
        <v>2027</v>
      </c>
      <c r="L102" s="50">
        <v>2028</v>
      </c>
      <c r="M102" s="68">
        <v>2018</v>
      </c>
      <c r="N102" s="50">
        <v>2019</v>
      </c>
      <c r="O102" s="50">
        <v>2020</v>
      </c>
      <c r="P102" s="50">
        <v>2021</v>
      </c>
      <c r="Q102" s="50">
        <v>2022</v>
      </c>
      <c r="R102" s="50">
        <v>2023</v>
      </c>
      <c r="S102" s="50">
        <v>2024</v>
      </c>
      <c r="T102" s="50">
        <v>2025</v>
      </c>
      <c r="U102" s="50">
        <v>2026</v>
      </c>
      <c r="V102" s="50">
        <v>2027</v>
      </c>
      <c r="W102" s="50">
        <v>2028</v>
      </c>
    </row>
    <row r="103" spans="1:24">
      <c r="A103" s="65" t="s">
        <v>205</v>
      </c>
      <c r="B103" s="2">
        <f t="shared" ref="B103:W103" si="9">SUMIF($X$71:$X$89,100,B$71:B$89)</f>
        <v>4967.9696596638641</v>
      </c>
      <c r="C103" s="2">
        <f t="shared" si="9"/>
        <v>4416.4039999999995</v>
      </c>
      <c r="D103" s="2">
        <f t="shared" si="9"/>
        <v>0</v>
      </c>
      <c r="E103" s="2">
        <f t="shared" si="9"/>
        <v>0</v>
      </c>
      <c r="F103" s="2">
        <f t="shared" si="9"/>
        <v>0</v>
      </c>
      <c r="G103" s="2">
        <f t="shared" si="9"/>
        <v>0</v>
      </c>
      <c r="H103" s="2">
        <f t="shared" si="9"/>
        <v>0</v>
      </c>
      <c r="I103" s="2">
        <f t="shared" si="9"/>
        <v>0</v>
      </c>
      <c r="J103" s="2">
        <f t="shared" si="9"/>
        <v>0</v>
      </c>
      <c r="K103" s="2">
        <f t="shared" si="9"/>
        <v>0</v>
      </c>
      <c r="L103" s="2">
        <f t="shared" si="9"/>
        <v>0</v>
      </c>
      <c r="M103" s="79">
        <f t="shared" si="9"/>
        <v>39.743757277310912</v>
      </c>
      <c r="N103" s="76">
        <f t="shared" si="9"/>
        <v>28.264985599999999</v>
      </c>
      <c r="O103" s="76">
        <f t="shared" si="9"/>
        <v>0</v>
      </c>
      <c r="P103" s="76">
        <f t="shared" si="9"/>
        <v>0</v>
      </c>
      <c r="Q103" s="76">
        <f t="shared" si="9"/>
        <v>0</v>
      </c>
      <c r="R103" s="76">
        <f t="shared" si="9"/>
        <v>0</v>
      </c>
      <c r="S103" s="76">
        <f t="shared" si="9"/>
        <v>0</v>
      </c>
      <c r="T103" s="76">
        <f t="shared" si="9"/>
        <v>0</v>
      </c>
      <c r="U103" s="76">
        <f t="shared" si="9"/>
        <v>0</v>
      </c>
      <c r="V103" s="76">
        <f t="shared" si="9"/>
        <v>0</v>
      </c>
      <c r="W103" s="76">
        <f t="shared" si="9"/>
        <v>0</v>
      </c>
    </row>
    <row r="104" spans="1:24">
      <c r="A104" s="65" t="s">
        <v>206</v>
      </c>
      <c r="B104" s="2">
        <f t="shared" ref="B104:W104" si="10">SUMIF($X$71:$X$89,200,B$71:B$89)</f>
        <v>638.09631147540972</v>
      </c>
      <c r="C104" s="2">
        <f t="shared" si="10"/>
        <v>2713.5480000000007</v>
      </c>
      <c r="D104" s="2">
        <f t="shared" si="10"/>
        <v>0</v>
      </c>
      <c r="E104" s="2">
        <f t="shared" si="10"/>
        <v>0</v>
      </c>
      <c r="F104" s="2">
        <f t="shared" si="10"/>
        <v>0</v>
      </c>
      <c r="G104" s="2">
        <f t="shared" si="10"/>
        <v>0</v>
      </c>
      <c r="H104" s="2">
        <f t="shared" si="10"/>
        <v>0</v>
      </c>
      <c r="I104" s="2">
        <f t="shared" si="10"/>
        <v>0</v>
      </c>
      <c r="J104" s="2">
        <f t="shared" si="10"/>
        <v>0</v>
      </c>
      <c r="K104" s="2">
        <f t="shared" si="10"/>
        <v>0</v>
      </c>
      <c r="L104" s="2">
        <f t="shared" si="10"/>
        <v>0</v>
      </c>
      <c r="M104" s="79">
        <f t="shared" si="10"/>
        <v>5.0533692250372573</v>
      </c>
      <c r="N104" s="76">
        <f t="shared" si="10"/>
        <v>16.139691490909094</v>
      </c>
      <c r="O104" s="76">
        <f t="shared" si="10"/>
        <v>0</v>
      </c>
      <c r="P104" s="76">
        <f t="shared" si="10"/>
        <v>0</v>
      </c>
      <c r="Q104" s="76">
        <f t="shared" si="10"/>
        <v>0</v>
      </c>
      <c r="R104" s="76">
        <f t="shared" si="10"/>
        <v>0</v>
      </c>
      <c r="S104" s="76">
        <f t="shared" si="10"/>
        <v>0</v>
      </c>
      <c r="T104" s="76">
        <f t="shared" si="10"/>
        <v>0</v>
      </c>
      <c r="U104" s="76">
        <f t="shared" si="10"/>
        <v>0</v>
      </c>
      <c r="V104" s="76">
        <f t="shared" si="10"/>
        <v>0</v>
      </c>
      <c r="W104" s="76">
        <f t="shared" si="10"/>
        <v>0</v>
      </c>
    </row>
    <row r="105" spans="1:24">
      <c r="A105" s="65" t="s">
        <v>207</v>
      </c>
      <c r="B105" s="2">
        <f t="shared" ref="B105:W105" si="11">SUMIF($X$71:$X$89,400,B$71:B$89)</f>
        <v>0</v>
      </c>
      <c r="C105" s="2">
        <f t="shared" si="11"/>
        <v>0</v>
      </c>
      <c r="D105" s="2">
        <f t="shared" si="11"/>
        <v>0</v>
      </c>
      <c r="E105" s="2">
        <f t="shared" si="11"/>
        <v>0</v>
      </c>
      <c r="F105" s="2">
        <f t="shared" si="11"/>
        <v>0</v>
      </c>
      <c r="G105" s="2">
        <f t="shared" si="11"/>
        <v>0</v>
      </c>
      <c r="H105" s="2">
        <f t="shared" si="11"/>
        <v>0</v>
      </c>
      <c r="I105" s="2">
        <f t="shared" si="11"/>
        <v>0</v>
      </c>
      <c r="J105" s="2">
        <f t="shared" si="11"/>
        <v>0</v>
      </c>
      <c r="K105" s="2">
        <f t="shared" si="11"/>
        <v>0</v>
      </c>
      <c r="L105" s="2">
        <f t="shared" si="11"/>
        <v>0</v>
      </c>
      <c r="M105" s="79">
        <f t="shared" si="11"/>
        <v>0</v>
      </c>
      <c r="N105" s="76">
        <f t="shared" si="11"/>
        <v>0</v>
      </c>
      <c r="O105" s="76">
        <f t="shared" si="11"/>
        <v>0</v>
      </c>
      <c r="P105" s="76">
        <f t="shared" si="11"/>
        <v>0</v>
      </c>
      <c r="Q105" s="76">
        <f t="shared" si="11"/>
        <v>0</v>
      </c>
      <c r="R105" s="76">
        <f t="shared" si="11"/>
        <v>0</v>
      </c>
      <c r="S105" s="76">
        <f t="shared" si="11"/>
        <v>0</v>
      </c>
      <c r="T105" s="76">
        <f t="shared" si="11"/>
        <v>0</v>
      </c>
      <c r="U105" s="76">
        <f t="shared" si="11"/>
        <v>0</v>
      </c>
      <c r="V105" s="76">
        <f t="shared" si="11"/>
        <v>0</v>
      </c>
      <c r="W105" s="76">
        <f t="shared" si="11"/>
        <v>0</v>
      </c>
    </row>
    <row r="106" spans="1:24">
      <c r="A106" s="65" t="s">
        <v>429</v>
      </c>
      <c r="B106" s="2">
        <f t="shared" ref="B106:W106" si="12">SUMIF($X$71:$X$89,600,B$71:B$89)+SUMIF($X$71:$X$89,800,B$71:B$89)</f>
        <v>0</v>
      </c>
      <c r="C106" s="2">
        <f t="shared" si="12"/>
        <v>0</v>
      </c>
      <c r="D106" s="2">
        <f t="shared" si="12"/>
        <v>0</v>
      </c>
      <c r="E106" s="2">
        <f t="shared" si="12"/>
        <v>0</v>
      </c>
      <c r="F106" s="2">
        <f t="shared" si="12"/>
        <v>0</v>
      </c>
      <c r="G106" s="2">
        <f t="shared" si="12"/>
        <v>0</v>
      </c>
      <c r="H106" s="2">
        <f t="shared" si="12"/>
        <v>0</v>
      </c>
      <c r="I106" s="2">
        <f t="shared" si="12"/>
        <v>0</v>
      </c>
      <c r="J106" s="2">
        <f t="shared" si="12"/>
        <v>0</v>
      </c>
      <c r="K106" s="2">
        <f t="shared" si="12"/>
        <v>0</v>
      </c>
      <c r="L106" s="2">
        <f t="shared" si="12"/>
        <v>0</v>
      </c>
      <c r="M106" s="79">
        <f t="shared" si="12"/>
        <v>0</v>
      </c>
      <c r="N106" s="76">
        <f t="shared" si="12"/>
        <v>0</v>
      </c>
      <c r="O106" s="76">
        <f t="shared" si="12"/>
        <v>0</v>
      </c>
      <c r="P106" s="76">
        <f t="shared" si="12"/>
        <v>0</v>
      </c>
      <c r="Q106" s="76">
        <f t="shared" si="12"/>
        <v>0</v>
      </c>
      <c r="R106" s="76">
        <f t="shared" si="12"/>
        <v>0</v>
      </c>
      <c r="S106" s="76">
        <f t="shared" si="12"/>
        <v>0</v>
      </c>
      <c r="T106" s="76">
        <f t="shared" si="12"/>
        <v>0</v>
      </c>
      <c r="U106" s="76">
        <f t="shared" si="12"/>
        <v>0</v>
      </c>
      <c r="V106" s="76">
        <f t="shared" si="12"/>
        <v>0</v>
      </c>
      <c r="W106" s="76">
        <f t="shared" si="12"/>
        <v>0</v>
      </c>
    </row>
    <row r="107" spans="1:24">
      <c r="A107" s="65" t="s">
        <v>430</v>
      </c>
      <c r="B107" s="2">
        <f t="shared" ref="B107:W107" si="13">SUMIF($X$71:$X$89,1200,B$71:B$89)+SUMIF($X$71:$X$89,1600,B$71:B$89)</f>
        <v>0</v>
      </c>
      <c r="C107" s="2">
        <f t="shared" si="13"/>
        <v>0</v>
      </c>
      <c r="D107" s="2">
        <f t="shared" si="13"/>
        <v>0</v>
      </c>
      <c r="E107" s="2">
        <f t="shared" si="13"/>
        <v>0</v>
      </c>
      <c r="F107" s="2">
        <f t="shared" si="13"/>
        <v>0</v>
      </c>
      <c r="G107" s="2">
        <f t="shared" si="13"/>
        <v>0</v>
      </c>
      <c r="H107" s="2">
        <f t="shared" si="13"/>
        <v>0</v>
      </c>
      <c r="I107" s="2">
        <f t="shared" si="13"/>
        <v>0</v>
      </c>
      <c r="J107" s="2">
        <f t="shared" si="13"/>
        <v>0</v>
      </c>
      <c r="K107" s="2">
        <f t="shared" si="13"/>
        <v>0</v>
      </c>
      <c r="L107" s="2">
        <f t="shared" si="13"/>
        <v>0</v>
      </c>
      <c r="M107" s="79">
        <f t="shared" si="13"/>
        <v>0</v>
      </c>
      <c r="N107" s="76">
        <f t="shared" si="13"/>
        <v>0</v>
      </c>
      <c r="O107" s="76">
        <f t="shared" si="13"/>
        <v>0</v>
      </c>
      <c r="P107" s="76">
        <f t="shared" si="13"/>
        <v>0</v>
      </c>
      <c r="Q107" s="76">
        <f t="shared" si="13"/>
        <v>0</v>
      </c>
      <c r="R107" s="76">
        <f t="shared" si="13"/>
        <v>0</v>
      </c>
      <c r="S107" s="76">
        <f t="shared" si="13"/>
        <v>0</v>
      </c>
      <c r="T107" s="76">
        <f t="shared" si="13"/>
        <v>0</v>
      </c>
      <c r="U107" s="76">
        <f t="shared" si="13"/>
        <v>0</v>
      </c>
      <c r="V107" s="76">
        <f t="shared" si="13"/>
        <v>0</v>
      </c>
      <c r="W107" s="76">
        <f t="shared" si="13"/>
        <v>0</v>
      </c>
    </row>
    <row r="108" spans="1:24">
      <c r="A108" s="65" t="s">
        <v>277</v>
      </c>
      <c r="B108" s="2">
        <f>SUM(B71:B89)</f>
        <v>8697.6267211392733</v>
      </c>
      <c r="C108" s="2">
        <f t="shared" ref="C108:L108" si="14">SUM(C71:C89)</f>
        <v>11217.186143407504</v>
      </c>
      <c r="D108" s="2">
        <f t="shared" si="14"/>
        <v>0</v>
      </c>
      <c r="E108" s="2">
        <f t="shared" si="14"/>
        <v>0</v>
      </c>
      <c r="F108" s="2">
        <f t="shared" si="14"/>
        <v>0</v>
      </c>
      <c r="G108" s="2">
        <f t="shared" si="14"/>
        <v>0</v>
      </c>
      <c r="H108" s="2">
        <f t="shared" si="14"/>
        <v>0</v>
      </c>
      <c r="I108" s="2">
        <f t="shared" si="14"/>
        <v>0</v>
      </c>
      <c r="J108" s="2">
        <f t="shared" si="14"/>
        <v>0</v>
      </c>
      <c r="K108" s="2">
        <f t="shared" si="14"/>
        <v>0</v>
      </c>
      <c r="L108" s="2">
        <f t="shared" si="14"/>
        <v>0</v>
      </c>
      <c r="M108" s="79">
        <f>SUM(M71:M89)</f>
        <v>46.278213509451682</v>
      </c>
      <c r="N108" s="76">
        <f t="shared" ref="N108:W108" si="15">SUM(N71:N89)</f>
        <v>46.005364074792801</v>
      </c>
      <c r="O108" s="76">
        <f t="shared" si="15"/>
        <v>0</v>
      </c>
      <c r="P108" s="76">
        <f t="shared" si="15"/>
        <v>0</v>
      </c>
      <c r="Q108" s="76">
        <f t="shared" si="15"/>
        <v>0</v>
      </c>
      <c r="R108" s="76">
        <f t="shared" si="15"/>
        <v>0</v>
      </c>
      <c r="S108" s="76">
        <f t="shared" si="15"/>
        <v>0</v>
      </c>
      <c r="T108" s="76">
        <f t="shared" si="15"/>
        <v>0</v>
      </c>
      <c r="U108" s="76">
        <f t="shared" si="15"/>
        <v>0</v>
      </c>
      <c r="V108" s="76">
        <f t="shared" si="15"/>
        <v>0</v>
      </c>
      <c r="W108" s="76">
        <f t="shared" si="15"/>
        <v>0</v>
      </c>
    </row>
    <row r="109" spans="1:24">
      <c r="A109" s="67" t="s">
        <v>340</v>
      </c>
    </row>
    <row r="111" spans="1:24">
      <c r="M111" s="68">
        <v>2018</v>
      </c>
      <c r="N111" s="50">
        <v>2019</v>
      </c>
      <c r="O111" s="50">
        <v>2020</v>
      </c>
      <c r="P111" s="50">
        <v>2021</v>
      </c>
      <c r="Q111" s="50">
        <v>2022</v>
      </c>
      <c r="R111" s="112">
        <v>2023</v>
      </c>
      <c r="S111" s="50">
        <v>2024</v>
      </c>
      <c r="T111" s="50">
        <v>2025</v>
      </c>
      <c r="U111" s="50">
        <v>2026</v>
      </c>
      <c r="V111" s="50">
        <v>2027</v>
      </c>
      <c r="W111" s="50">
        <v>2028</v>
      </c>
    </row>
    <row r="112" spans="1:24">
      <c r="A112" s="25" t="s">
        <v>341</v>
      </c>
      <c r="M112" s="76">
        <v>4344.1263517840925</v>
      </c>
      <c r="N112" s="76">
        <v>3919.2948617835109</v>
      </c>
      <c r="O112" s="76">
        <v>4846.2139445731445</v>
      </c>
      <c r="P112" s="76">
        <v>6025.5608702587488</v>
      </c>
      <c r="Q112" s="76">
        <v>5698.5902655010341</v>
      </c>
      <c r="R112" s="76">
        <f t="shared" ref="R112:W112" si="16">Q112*$R$113</f>
        <v>6268.4492920511384</v>
      </c>
      <c r="S112" s="76">
        <f t="shared" si="16"/>
        <v>6895.294221256253</v>
      </c>
      <c r="T112" s="76">
        <f t="shared" si="16"/>
        <v>7584.8236433818793</v>
      </c>
      <c r="U112" s="76">
        <f t="shared" si="16"/>
        <v>8343.306007720068</v>
      </c>
      <c r="V112" s="76">
        <f t="shared" si="16"/>
        <v>9177.6366084920755</v>
      </c>
      <c r="W112" s="76">
        <f t="shared" si="16"/>
        <v>10095.400269341284</v>
      </c>
    </row>
    <row r="113" spans="1:23">
      <c r="A113" s="25" t="s">
        <v>350</v>
      </c>
      <c r="N113" s="119">
        <f>N112/M112</f>
        <v>0.90220554017124588</v>
      </c>
      <c r="O113" s="119">
        <f>O112/N112</f>
        <v>1.2365014920994821</v>
      </c>
      <c r="P113" s="119">
        <f>P112/O112</f>
        <v>1.2433542842255763</v>
      </c>
      <c r="Q113" s="119">
        <f>Q112/P112</f>
        <v>0.94573607141343607</v>
      </c>
      <c r="R113" s="120">
        <v>1.1000000000000001</v>
      </c>
    </row>
    <row r="114" spans="1:23">
      <c r="A114" s="25" t="str">
        <f>"Ethernet transceivers % of total capex: "&amp;$A$39</f>
        <v>Ethernet transceivers % of total capex: Alibaba</v>
      </c>
      <c r="M114" s="111">
        <f>M100/M112</f>
        <v>2.9958246551580161E-2</v>
      </c>
      <c r="N114" s="111">
        <f>N100/N112</f>
        <v>2.9935757819483922E-2</v>
      </c>
      <c r="O114" s="111">
        <f>O100/O112</f>
        <v>0</v>
      </c>
      <c r="P114" s="111">
        <f>P100/P112</f>
        <v>0</v>
      </c>
      <c r="Q114" s="111">
        <f>Q100/Q112</f>
        <v>0</v>
      </c>
      <c r="R114" s="111">
        <f t="shared" ref="R114:W114" si="17">R100/R112</f>
        <v>0</v>
      </c>
      <c r="S114" s="111">
        <f t="shared" si="17"/>
        <v>0</v>
      </c>
      <c r="T114" s="111">
        <f t="shared" si="17"/>
        <v>0</v>
      </c>
      <c r="U114" s="111">
        <f t="shared" si="17"/>
        <v>0</v>
      </c>
      <c r="V114" s="111">
        <f t="shared" si="17"/>
        <v>0</v>
      </c>
      <c r="W114" s="111">
        <f t="shared" si="17"/>
        <v>0</v>
      </c>
    </row>
    <row r="115" spans="1:23">
      <c r="A115" s="25" t="str">
        <f>"DWDM transceivers % of total capex: "&amp;$A$39</f>
        <v>DWDM transceivers % of total capex: Alibaba</v>
      </c>
      <c r="M115" s="111">
        <f>M108/M112</f>
        <v>1.0653054207423237E-2</v>
      </c>
      <c r="N115" s="111">
        <f t="shared" ref="N115:W115" si="18">N108/N112</f>
        <v>1.1738173752473841E-2</v>
      </c>
      <c r="O115" s="111">
        <f t="shared" si="18"/>
        <v>0</v>
      </c>
      <c r="P115" s="111">
        <f t="shared" si="18"/>
        <v>0</v>
      </c>
      <c r="Q115" s="111">
        <f t="shared" si="18"/>
        <v>0</v>
      </c>
      <c r="R115" s="111">
        <f t="shared" si="18"/>
        <v>0</v>
      </c>
      <c r="S115" s="111">
        <f t="shared" si="18"/>
        <v>0</v>
      </c>
      <c r="T115" s="111">
        <f t="shared" si="18"/>
        <v>0</v>
      </c>
      <c r="U115" s="111">
        <f t="shared" si="18"/>
        <v>0</v>
      </c>
      <c r="V115" s="111">
        <f t="shared" si="18"/>
        <v>0</v>
      </c>
      <c r="W115" s="111">
        <f t="shared" si="18"/>
        <v>0</v>
      </c>
    </row>
    <row r="116" spans="1:23">
      <c r="A116" s="25" t="str">
        <f>"Ethernet&amp;DWDM xcvrs % of total capex: "&amp;$A$39</f>
        <v>Ethernet&amp;DWDM xcvrs % of total capex: Alibaba</v>
      </c>
      <c r="M116" s="111">
        <f>M115+M114</f>
        <v>4.0611300759003398E-2</v>
      </c>
      <c r="N116" s="111">
        <f t="shared" ref="N116:W116" si="19">N115+N114</f>
        <v>4.1673931571957763E-2</v>
      </c>
      <c r="O116" s="111">
        <f t="shared" si="19"/>
        <v>0</v>
      </c>
      <c r="P116" s="111">
        <f t="shared" si="19"/>
        <v>0</v>
      </c>
      <c r="Q116" s="111">
        <f t="shared" si="19"/>
        <v>0</v>
      </c>
      <c r="R116" s="111">
        <f t="shared" si="19"/>
        <v>0</v>
      </c>
      <c r="S116" s="111">
        <f t="shared" si="19"/>
        <v>0</v>
      </c>
      <c r="T116" s="111">
        <f t="shared" si="19"/>
        <v>0</v>
      </c>
      <c r="U116" s="111">
        <f t="shared" si="19"/>
        <v>0</v>
      </c>
      <c r="V116" s="111">
        <f t="shared" si="19"/>
        <v>0</v>
      </c>
      <c r="W116" s="111">
        <f t="shared" si="19"/>
        <v>0</v>
      </c>
    </row>
    <row r="118" spans="1:23">
      <c r="A118" t="s">
        <v>275</v>
      </c>
    </row>
    <row r="119" spans="1:23">
      <c r="A119" s="40" t="s">
        <v>213</v>
      </c>
      <c r="B119" s="17">
        <v>2018</v>
      </c>
      <c r="C119" s="17">
        <v>2019</v>
      </c>
      <c r="D119" s="17">
        <v>2020</v>
      </c>
      <c r="E119" s="17">
        <v>2021</v>
      </c>
      <c r="F119" s="17">
        <v>2022</v>
      </c>
      <c r="G119" s="17">
        <v>2023</v>
      </c>
      <c r="H119" s="17">
        <v>2024</v>
      </c>
      <c r="I119" s="17">
        <v>2025</v>
      </c>
      <c r="J119" s="17">
        <v>2026</v>
      </c>
      <c r="K119" s="17">
        <v>2027</v>
      </c>
      <c r="L119" s="17">
        <v>2028</v>
      </c>
    </row>
    <row r="120" spans="1:23">
      <c r="A120" s="25" t="s">
        <v>250</v>
      </c>
      <c r="B120" s="32">
        <f t="shared" ref="B120:L120" si="20">SUMPRODUCT(B41:B70,$X$41:$X$70)/10^6</f>
        <v>54.068699316040565</v>
      </c>
      <c r="C120" s="32">
        <f t="shared" si="20"/>
        <v>74.93380952418778</v>
      </c>
      <c r="D120" s="32">
        <f t="shared" si="20"/>
        <v>0</v>
      </c>
      <c r="E120" s="32">
        <f t="shared" si="20"/>
        <v>0</v>
      </c>
      <c r="F120" s="32">
        <f t="shared" si="20"/>
        <v>0</v>
      </c>
      <c r="G120" s="32">
        <f t="shared" si="20"/>
        <v>0</v>
      </c>
      <c r="H120" s="32">
        <f t="shared" si="20"/>
        <v>0</v>
      </c>
      <c r="I120" s="32">
        <f t="shared" si="20"/>
        <v>0</v>
      </c>
      <c r="J120" s="32">
        <f t="shared" si="20"/>
        <v>0</v>
      </c>
      <c r="K120" s="32">
        <f t="shared" si="20"/>
        <v>0</v>
      </c>
      <c r="L120" s="32">
        <f t="shared" si="20"/>
        <v>0</v>
      </c>
    </row>
    <row r="121" spans="1:23">
      <c r="A121" s="25" t="s">
        <v>251</v>
      </c>
      <c r="B121" s="54">
        <f>B120+50</f>
        <v>104.06869931604056</v>
      </c>
      <c r="C121" s="29">
        <f>B121+C120</f>
        <v>179.00250884022836</v>
      </c>
      <c r="D121" s="29">
        <f>C121+D120</f>
        <v>179.00250884022836</v>
      </c>
      <c r="E121" s="29">
        <f t="shared" ref="E121:L121" si="21">D121+E120</f>
        <v>179.00250884022836</v>
      </c>
      <c r="F121" s="29">
        <f t="shared" si="21"/>
        <v>179.00250884022836</v>
      </c>
      <c r="G121" s="29">
        <f t="shared" si="21"/>
        <v>179.00250884022836</v>
      </c>
      <c r="H121" s="29">
        <f t="shared" si="21"/>
        <v>179.00250884022836</v>
      </c>
      <c r="I121" s="29">
        <f t="shared" si="21"/>
        <v>179.00250884022836</v>
      </c>
      <c r="J121" s="29">
        <f t="shared" si="21"/>
        <v>179.00250884022836</v>
      </c>
      <c r="K121" s="29">
        <f t="shared" si="21"/>
        <v>179.00250884022836</v>
      </c>
      <c r="L121" s="29">
        <f t="shared" si="21"/>
        <v>179.00250884022836</v>
      </c>
    </row>
    <row r="122" spans="1:23">
      <c r="A122" s="25" t="s">
        <v>252</v>
      </c>
      <c r="B122" s="26"/>
      <c r="C122" s="31">
        <f>C121/B121-1</f>
        <v>0.72004176103542328</v>
      </c>
      <c r="D122" s="31">
        <f t="shared" ref="D122:L122" si="22">D121/C121-1</f>
        <v>0</v>
      </c>
      <c r="E122" s="31">
        <f t="shared" si="22"/>
        <v>0</v>
      </c>
      <c r="F122" s="31">
        <f t="shared" si="22"/>
        <v>0</v>
      </c>
      <c r="G122" s="31">
        <f t="shared" si="22"/>
        <v>0</v>
      </c>
      <c r="H122" s="31">
        <f t="shared" si="22"/>
        <v>0</v>
      </c>
      <c r="I122" s="31">
        <f t="shared" si="22"/>
        <v>0</v>
      </c>
      <c r="J122" s="31">
        <f t="shared" si="22"/>
        <v>0</v>
      </c>
      <c r="K122" s="31">
        <f t="shared" si="22"/>
        <v>0</v>
      </c>
      <c r="L122" s="31">
        <f t="shared" si="22"/>
        <v>0</v>
      </c>
    </row>
    <row r="124" spans="1:23">
      <c r="A124" s="40" t="s">
        <v>214</v>
      </c>
      <c r="B124" s="17">
        <v>2018</v>
      </c>
      <c r="C124" s="17">
        <v>2019</v>
      </c>
      <c r="D124" s="17">
        <v>2020</v>
      </c>
      <c r="E124" s="17">
        <v>2021</v>
      </c>
      <c r="F124" s="17">
        <v>2022</v>
      </c>
      <c r="G124" s="17">
        <v>2023</v>
      </c>
      <c r="H124" s="17">
        <v>2024</v>
      </c>
      <c r="I124" s="17">
        <v>2025</v>
      </c>
      <c r="J124" s="17">
        <v>2026</v>
      </c>
      <c r="K124" s="17">
        <v>2027</v>
      </c>
      <c r="L124" s="17">
        <v>2028</v>
      </c>
    </row>
    <row r="125" spans="1:23">
      <c r="A125" s="25" t="s">
        <v>250</v>
      </c>
      <c r="B125" s="39">
        <f t="shared" ref="B125:L125" si="23">SUMPRODUCT(B71:B89,$X$71:$X$89)/10^6</f>
        <v>0.65533183576146836</v>
      </c>
      <c r="C125" s="39">
        <f t="shared" si="23"/>
        <v>1.0252223414340751</v>
      </c>
      <c r="D125" s="39">
        <f t="shared" si="23"/>
        <v>0</v>
      </c>
      <c r="E125" s="39">
        <f t="shared" si="23"/>
        <v>0</v>
      </c>
      <c r="F125" s="39">
        <f t="shared" si="23"/>
        <v>0</v>
      </c>
      <c r="G125" s="39">
        <f t="shared" si="23"/>
        <v>0</v>
      </c>
      <c r="H125" s="39">
        <f t="shared" si="23"/>
        <v>0</v>
      </c>
      <c r="I125" s="39">
        <f t="shared" si="23"/>
        <v>0</v>
      </c>
      <c r="J125" s="39">
        <f t="shared" si="23"/>
        <v>0</v>
      </c>
      <c r="K125" s="39">
        <f t="shared" si="23"/>
        <v>0</v>
      </c>
      <c r="L125" s="39">
        <f t="shared" si="23"/>
        <v>0</v>
      </c>
    </row>
    <row r="126" spans="1:23">
      <c r="A126" s="25" t="s">
        <v>251</v>
      </c>
      <c r="B126" s="54">
        <f>B125+1.09</f>
        <v>1.7453318357614684</v>
      </c>
      <c r="C126" s="29">
        <f>B126+C125</f>
        <v>2.7705541771955433</v>
      </c>
      <c r="D126" s="29">
        <f>C126+D125</f>
        <v>2.7705541771955433</v>
      </c>
      <c r="E126" s="29">
        <f t="shared" ref="E126" si="24">D126+E125</f>
        <v>2.7705541771955433</v>
      </c>
      <c r="F126" s="29">
        <f t="shared" ref="F126" si="25">E126+F125</f>
        <v>2.7705541771955433</v>
      </c>
      <c r="G126" s="29">
        <f t="shared" ref="G126" si="26">F126+G125</f>
        <v>2.7705541771955433</v>
      </c>
      <c r="H126" s="29">
        <f t="shared" ref="H126" si="27">G126+H125</f>
        <v>2.7705541771955433</v>
      </c>
      <c r="I126" s="29">
        <f t="shared" ref="I126" si="28">H126+I125</f>
        <v>2.7705541771955433</v>
      </c>
      <c r="J126" s="29">
        <f t="shared" ref="J126" si="29">I126+J125</f>
        <v>2.7705541771955433</v>
      </c>
      <c r="K126" s="29">
        <f t="shared" ref="K126" si="30">J126+K125</f>
        <v>2.7705541771955433</v>
      </c>
      <c r="L126" s="29">
        <f t="shared" ref="L126" si="31">K126+L125</f>
        <v>2.7705541771955433</v>
      </c>
    </row>
    <row r="127" spans="1:23">
      <c r="A127" s="25" t="s">
        <v>252</v>
      </c>
      <c r="B127" s="26"/>
      <c r="C127" s="31">
        <f>C126/B126-1</f>
        <v>0.58740826267388968</v>
      </c>
      <c r="D127" s="31">
        <f t="shared" ref="D127" si="32">D126/C126-1</f>
        <v>0</v>
      </c>
      <c r="E127" s="31">
        <f t="shared" ref="E127" si="33">E126/D126-1</f>
        <v>0</v>
      </c>
      <c r="F127" s="31">
        <f t="shared" ref="F127" si="34">F126/E126-1</f>
        <v>0</v>
      </c>
      <c r="G127" s="31">
        <f t="shared" ref="G127" si="35">G126/F126-1</f>
        <v>0</v>
      </c>
      <c r="H127" s="31">
        <f t="shared" ref="H127" si="36">H126/G126-1</f>
        <v>0</v>
      </c>
      <c r="I127" s="31">
        <f t="shared" ref="I127" si="37">I126/H126-1</f>
        <v>0</v>
      </c>
      <c r="J127" s="31">
        <f t="shared" ref="J127" si="38">J126/I126-1</f>
        <v>0</v>
      </c>
      <c r="K127" s="31">
        <f t="shared" ref="K127" si="39">K126/J126-1</f>
        <v>0</v>
      </c>
      <c r="L127" s="31">
        <f t="shared" ref="L127" si="40">L126/K126-1</f>
        <v>0</v>
      </c>
    </row>
  </sheetData>
  <mergeCells count="2">
    <mergeCell ref="B39:L39"/>
    <mergeCell ref="M39:W39"/>
  </mergeCells>
  <dataValidations count="1">
    <dataValidation type="list" allowBlank="1" showInputMessage="1" showErrorMessage="1" sqref="A41:A89" xr:uid="{00000000-0002-0000-0900-000000000000}">
      <formula1>INDIRECT("Products[LookupCodes]")</formula1>
    </dataValidation>
  </dataValidations>
  <pageMargins left="0.7" right="0.7" top="0.75" bottom="0.75" header="0.3" footer="0.3"/>
  <pageSetup paperSize="9" orientation="portrait" r:id="rId1"/>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J116"/>
  <sheetViews>
    <sheetView zoomScale="50" zoomScaleNormal="50" workbookViewId="0">
      <selection activeCell="A4" sqref="A4"/>
    </sheetView>
  </sheetViews>
  <sheetFormatPr defaultColWidth="8.5" defaultRowHeight="15.75"/>
  <cols>
    <col min="1" max="1" width="35.5" bestFit="1" customWidth="1"/>
    <col min="6" max="10" width="9.5"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Huawei</v>
      </c>
    </row>
    <row r="5" spans="1:36" s="1" customFormat="1" ht="14.25">
      <c r="A5" s="19"/>
    </row>
    <row r="8" spans="1:36">
      <c r="B8" s="163" t="str">
        <f>"Ethernet transceivers consumed annually by "&amp;A39</f>
        <v>Ethernet transceivers consumed annually by Huawei</v>
      </c>
      <c r="C8" s="163"/>
      <c r="D8" s="163"/>
      <c r="E8" s="163"/>
      <c r="F8" s="163"/>
      <c r="G8" s="163"/>
      <c r="H8" s="163"/>
      <c r="I8" s="163"/>
      <c r="J8" s="163"/>
      <c r="K8" s="163"/>
      <c r="L8" s="163" t="str">
        <f>"Annual spending on Ethernet transceivers by "&amp;A39</f>
        <v>Annual spending on Ethernet transceivers by Huawei</v>
      </c>
      <c r="M8" s="163"/>
      <c r="N8" s="163"/>
      <c r="O8" s="163"/>
      <c r="P8" s="163"/>
      <c r="Q8" s="163"/>
      <c r="R8" s="163"/>
      <c r="S8" s="163"/>
      <c r="Y8" s="163"/>
      <c r="Z8" s="163"/>
      <c r="AA8" s="163"/>
      <c r="AB8" s="163"/>
      <c r="AC8" s="163"/>
      <c r="AD8" s="163"/>
      <c r="AE8" s="163"/>
      <c r="AF8" s="163"/>
      <c r="AG8" s="163"/>
      <c r="AH8" s="163"/>
      <c r="AI8" s="163"/>
      <c r="AJ8" s="163"/>
    </row>
    <row r="24" spans="11:11">
      <c r="K24" s="162" t="s">
        <v>473</v>
      </c>
    </row>
    <row r="39" spans="1:24">
      <c r="A39" s="12" t="s">
        <v>216</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0</v>
      </c>
      <c r="C41" s="8">
        <v>0</v>
      </c>
      <c r="D41" s="8"/>
      <c r="E41" s="8"/>
      <c r="F41" s="8"/>
      <c r="G41" s="8"/>
      <c r="H41" s="8"/>
      <c r="I41" s="8"/>
      <c r="J41" s="8"/>
      <c r="K41" s="8"/>
      <c r="L41" s="8"/>
      <c r="M41" s="62" cm="1">
        <f t="array" ref="M41">INDEX(tblPrices[cv_2018], MATCH(tblHuaweiUnits[[#This Row],[Products]],tblPrices[Products],0), 0)* tblHuaweiUnits[[#This Row],[cv_2018]]/10^6</f>
        <v>0</v>
      </c>
      <c r="N41" s="62" cm="1">
        <f t="array" ref="N41">INDEX(tblPrices[cv_2019], MATCH(tblHuaweiUnits[[#This Row],[Products]],tblPrices[Products],0), 0)* tblHuaweiUnits[[#This Row],[cv_2019]]/10^6</f>
        <v>0</v>
      </c>
      <c r="O41" s="62" cm="1">
        <f t="array" ref="O41">INDEX(tblPrices[cv_2020], MATCH(tblHuaweiUnits[[#This Row],[Products]],tblPrices[Products],0), 0)* tblHuaweiUnits[[#This Row],[cv_2020]]/10^6</f>
        <v>0</v>
      </c>
      <c r="P41" s="62" cm="1">
        <f t="array" ref="P41">INDEX(tblPrices[cv_2021], MATCH(tblHuaweiUnits[[#This Row],[Products]],tblPrices[Products],0), 0)* tblHuaweiUnits[[#This Row],[cv_2021]]/10^6</f>
        <v>0</v>
      </c>
      <c r="Q41" s="62" cm="1">
        <f t="array" ref="Q41">INDEX(tblPrices[cv_2022], MATCH(tblHuaweiUnits[[#This Row],[Products]],tblPrices[Products],0), 0)* tblHuaweiUnits[[#This Row],[cv_2022]]/10^6</f>
        <v>0</v>
      </c>
      <c r="R41" s="62" cm="1">
        <f t="array" ref="R41">INDEX(tblPrices[cv_2023], MATCH(tblHuaweiUnits[[#This Row],[Products]],tblPrices[Products],0), 0)* tblHuaweiUnits[[#This Row],[cv_2023]]/10^6</f>
        <v>0</v>
      </c>
      <c r="S41" s="62" cm="1">
        <f t="array" ref="S41">INDEX(tblPrices[cv_2024], MATCH(tblHuaweiUnits[[#This Row],[Products]],tblPrices[Products],0), 0)* tblHuaweiUnits[[#This Row],[cv_2024]]/10^6</f>
        <v>0</v>
      </c>
      <c r="T41" s="62" cm="1">
        <f t="array" ref="T41">INDEX(tblPrices[cv_2025], MATCH(tblHuaweiUnits[[#This Row],[Products]],tblPrices[Products],0), 0)* tblHuaweiUnits[[#This Row],[cv_2025]]/10^6</f>
        <v>0</v>
      </c>
      <c r="U41" s="62" cm="1">
        <f t="array" ref="U41">INDEX(tblPrices[cv_2026], MATCH(tblHuaweiUnits[[#This Row],[Products]],tblPrices[Products],0), 0)* tblHuaweiUnits[[#This Row],[cv_2026]]/10^6</f>
        <v>0</v>
      </c>
      <c r="V41" s="62" cm="1">
        <f t="array" ref="V41">INDEX(tblPrices[cv_2027], MATCH(tblHuaweiUnits[[#This Row],[Products]],tblPrices[Products],0), 0)* tblHuaweiUnits[[#This Row],[cv_2027]]/10^6</f>
        <v>0</v>
      </c>
      <c r="W41" s="62" cm="1">
        <f t="array" ref="W41">INDEX(tblPrices[cv_2028], MATCH(tblHuaweiUnits[[#This Row],[Products]],tblPrices[Products],0), 0)* tblHuaweiUnits[[#This Row],[cv_2028]]/10^6</f>
        <v>0</v>
      </c>
      <c r="X41" s="1">
        <f>VLOOKUP(A41,Products!$A$11:$F$110,6,FALSE)</f>
        <v>10</v>
      </c>
    </row>
    <row r="42" spans="1:24" s="1" customFormat="1" ht="13.15">
      <c r="A42" s="16" t="s">
        <v>158</v>
      </c>
      <c r="B42" s="36">
        <v>0</v>
      </c>
      <c r="C42" s="36">
        <v>0</v>
      </c>
      <c r="D42" s="36"/>
      <c r="E42" s="36"/>
      <c r="F42" s="36"/>
      <c r="G42" s="36"/>
      <c r="H42" s="36"/>
      <c r="I42" s="36"/>
      <c r="J42" s="36"/>
      <c r="K42" s="36"/>
      <c r="L42" s="36"/>
      <c r="M42" s="62" cm="1">
        <f t="array" ref="M42">INDEX(tblPrices[cv_2018], MATCH(tblHuaweiUnits[[#This Row],[Products]],tblPrices[Products],0), 0)* tblHuaweiUnits[[#This Row],[cv_2018]]/10^6</f>
        <v>0</v>
      </c>
      <c r="N42" s="62" cm="1">
        <f t="array" ref="N42">INDEX(tblPrices[cv_2019], MATCH(tblHuaweiUnits[[#This Row],[Products]],tblPrices[Products],0), 0)* tblHuaweiUnits[[#This Row],[cv_2019]]/10^6</f>
        <v>0</v>
      </c>
      <c r="O42" s="62" cm="1">
        <f t="array" ref="O42">INDEX(tblPrices[cv_2020], MATCH(tblHuaweiUnits[[#This Row],[Products]],tblPrices[Products],0), 0)* tblHuaweiUnits[[#This Row],[cv_2020]]/10^6</f>
        <v>0</v>
      </c>
      <c r="P42" s="62" cm="1">
        <f t="array" ref="P42">INDEX(tblPrices[cv_2021], MATCH(tblHuaweiUnits[[#This Row],[Products]],tblPrices[Products],0), 0)* tblHuaweiUnits[[#This Row],[cv_2021]]/10^6</f>
        <v>0</v>
      </c>
      <c r="Q42" s="62" cm="1">
        <f t="array" ref="Q42">INDEX(tblPrices[cv_2022], MATCH(tblHuaweiUnits[[#This Row],[Products]],tblPrices[Products],0), 0)* tblHuaweiUnits[[#This Row],[cv_2022]]/10^6</f>
        <v>0</v>
      </c>
      <c r="R42" s="62" cm="1">
        <f t="array" ref="R42">INDEX(tblPrices[cv_2023], MATCH(tblHuaweiUnits[[#This Row],[Products]],tblPrices[Products],0), 0)* tblHuaweiUnits[[#This Row],[cv_2023]]/10^6</f>
        <v>0</v>
      </c>
      <c r="S42" s="62" cm="1">
        <f t="array" ref="S42">INDEX(tblPrices[cv_2024], MATCH(tblHuaweiUnits[[#This Row],[Products]],tblPrices[Products],0), 0)* tblHuaweiUnits[[#This Row],[cv_2024]]/10^6</f>
        <v>0</v>
      </c>
      <c r="T42" s="62" cm="1">
        <f t="array" ref="T42">INDEX(tblPrices[cv_2025], MATCH(tblHuaweiUnits[[#This Row],[Products]],tblPrices[Products],0), 0)* tblHuaweiUnits[[#This Row],[cv_2025]]/10^6</f>
        <v>0</v>
      </c>
      <c r="U42" s="62" cm="1">
        <f t="array" ref="U42">INDEX(tblPrices[cv_2026], MATCH(tblHuaweiUnits[[#This Row],[Products]],tblPrices[Products],0), 0)* tblHuaweiUnits[[#This Row],[cv_2026]]/10^6</f>
        <v>0</v>
      </c>
      <c r="V42" s="62" cm="1">
        <f t="array" ref="V42">INDEX(tblPrices[cv_2027], MATCH(tblHuaweiUnits[[#This Row],[Products]],tblPrices[Products],0), 0)* tblHuaweiUnits[[#This Row],[cv_2027]]/10^6</f>
        <v>0</v>
      </c>
      <c r="W42" s="62" cm="1">
        <f t="array" ref="W42">INDEX(tblPrices[cv_2028], MATCH(tblHuaweiUnits[[#This Row],[Products]],tblPrices[Products],0), 0)* tblHuaweiUnits[[#This Row],[cv_2028]]/10^6</f>
        <v>0</v>
      </c>
      <c r="X42" s="1">
        <f>VLOOKUP(A42,Products!$A$11:$F$110,6,FALSE)</f>
        <v>10</v>
      </c>
    </row>
    <row r="43" spans="1:24" s="1" customFormat="1" ht="13.15">
      <c r="A43" s="16" t="s">
        <v>159</v>
      </c>
      <c r="B43" s="36">
        <v>0</v>
      </c>
      <c r="C43" s="36">
        <v>0</v>
      </c>
      <c r="D43" s="36"/>
      <c r="E43" s="36"/>
      <c r="F43" s="36"/>
      <c r="G43" s="36"/>
      <c r="H43" s="36"/>
      <c r="I43" s="36"/>
      <c r="J43" s="36"/>
      <c r="K43" s="36"/>
      <c r="L43" s="36"/>
      <c r="M43" s="62" cm="1">
        <f t="array" ref="M43">INDEX(tblPrices[cv_2018], MATCH(tblHuaweiUnits[[#This Row],[Products]],tblPrices[Products],0), 0)* tblHuaweiUnits[[#This Row],[cv_2018]]/10^6</f>
        <v>0</v>
      </c>
      <c r="N43" s="62" cm="1">
        <f t="array" ref="N43">INDEX(tblPrices[cv_2019], MATCH(tblHuaweiUnits[[#This Row],[Products]],tblPrices[Products],0), 0)* tblHuaweiUnits[[#This Row],[cv_2019]]/10^6</f>
        <v>0</v>
      </c>
      <c r="O43" s="62" cm="1">
        <f t="array" ref="O43">INDEX(tblPrices[cv_2020], MATCH(tblHuaweiUnits[[#This Row],[Products]],tblPrices[Products],0), 0)* tblHuaweiUnits[[#This Row],[cv_2020]]/10^6</f>
        <v>0</v>
      </c>
      <c r="P43" s="62" cm="1">
        <f t="array" ref="P43">INDEX(tblPrices[cv_2021], MATCH(tblHuaweiUnits[[#This Row],[Products]],tblPrices[Products],0), 0)* tblHuaweiUnits[[#This Row],[cv_2021]]/10^6</f>
        <v>0</v>
      </c>
      <c r="Q43" s="62" cm="1">
        <f t="array" ref="Q43">INDEX(tblPrices[cv_2022], MATCH(tblHuaweiUnits[[#This Row],[Products]],tblPrices[Products],0), 0)* tblHuaweiUnits[[#This Row],[cv_2022]]/10^6</f>
        <v>0</v>
      </c>
      <c r="R43" s="62" cm="1">
        <f t="array" ref="R43">INDEX(tblPrices[cv_2023], MATCH(tblHuaweiUnits[[#This Row],[Products]],tblPrices[Products],0), 0)* tblHuaweiUnits[[#This Row],[cv_2023]]/10^6</f>
        <v>0</v>
      </c>
      <c r="S43" s="62" cm="1">
        <f t="array" ref="S43">INDEX(tblPrices[cv_2024], MATCH(tblHuaweiUnits[[#This Row],[Products]],tblPrices[Products],0), 0)* tblHuaweiUnits[[#This Row],[cv_2024]]/10^6</f>
        <v>0</v>
      </c>
      <c r="T43" s="62" cm="1">
        <f t="array" ref="T43">INDEX(tblPrices[cv_2025], MATCH(tblHuaweiUnits[[#This Row],[Products]],tblPrices[Products],0), 0)* tblHuaweiUnits[[#This Row],[cv_2025]]/10^6</f>
        <v>0</v>
      </c>
      <c r="U43" s="62" cm="1">
        <f t="array" ref="U43">INDEX(tblPrices[cv_2026], MATCH(tblHuaweiUnits[[#This Row],[Products]],tblPrices[Products],0), 0)* tblHuaweiUnits[[#This Row],[cv_2026]]/10^6</f>
        <v>0</v>
      </c>
      <c r="V43" s="62" cm="1">
        <f t="array" ref="V43">INDEX(tblPrices[cv_2027], MATCH(tblHuaweiUnits[[#This Row],[Products]],tblPrices[Products],0), 0)* tblHuaweiUnits[[#This Row],[cv_2027]]/10^6</f>
        <v>0</v>
      </c>
      <c r="W43" s="62" cm="1">
        <f t="array" ref="W43">INDEX(tblPrices[cv_2028], MATCH(tblHuaweiUnits[[#This Row],[Products]],tblPrices[Products],0), 0)* tblHuaweiUnits[[#This Row],[cv_2028]]/10^6</f>
        <v>0</v>
      </c>
      <c r="X43" s="1">
        <f>VLOOKUP(A43,Products!$A$11:$F$110,6,FALSE)</f>
        <v>10</v>
      </c>
    </row>
    <row r="44" spans="1:24" s="1" customFormat="1" ht="13.15">
      <c r="A44" s="9" t="s">
        <v>0</v>
      </c>
      <c r="B44" s="8">
        <v>21066.824235</v>
      </c>
      <c r="C44" s="8">
        <v>21053.106679999997</v>
      </c>
      <c r="D44" s="8"/>
      <c r="E44" s="8"/>
      <c r="F44" s="8"/>
      <c r="G44" s="8"/>
      <c r="H44" s="8"/>
      <c r="I44" s="8"/>
      <c r="J44" s="8"/>
      <c r="K44" s="8"/>
      <c r="L44" s="8"/>
      <c r="M44" s="62" cm="1">
        <f t="array" ref="M44">INDEX(tblPrices[cv_2018], MATCH(tblHuaweiUnits[[#This Row],[Products]],tblPrices[Products],0), 0)* tblHuaweiUnits[[#This Row],[cv_2018]]/10^6</f>
        <v>1.2357854826558878</v>
      </c>
      <c r="N44" s="62" cm="1">
        <f t="array" ref="N44">INDEX(tblPrices[cv_2019], MATCH(tblHuaweiUnits[[#This Row],[Products]],tblPrices[Products],0), 0)* tblHuaweiUnits[[#This Row],[cv_2019]]/10^6</f>
        <v>0.97101377652857113</v>
      </c>
      <c r="O44" s="62" cm="1">
        <f t="array" ref="O44">INDEX(tblPrices[cv_2020], MATCH(tblHuaweiUnits[[#This Row],[Products]],tblPrices[Products],0), 0)* tblHuaweiUnits[[#This Row],[cv_2020]]/10^6</f>
        <v>0</v>
      </c>
      <c r="P44" s="62" cm="1">
        <f t="array" ref="P44">INDEX(tblPrices[cv_2021], MATCH(tblHuaweiUnits[[#This Row],[Products]],tblPrices[Products],0), 0)* tblHuaweiUnits[[#This Row],[cv_2021]]/10^6</f>
        <v>0</v>
      </c>
      <c r="Q44" s="62" cm="1">
        <f t="array" ref="Q44">INDEX(tblPrices[cv_2022], MATCH(tblHuaweiUnits[[#This Row],[Products]],tblPrices[Products],0), 0)* tblHuaweiUnits[[#This Row],[cv_2022]]/10^6</f>
        <v>0</v>
      </c>
      <c r="R44" s="62" cm="1">
        <f t="array" ref="R44">INDEX(tblPrices[cv_2023], MATCH(tblHuaweiUnits[[#This Row],[Products]],tblPrices[Products],0), 0)* tblHuaweiUnits[[#This Row],[cv_2023]]/10^6</f>
        <v>0</v>
      </c>
      <c r="S44" s="62" cm="1">
        <f t="array" ref="S44">INDEX(tblPrices[cv_2024], MATCH(tblHuaweiUnits[[#This Row],[Products]],tblPrices[Products],0), 0)* tblHuaweiUnits[[#This Row],[cv_2024]]/10^6</f>
        <v>0</v>
      </c>
      <c r="T44" s="62" cm="1">
        <f t="array" ref="T44">INDEX(tblPrices[cv_2025], MATCH(tblHuaweiUnits[[#This Row],[Products]],tblPrices[Products],0), 0)* tblHuaweiUnits[[#This Row],[cv_2025]]/10^6</f>
        <v>0</v>
      </c>
      <c r="U44" s="62" cm="1">
        <f t="array" ref="U44">INDEX(tblPrices[cv_2026], MATCH(tblHuaweiUnits[[#This Row],[Products]],tblPrices[Products],0), 0)* tblHuaweiUnits[[#This Row],[cv_2026]]/10^6</f>
        <v>0</v>
      </c>
      <c r="V44" s="62" cm="1">
        <f t="array" ref="V44">INDEX(tblPrices[cv_2027], MATCH(tblHuaweiUnits[[#This Row],[Products]],tblPrices[Products],0), 0)* tblHuaweiUnits[[#This Row],[cv_2027]]/10^6</f>
        <v>0</v>
      </c>
      <c r="W44" s="62" cm="1">
        <f t="array" ref="W44">INDEX(tblPrices[cv_2028], MATCH(tblHuaweiUnits[[#This Row],[Products]],tblPrices[Products],0), 0)* tblHuaweiUnits[[#This Row],[cv_2028]]/10^6</f>
        <v>0</v>
      </c>
      <c r="X44" s="1">
        <f>VLOOKUP(A44,Products!$A$29:$F$110,6,FALSE)</f>
        <v>40</v>
      </c>
    </row>
    <row r="45" spans="1:24" s="1" customFormat="1" ht="13.15">
      <c r="A45" s="9" t="s">
        <v>1</v>
      </c>
      <c r="B45" s="8">
        <v>10769.09931</v>
      </c>
      <c r="C45" s="8">
        <v>9383.90344</v>
      </c>
      <c r="D45" s="8"/>
      <c r="E45" s="8"/>
      <c r="F45" s="8"/>
      <c r="G45" s="8"/>
      <c r="H45" s="8"/>
      <c r="I45" s="8"/>
      <c r="J45" s="8"/>
      <c r="K45" s="8"/>
      <c r="L45" s="8"/>
      <c r="M45" s="62" cm="1">
        <f t="array" ref="M45">INDEX(tblPrices[cv_2018], MATCH(tblHuaweiUnits[[#This Row],[Products]],tblPrices[Products],0), 0)* tblHuaweiUnits[[#This Row],[cv_2018]]/10^6</f>
        <v>0.68761690421431532</v>
      </c>
      <c r="N45" s="62" cm="1">
        <f t="array" ref="N45">INDEX(tblPrices[cv_2019], MATCH(tblHuaweiUnits[[#This Row],[Products]],tblPrices[Products],0), 0)* tblHuaweiUnits[[#This Row],[cv_2019]]/10^6</f>
        <v>0.58223893843999996</v>
      </c>
      <c r="O45" s="62" cm="1">
        <f t="array" ref="O45">INDEX(tblPrices[cv_2020], MATCH(tblHuaweiUnits[[#This Row],[Products]],tblPrices[Products],0), 0)* tblHuaweiUnits[[#This Row],[cv_2020]]/10^6</f>
        <v>0</v>
      </c>
      <c r="P45" s="62" cm="1">
        <f t="array" ref="P45">INDEX(tblPrices[cv_2021], MATCH(tblHuaweiUnits[[#This Row],[Products]],tblPrices[Products],0), 0)* tblHuaweiUnits[[#This Row],[cv_2021]]/10^6</f>
        <v>0</v>
      </c>
      <c r="Q45" s="62" cm="1">
        <f t="array" ref="Q45">INDEX(tblPrices[cv_2022], MATCH(tblHuaweiUnits[[#This Row],[Products]],tblPrices[Products],0), 0)* tblHuaweiUnits[[#This Row],[cv_2022]]/10^6</f>
        <v>0</v>
      </c>
      <c r="R45" s="62" cm="1">
        <f t="array" ref="R45">INDEX(tblPrices[cv_2023], MATCH(tblHuaweiUnits[[#This Row],[Products]],tblPrices[Products],0), 0)* tblHuaweiUnits[[#This Row],[cv_2023]]/10^6</f>
        <v>0</v>
      </c>
      <c r="S45" s="62" cm="1">
        <f t="array" ref="S45">INDEX(tblPrices[cv_2024], MATCH(tblHuaweiUnits[[#This Row],[Products]],tblPrices[Products],0), 0)* tblHuaweiUnits[[#This Row],[cv_2024]]/10^6</f>
        <v>0</v>
      </c>
      <c r="T45" s="62" cm="1">
        <f t="array" ref="T45">INDEX(tblPrices[cv_2025], MATCH(tblHuaweiUnits[[#This Row],[Products]],tblPrices[Products],0), 0)* tblHuaweiUnits[[#This Row],[cv_2025]]/10^6</f>
        <v>0</v>
      </c>
      <c r="U45" s="62" cm="1">
        <f t="array" ref="U45">INDEX(tblPrices[cv_2026], MATCH(tblHuaweiUnits[[#This Row],[Products]],tblPrices[Products],0), 0)* tblHuaweiUnits[[#This Row],[cv_2026]]/10^6</f>
        <v>0</v>
      </c>
      <c r="V45" s="62" cm="1">
        <f t="array" ref="V45">INDEX(tblPrices[cv_2027], MATCH(tblHuaweiUnits[[#This Row],[Products]],tblPrices[Products],0), 0)* tblHuaweiUnits[[#This Row],[cv_2027]]/10^6</f>
        <v>0</v>
      </c>
      <c r="W45" s="62" cm="1">
        <f t="array" ref="W45">INDEX(tblPrices[cv_2028], MATCH(tblHuaweiUnits[[#This Row],[Products]],tblPrices[Products],0), 0)* tblHuaweiUnits[[#This Row],[cv_2028]]/10^6</f>
        <v>0</v>
      </c>
      <c r="X45" s="1">
        <f>VLOOKUP(A45,Products!$A$29:$F$110,6,FALSE)</f>
        <v>40</v>
      </c>
    </row>
    <row r="46" spans="1:24" s="1" customFormat="1" ht="13.15">
      <c r="A46" s="9" t="s">
        <v>2</v>
      </c>
      <c r="B46" s="8">
        <v>3995.7686999999992</v>
      </c>
      <c r="C46" s="8">
        <v>16046.9275</v>
      </c>
      <c r="D46" s="8"/>
      <c r="E46" s="8"/>
      <c r="F46" s="8"/>
      <c r="G46" s="8"/>
      <c r="H46" s="8"/>
      <c r="I46" s="8"/>
      <c r="J46" s="8"/>
      <c r="K46" s="8"/>
      <c r="L46" s="8"/>
      <c r="M46" s="62" cm="1">
        <f t="array" ref="M46">INDEX(tblPrices[cv_2018], MATCH(tblHuaweiUnits[[#This Row],[Products]],tblPrices[Products],0), 0)* tblHuaweiUnits[[#This Row],[cv_2018]]/10^6</f>
        <v>1.2134597198219998</v>
      </c>
      <c r="N46" s="62" cm="1">
        <f t="array" ref="N46">INDEX(tblPrices[cv_2019], MATCH(tblHuaweiUnits[[#This Row],[Products]],tblPrices[Products],0), 0)* tblHuaweiUnits[[#This Row],[cv_2019]]/10^6</f>
        <v>4.0667965342491526</v>
      </c>
      <c r="O46" s="62" cm="1">
        <f t="array" ref="O46">INDEX(tblPrices[cv_2020], MATCH(tblHuaweiUnits[[#This Row],[Products]],tblPrices[Products],0), 0)* tblHuaweiUnits[[#This Row],[cv_2020]]/10^6</f>
        <v>0</v>
      </c>
      <c r="P46" s="62" cm="1">
        <f t="array" ref="P46">INDEX(tblPrices[cv_2021], MATCH(tblHuaweiUnits[[#This Row],[Products]],tblPrices[Products],0), 0)* tblHuaweiUnits[[#This Row],[cv_2021]]/10^6</f>
        <v>0</v>
      </c>
      <c r="Q46" s="62" cm="1">
        <f t="array" ref="Q46">INDEX(tblPrices[cv_2022], MATCH(tblHuaweiUnits[[#This Row],[Products]],tblPrices[Products],0), 0)* tblHuaweiUnits[[#This Row],[cv_2022]]/10^6</f>
        <v>0</v>
      </c>
      <c r="R46" s="62" cm="1">
        <f t="array" ref="R46">INDEX(tblPrices[cv_2023], MATCH(tblHuaweiUnits[[#This Row],[Products]],tblPrices[Products],0), 0)* tblHuaweiUnits[[#This Row],[cv_2023]]/10^6</f>
        <v>0</v>
      </c>
      <c r="S46" s="62" cm="1">
        <f t="array" ref="S46">INDEX(tblPrices[cv_2024], MATCH(tblHuaweiUnits[[#This Row],[Products]],tblPrices[Products],0), 0)* tblHuaweiUnits[[#This Row],[cv_2024]]/10^6</f>
        <v>0</v>
      </c>
      <c r="T46" s="62" cm="1">
        <f t="array" ref="T46">INDEX(tblPrices[cv_2025], MATCH(tblHuaweiUnits[[#This Row],[Products]],tblPrices[Products],0), 0)* tblHuaweiUnits[[#This Row],[cv_2025]]/10^6</f>
        <v>0</v>
      </c>
      <c r="U46" s="62" cm="1">
        <f t="array" ref="U46">INDEX(tblPrices[cv_2026], MATCH(tblHuaweiUnits[[#This Row],[Products]],tblPrices[Products],0), 0)* tblHuaweiUnits[[#This Row],[cv_2026]]/10^6</f>
        <v>0</v>
      </c>
      <c r="V46" s="62" cm="1">
        <f t="array" ref="V46">INDEX(tblPrices[cv_2027], MATCH(tblHuaweiUnits[[#This Row],[Products]],tblPrices[Products],0), 0)* tblHuaweiUnits[[#This Row],[cv_2027]]/10^6</f>
        <v>0</v>
      </c>
      <c r="W46" s="62" cm="1">
        <f t="array" ref="W46">INDEX(tblPrices[cv_2028], MATCH(tblHuaweiUnits[[#This Row],[Products]],tblPrices[Products],0), 0)* tblHuaweiUnits[[#This Row],[cv_2028]]/10^6</f>
        <v>0</v>
      </c>
      <c r="X46" s="1">
        <f>VLOOKUP(A46,Products!$A$29:$F$110,6,FALSE)</f>
        <v>40</v>
      </c>
    </row>
    <row r="47" spans="1:24" s="1" customFormat="1" ht="13.15">
      <c r="A47" s="9" t="s">
        <v>3</v>
      </c>
      <c r="B47" s="8">
        <v>18794.164770000003</v>
      </c>
      <c r="C47" s="8">
        <v>43736.924352000002</v>
      </c>
      <c r="D47" s="8"/>
      <c r="E47" s="8"/>
      <c r="F47" s="8"/>
      <c r="G47" s="8"/>
      <c r="H47" s="8"/>
      <c r="I47" s="8"/>
      <c r="J47" s="8"/>
      <c r="K47" s="8"/>
      <c r="L47" s="8"/>
      <c r="M47" s="62" cm="1">
        <f t="array" ref="M47">INDEX(tblPrices[cv_2018], MATCH(tblHuaweiUnits[[#This Row],[Products]],tblPrices[Products],0), 0)* tblHuaweiUnits[[#This Row],[cv_2018]]/10^6</f>
        <v>2.1340178287642306</v>
      </c>
      <c r="N47" s="62" cm="1">
        <f t="array" ref="N47">INDEX(tblPrices[cv_2019], MATCH(tblHuaweiUnits[[#This Row],[Products]],tblPrices[Products],0), 0)* tblHuaweiUnits[[#This Row],[cv_2019]]/10^6</f>
        <v>3.7172283706550857</v>
      </c>
      <c r="O47" s="62" cm="1">
        <f t="array" ref="O47">INDEX(tblPrices[cv_2020], MATCH(tblHuaweiUnits[[#This Row],[Products]],tblPrices[Products],0), 0)* tblHuaweiUnits[[#This Row],[cv_2020]]/10^6</f>
        <v>0</v>
      </c>
      <c r="P47" s="62" cm="1">
        <f t="array" ref="P47">INDEX(tblPrices[cv_2021], MATCH(tblHuaweiUnits[[#This Row],[Products]],tblPrices[Products],0), 0)* tblHuaweiUnits[[#This Row],[cv_2021]]/10^6</f>
        <v>0</v>
      </c>
      <c r="Q47" s="62" cm="1">
        <f t="array" ref="Q47">INDEX(tblPrices[cv_2022], MATCH(tblHuaweiUnits[[#This Row],[Products]],tblPrices[Products],0), 0)* tblHuaweiUnits[[#This Row],[cv_2022]]/10^6</f>
        <v>0</v>
      </c>
      <c r="R47" s="62" cm="1">
        <f t="array" ref="R47">INDEX(tblPrices[cv_2023], MATCH(tblHuaweiUnits[[#This Row],[Products]],tblPrices[Products],0), 0)* tblHuaweiUnits[[#This Row],[cv_2023]]/10^6</f>
        <v>0</v>
      </c>
      <c r="S47" s="62" cm="1">
        <f t="array" ref="S47">INDEX(tblPrices[cv_2024], MATCH(tblHuaweiUnits[[#This Row],[Products]],tblPrices[Products],0), 0)* tblHuaweiUnits[[#This Row],[cv_2024]]/10^6</f>
        <v>0</v>
      </c>
      <c r="T47" s="62" cm="1">
        <f t="array" ref="T47">INDEX(tblPrices[cv_2025], MATCH(tblHuaweiUnits[[#This Row],[Products]],tblPrices[Products],0), 0)* tblHuaweiUnits[[#This Row],[cv_2025]]/10^6</f>
        <v>0</v>
      </c>
      <c r="U47" s="62" cm="1">
        <f t="array" ref="U47">INDEX(tblPrices[cv_2026], MATCH(tblHuaweiUnits[[#This Row],[Products]],tblPrices[Products],0), 0)* tblHuaweiUnits[[#This Row],[cv_2026]]/10^6</f>
        <v>0</v>
      </c>
      <c r="V47" s="62" cm="1">
        <f t="array" ref="V47">INDEX(tblPrices[cv_2027], MATCH(tblHuaweiUnits[[#This Row],[Products]],tblPrices[Products],0), 0)* tblHuaweiUnits[[#This Row],[cv_2027]]/10^6</f>
        <v>0</v>
      </c>
      <c r="W47" s="62" cm="1">
        <f t="array" ref="W47">INDEX(tblPrices[cv_2028], MATCH(tblHuaweiUnits[[#This Row],[Products]],tblPrices[Products],0), 0)* tblHuaweiUnits[[#This Row],[cv_2028]]/10^6</f>
        <v>0</v>
      </c>
      <c r="X47" s="1">
        <f>VLOOKUP(A47,Products!$A$29:$F$110,6,FALSE)</f>
        <v>100</v>
      </c>
    </row>
    <row r="48" spans="1:24" s="1" customFormat="1" ht="13.15">
      <c r="A48" s="9" t="s">
        <v>4</v>
      </c>
      <c r="B48" s="8">
        <v>108.18</v>
      </c>
      <c r="C48" s="8">
        <v>478.60800000000006</v>
      </c>
      <c r="D48" s="8"/>
      <c r="E48" s="8"/>
      <c r="F48" s="8"/>
      <c r="G48" s="8"/>
      <c r="H48" s="8"/>
      <c r="I48" s="8"/>
      <c r="J48" s="8"/>
      <c r="K48" s="8"/>
      <c r="L48" s="8"/>
      <c r="M48" s="62" cm="1">
        <f t="array" ref="M48">INDEX(tblPrices[cv_2018], MATCH(tblHuaweiUnits[[#This Row],[Products]],tblPrices[Products],0), 0)* tblHuaweiUnits[[#This Row],[cv_2018]]/10^6</f>
        <v>1.8390600000000003E-2</v>
      </c>
      <c r="N48" s="62" cm="1">
        <f t="array" ref="N48">INDEX(tblPrices[cv_2019], MATCH(tblHuaweiUnits[[#This Row],[Products]],tblPrices[Products],0), 0)* tblHuaweiUnits[[#This Row],[cv_2019]]/10^6</f>
        <v>5.9826000000000004E-2</v>
      </c>
      <c r="O48" s="62" cm="1">
        <f t="array" ref="O48">INDEX(tblPrices[cv_2020], MATCH(tblHuaweiUnits[[#This Row],[Products]],tblPrices[Products],0), 0)* tblHuaweiUnits[[#This Row],[cv_2020]]/10^6</f>
        <v>0</v>
      </c>
      <c r="P48" s="62" cm="1">
        <f t="array" ref="P48">INDEX(tblPrices[cv_2021], MATCH(tblHuaweiUnits[[#This Row],[Products]],tblPrices[Products],0), 0)* tblHuaweiUnits[[#This Row],[cv_2021]]/10^6</f>
        <v>0</v>
      </c>
      <c r="Q48" s="62" cm="1">
        <f t="array" ref="Q48">INDEX(tblPrices[cv_2022], MATCH(tblHuaweiUnits[[#This Row],[Products]],tblPrices[Products],0), 0)* tblHuaweiUnits[[#This Row],[cv_2022]]/10^6</f>
        <v>0</v>
      </c>
      <c r="R48" s="62" cm="1">
        <f t="array" ref="R48">INDEX(tblPrices[cv_2023], MATCH(tblHuaweiUnits[[#This Row],[Products]],tblPrices[Products],0), 0)* tblHuaweiUnits[[#This Row],[cv_2023]]/10^6</f>
        <v>0</v>
      </c>
      <c r="S48" s="62" cm="1">
        <f t="array" ref="S48">INDEX(tblPrices[cv_2024], MATCH(tblHuaweiUnits[[#This Row],[Products]],tblPrices[Products],0), 0)* tblHuaweiUnits[[#This Row],[cv_2024]]/10^6</f>
        <v>0</v>
      </c>
      <c r="T48" s="62" cm="1">
        <f t="array" ref="T48">INDEX(tblPrices[cv_2025], MATCH(tblHuaweiUnits[[#This Row],[Products]],tblPrices[Products],0), 0)* tblHuaweiUnits[[#This Row],[cv_2025]]/10^6</f>
        <v>0</v>
      </c>
      <c r="U48" s="62" cm="1">
        <f t="array" ref="U48">INDEX(tblPrices[cv_2026], MATCH(tblHuaweiUnits[[#This Row],[Products]],tblPrices[Products],0), 0)* tblHuaweiUnits[[#This Row],[cv_2026]]/10^6</f>
        <v>0</v>
      </c>
      <c r="V48" s="62" cm="1">
        <f t="array" ref="V48">INDEX(tblPrices[cv_2027], MATCH(tblHuaweiUnits[[#This Row],[Products]],tblPrices[Products],0), 0)* tblHuaweiUnits[[#This Row],[cv_2027]]/10^6</f>
        <v>0</v>
      </c>
      <c r="W48" s="62" cm="1">
        <f t="array" ref="W48">INDEX(tblPrices[cv_2028], MATCH(tblHuaweiUnits[[#This Row],[Products]],tblPrices[Products],0), 0)* tblHuaweiUnits[[#This Row],[cv_2028]]/10^6</f>
        <v>0</v>
      </c>
      <c r="X48" s="1">
        <f>VLOOKUP(A48,Products!$A$29:$F$110,6,FALSE)</f>
        <v>100</v>
      </c>
    </row>
    <row r="49" spans="1:24" s="1" customFormat="1" ht="13.15">
      <c r="A49" s="9" t="s">
        <v>5</v>
      </c>
      <c r="B49" s="8">
        <v>5813.5015083333337</v>
      </c>
      <c r="C49" s="8">
        <v>27519.028499999997</v>
      </c>
      <c r="D49" s="8"/>
      <c r="E49" s="8"/>
      <c r="F49" s="8"/>
      <c r="G49" s="8"/>
      <c r="H49" s="8"/>
      <c r="I49" s="8"/>
      <c r="J49" s="8"/>
      <c r="K49" s="8"/>
      <c r="L49" s="8"/>
      <c r="M49" s="62" cm="1">
        <f t="array" ref="M49">INDEX(tblPrices[cv_2018], MATCH(tblHuaweiUnits[[#This Row],[Products]],tblPrices[Products],0), 0)* tblHuaweiUnits[[#This Row],[cv_2018]]/10^6</f>
        <v>2.8486157390833333</v>
      </c>
      <c r="N49" s="62" cm="1">
        <f t="array" ref="N49">INDEX(tblPrices[cv_2019], MATCH(tblHuaweiUnits[[#This Row],[Products]],tblPrices[Products],0), 0)* tblHuaweiUnits[[#This Row],[cv_2019]]/10^6</f>
        <v>6.6045668399999986</v>
      </c>
      <c r="O49" s="62" cm="1">
        <f t="array" ref="O49">INDEX(tblPrices[cv_2020], MATCH(tblHuaweiUnits[[#This Row],[Products]],tblPrices[Products],0), 0)* tblHuaweiUnits[[#This Row],[cv_2020]]/10^6</f>
        <v>0</v>
      </c>
      <c r="P49" s="62" cm="1">
        <f t="array" ref="P49">INDEX(tblPrices[cv_2021], MATCH(tblHuaweiUnits[[#This Row],[Products]],tblPrices[Products],0), 0)* tblHuaweiUnits[[#This Row],[cv_2021]]/10^6</f>
        <v>0</v>
      </c>
      <c r="Q49" s="62" cm="1">
        <f t="array" ref="Q49">INDEX(tblPrices[cv_2022], MATCH(tblHuaweiUnits[[#This Row],[Products]],tblPrices[Products],0), 0)* tblHuaweiUnits[[#This Row],[cv_2022]]/10^6</f>
        <v>0</v>
      </c>
      <c r="R49" s="62" cm="1">
        <f t="array" ref="R49">INDEX(tblPrices[cv_2023], MATCH(tblHuaweiUnits[[#This Row],[Products]],tblPrices[Products],0), 0)* tblHuaweiUnits[[#This Row],[cv_2023]]/10^6</f>
        <v>0</v>
      </c>
      <c r="S49" s="62" cm="1">
        <f t="array" ref="S49">INDEX(tblPrices[cv_2024], MATCH(tblHuaweiUnits[[#This Row],[Products]],tblPrices[Products],0), 0)* tblHuaweiUnits[[#This Row],[cv_2024]]/10^6</f>
        <v>0</v>
      </c>
      <c r="T49" s="62" cm="1">
        <f t="array" ref="T49">INDEX(tblPrices[cv_2025], MATCH(tblHuaweiUnits[[#This Row],[Products]],tblPrices[Products],0), 0)* tblHuaweiUnits[[#This Row],[cv_2025]]/10^6</f>
        <v>0</v>
      </c>
      <c r="U49" s="62" cm="1">
        <f t="array" ref="U49">INDEX(tblPrices[cv_2026], MATCH(tblHuaweiUnits[[#This Row],[Products]],tblPrices[Products],0), 0)* tblHuaweiUnits[[#This Row],[cv_2026]]/10^6</f>
        <v>0</v>
      </c>
      <c r="V49" s="62" cm="1">
        <f t="array" ref="V49">INDEX(tblPrices[cv_2027], MATCH(tblHuaweiUnits[[#This Row],[Products]],tblPrices[Products],0), 0)* tblHuaweiUnits[[#This Row],[cv_2027]]/10^6</f>
        <v>0</v>
      </c>
      <c r="W49" s="62" cm="1">
        <f t="array" ref="W49">INDEX(tblPrices[cv_2028], MATCH(tblHuaweiUnits[[#This Row],[Products]],tblPrices[Products],0), 0)* tblHuaweiUnits[[#This Row],[cv_2028]]/10^6</f>
        <v>0</v>
      </c>
      <c r="X49" s="1">
        <f>VLOOKUP(A49,Products!$A$29:$F$110,6,FALSE)</f>
        <v>100</v>
      </c>
    </row>
    <row r="50" spans="1:24" s="1" customFormat="1" ht="13.15">
      <c r="A50" s="9" t="s">
        <v>6</v>
      </c>
      <c r="B50" s="8">
        <v>1798.7662701029412</v>
      </c>
      <c r="C50" s="8">
        <v>3769.5699009999994</v>
      </c>
      <c r="D50" s="8"/>
      <c r="E50" s="8"/>
      <c r="F50" s="8"/>
      <c r="G50" s="8"/>
      <c r="H50" s="8"/>
      <c r="I50" s="8"/>
      <c r="J50" s="8"/>
      <c r="K50" s="8"/>
      <c r="L50" s="8"/>
      <c r="M50" s="62" cm="1">
        <f t="array" ref="M50">INDEX(tblPrices[cv_2018], MATCH(tblHuaweiUnits[[#This Row],[Products]],tblPrices[Products],0), 0)* tblHuaweiUnits[[#This Row],[cv_2018]]/10^6</f>
        <v>1.4998703387167109</v>
      </c>
      <c r="N50" s="62" cm="1">
        <f t="array" ref="N50">INDEX(tblPrices[cv_2019], MATCH(tblHuaweiUnits[[#This Row],[Products]],tblPrices[Products],0), 0)* tblHuaweiUnits[[#This Row],[cv_2019]]/10^6</f>
        <v>1.9868919843529493</v>
      </c>
      <c r="O50" s="62" cm="1">
        <f t="array" ref="O50">INDEX(tblPrices[cv_2020], MATCH(tblHuaweiUnits[[#This Row],[Products]],tblPrices[Products],0), 0)* tblHuaweiUnits[[#This Row],[cv_2020]]/10^6</f>
        <v>0</v>
      </c>
      <c r="P50" s="62" cm="1">
        <f t="array" ref="P50">INDEX(tblPrices[cv_2021], MATCH(tblHuaweiUnits[[#This Row],[Products]],tblPrices[Products],0), 0)* tblHuaweiUnits[[#This Row],[cv_2021]]/10^6</f>
        <v>0</v>
      </c>
      <c r="Q50" s="62" cm="1">
        <f t="array" ref="Q50">INDEX(tblPrices[cv_2022], MATCH(tblHuaweiUnits[[#This Row],[Products]],tblPrices[Products],0), 0)* tblHuaweiUnits[[#This Row],[cv_2022]]/10^6</f>
        <v>0</v>
      </c>
      <c r="R50" s="62" cm="1">
        <f t="array" ref="R50">INDEX(tblPrices[cv_2023], MATCH(tblHuaweiUnits[[#This Row],[Products]],tblPrices[Products],0), 0)* tblHuaweiUnits[[#This Row],[cv_2023]]/10^6</f>
        <v>0</v>
      </c>
      <c r="S50" s="62" cm="1">
        <f t="array" ref="S50">INDEX(tblPrices[cv_2024], MATCH(tblHuaweiUnits[[#This Row],[Products]],tblPrices[Products],0), 0)* tblHuaweiUnits[[#This Row],[cv_2024]]/10^6</f>
        <v>0</v>
      </c>
      <c r="T50" s="62" cm="1">
        <f t="array" ref="T50">INDEX(tblPrices[cv_2025], MATCH(tblHuaweiUnits[[#This Row],[Products]],tblPrices[Products],0), 0)* tblHuaweiUnits[[#This Row],[cv_2025]]/10^6</f>
        <v>0</v>
      </c>
      <c r="U50" s="62" cm="1">
        <f t="array" ref="U50">INDEX(tblPrices[cv_2026], MATCH(tblHuaweiUnits[[#This Row],[Products]],tblPrices[Products],0), 0)* tblHuaweiUnits[[#This Row],[cv_2026]]/10^6</f>
        <v>0</v>
      </c>
      <c r="V50" s="62" cm="1">
        <f t="array" ref="V50">INDEX(tblPrices[cv_2027], MATCH(tblHuaweiUnits[[#This Row],[Products]],tblPrices[Products],0), 0)* tblHuaweiUnits[[#This Row],[cv_2027]]/10^6</f>
        <v>0</v>
      </c>
      <c r="W50" s="62" cm="1">
        <f t="array" ref="W50">INDEX(tblPrices[cv_2028], MATCH(tblHuaweiUnits[[#This Row],[Products]],tblPrices[Products],0), 0)* tblHuaweiUnits[[#This Row],[cv_2028]]/10^6</f>
        <v>0</v>
      </c>
      <c r="X50" s="1">
        <f>VLOOKUP(A50,Products!$A$29:$F$110,6,FALSE)</f>
        <v>100</v>
      </c>
    </row>
    <row r="51" spans="1:24" s="1" customFormat="1" ht="13.15">
      <c r="A51" s="9" t="s">
        <v>7</v>
      </c>
      <c r="B51" s="8">
        <v>264.00000000000006</v>
      </c>
      <c r="C51" s="8">
        <v>689.08704000000012</v>
      </c>
      <c r="D51" s="8"/>
      <c r="E51" s="8"/>
      <c r="F51" s="8"/>
      <c r="G51" s="8"/>
      <c r="H51" s="8"/>
      <c r="I51" s="8"/>
      <c r="J51" s="8"/>
      <c r="K51" s="8"/>
      <c r="L51" s="8"/>
      <c r="M51" s="62" cm="1">
        <f t="array" ref="M51">INDEX(tblPrices[cv_2018], MATCH(tblHuaweiUnits[[#This Row],[Products]],tblPrices[Products],0), 0)* tblHuaweiUnits[[#This Row],[cv_2018]]/10^6</f>
        <v>7.920000000000002E-2</v>
      </c>
      <c r="N51" s="62" cm="1">
        <f t="array" ref="N51">INDEX(tblPrices[cv_2019], MATCH(tblHuaweiUnits[[#This Row],[Products]],tblPrices[Products],0), 0)* tblHuaweiUnits[[#This Row],[cv_2019]]/10^6</f>
        <v>0.14210252570825233</v>
      </c>
      <c r="O51" s="62" cm="1">
        <f t="array" ref="O51">INDEX(tblPrices[cv_2020], MATCH(tblHuaweiUnits[[#This Row],[Products]],tblPrices[Products],0), 0)* tblHuaweiUnits[[#This Row],[cv_2020]]/10^6</f>
        <v>0</v>
      </c>
      <c r="P51" s="62" cm="1">
        <f t="array" ref="P51">INDEX(tblPrices[cv_2021], MATCH(tblHuaweiUnits[[#This Row],[Products]],tblPrices[Products],0), 0)* tblHuaweiUnits[[#This Row],[cv_2021]]/10^6</f>
        <v>0</v>
      </c>
      <c r="Q51" s="62" cm="1">
        <f t="array" ref="Q51">INDEX(tblPrices[cv_2022], MATCH(tblHuaweiUnits[[#This Row],[Products]],tblPrices[Products],0), 0)* tblHuaweiUnits[[#This Row],[cv_2022]]/10^6</f>
        <v>0</v>
      </c>
      <c r="R51" s="62" cm="1">
        <f t="array" ref="R51">INDEX(tblPrices[cv_2023], MATCH(tblHuaweiUnits[[#This Row],[Products]],tblPrices[Products],0), 0)* tblHuaweiUnits[[#This Row],[cv_2023]]/10^6</f>
        <v>0</v>
      </c>
      <c r="S51" s="62" cm="1">
        <f t="array" ref="S51">INDEX(tblPrices[cv_2024], MATCH(tblHuaweiUnits[[#This Row],[Products]],tblPrices[Products],0), 0)* tblHuaweiUnits[[#This Row],[cv_2024]]/10^6</f>
        <v>0</v>
      </c>
      <c r="T51" s="62" cm="1">
        <f t="array" ref="T51">INDEX(tblPrices[cv_2025], MATCH(tblHuaweiUnits[[#This Row],[Products]],tblPrices[Products],0), 0)* tblHuaweiUnits[[#This Row],[cv_2025]]/10^6</f>
        <v>0</v>
      </c>
      <c r="U51" s="62" cm="1">
        <f t="array" ref="U51">INDEX(tblPrices[cv_2026], MATCH(tblHuaweiUnits[[#This Row],[Products]],tblPrices[Products],0), 0)* tblHuaweiUnits[[#This Row],[cv_2026]]/10^6</f>
        <v>0</v>
      </c>
      <c r="V51" s="62" cm="1">
        <f t="array" ref="V51">INDEX(tblPrices[cv_2027], MATCH(tblHuaweiUnits[[#This Row],[Products]],tblPrices[Products],0), 0)* tblHuaweiUnits[[#This Row],[cv_2027]]/10^6</f>
        <v>0</v>
      </c>
      <c r="W51" s="62" cm="1">
        <f t="array" ref="W51">INDEX(tblPrices[cv_2028], MATCH(tblHuaweiUnits[[#This Row],[Products]],tblPrices[Products],0), 0)* tblHuaweiUnits[[#This Row],[cv_2028]]/10^6</f>
        <v>0</v>
      </c>
      <c r="X51" s="1">
        <f>VLOOKUP(A51,Products!$A$29:$F$110,6,FALSE)</f>
        <v>100</v>
      </c>
    </row>
    <row r="52" spans="1:24" s="1" customFormat="1" ht="13.15">
      <c r="A52" s="9" t="s">
        <v>8</v>
      </c>
      <c r="B52" s="8">
        <v>0</v>
      </c>
      <c r="C52" s="8">
        <v>65.423999999999992</v>
      </c>
      <c r="D52" s="8"/>
      <c r="E52" s="8"/>
      <c r="F52" s="8"/>
      <c r="G52" s="8"/>
      <c r="H52" s="8"/>
      <c r="I52" s="8"/>
      <c r="J52" s="8"/>
      <c r="K52" s="8"/>
      <c r="L52" s="8"/>
      <c r="M52" s="62" cm="1">
        <f t="array" ref="M52">INDEX(tblPrices[cv_2018], MATCH(tblHuaweiUnits[[#This Row],[Products]],tblPrices[Products],0), 0)* tblHuaweiUnits[[#This Row],[cv_2018]]/10^6</f>
        <v>0</v>
      </c>
      <c r="N52" s="62" cm="1">
        <f t="array" ref="N52">INDEX(tblPrices[cv_2019], MATCH(tblHuaweiUnits[[#This Row],[Products]],tblPrices[Products],0), 0)* tblHuaweiUnits[[#This Row],[cv_2019]]/10^6</f>
        <v>0.11172097599718053</v>
      </c>
      <c r="O52" s="62" cm="1">
        <f t="array" ref="O52">INDEX(tblPrices[cv_2020], MATCH(tblHuaweiUnits[[#This Row],[Products]],tblPrices[Products],0), 0)* tblHuaweiUnits[[#This Row],[cv_2020]]/10^6</f>
        <v>0</v>
      </c>
      <c r="P52" s="62" cm="1">
        <f t="array" ref="P52">INDEX(tblPrices[cv_2021], MATCH(tblHuaweiUnits[[#This Row],[Products]],tblPrices[Products],0), 0)* tblHuaweiUnits[[#This Row],[cv_2021]]/10^6</f>
        <v>0</v>
      </c>
      <c r="Q52" s="62" cm="1">
        <f t="array" ref="Q52">INDEX(tblPrices[cv_2022], MATCH(tblHuaweiUnits[[#This Row],[Products]],tblPrices[Products],0), 0)* tblHuaweiUnits[[#This Row],[cv_2022]]/10^6</f>
        <v>0</v>
      </c>
      <c r="R52" s="62" cm="1">
        <f t="array" ref="R52">INDEX(tblPrices[cv_2023], MATCH(tblHuaweiUnits[[#This Row],[Products]],tblPrices[Products],0), 0)* tblHuaweiUnits[[#This Row],[cv_2023]]/10^6</f>
        <v>0</v>
      </c>
      <c r="S52" s="62" cm="1">
        <f t="array" ref="S52">INDEX(tblPrices[cv_2024], MATCH(tblHuaweiUnits[[#This Row],[Products]],tblPrices[Products],0), 0)* tblHuaweiUnits[[#This Row],[cv_2024]]/10^6</f>
        <v>0</v>
      </c>
      <c r="T52" s="62" cm="1">
        <f t="array" ref="T52">INDEX(tblPrices[cv_2025], MATCH(tblHuaweiUnits[[#This Row],[Products]],tblPrices[Products],0), 0)* tblHuaweiUnits[[#This Row],[cv_2025]]/10^6</f>
        <v>0</v>
      </c>
      <c r="U52" s="62" cm="1">
        <f t="array" ref="U52">INDEX(tblPrices[cv_2026], MATCH(tblHuaweiUnits[[#This Row],[Products]],tblPrices[Products],0), 0)* tblHuaweiUnits[[#This Row],[cv_2026]]/10^6</f>
        <v>0</v>
      </c>
      <c r="V52" s="62" cm="1">
        <f t="array" ref="V52">INDEX(tblPrices[cv_2027], MATCH(tblHuaweiUnits[[#This Row],[Products]],tblPrices[Products],0), 0)* tblHuaweiUnits[[#This Row],[cv_2027]]/10^6</f>
        <v>0</v>
      </c>
      <c r="W52" s="62" cm="1">
        <f t="array" ref="W52">INDEX(tblPrices[cv_2028], MATCH(tblHuaweiUnits[[#This Row],[Products]],tblPrices[Products],0), 0)* tblHuaweiUnits[[#This Row],[cv_2028]]/10^6</f>
        <v>0</v>
      </c>
      <c r="X52" s="1">
        <f>VLOOKUP(A52,Products!$A$29:$F$110,6,FALSE)</f>
        <v>100</v>
      </c>
    </row>
    <row r="53" spans="1:24" s="1" customFormat="1" ht="13.15">
      <c r="A53" s="9" t="s">
        <v>44</v>
      </c>
      <c r="B53" s="8">
        <v>0</v>
      </c>
      <c r="C53" s="8">
        <v>0</v>
      </c>
      <c r="D53" s="8"/>
      <c r="E53" s="8"/>
      <c r="F53" s="8"/>
      <c r="G53" s="8"/>
      <c r="H53" s="8"/>
      <c r="I53" s="8"/>
      <c r="J53" s="8"/>
      <c r="K53" s="8"/>
      <c r="L53" s="8"/>
      <c r="M53" s="62" cm="1">
        <f t="array" ref="M53">INDEX(tblPrices[cv_2018], MATCH(tblHuaweiUnits[[#This Row],[Products]],tblPrices[Products],0), 0)* tblHuaweiUnits[[#This Row],[cv_2018]]/10^6</f>
        <v>0</v>
      </c>
      <c r="N53" s="62" cm="1">
        <f t="array" ref="N53">INDEX(tblPrices[cv_2019], MATCH(tblHuaweiUnits[[#This Row],[Products]],tblPrices[Products],0), 0)* tblHuaweiUnits[[#This Row],[cv_2019]]/10^6</f>
        <v>0</v>
      </c>
      <c r="O53" s="62" cm="1">
        <f t="array" ref="O53">INDEX(tblPrices[cv_2020], MATCH(tblHuaweiUnits[[#This Row],[Products]],tblPrices[Products],0), 0)* tblHuaweiUnits[[#This Row],[cv_2020]]/10^6</f>
        <v>0</v>
      </c>
      <c r="P53" s="62" cm="1">
        <f t="array" ref="P53">INDEX(tblPrices[cv_2021], MATCH(tblHuaweiUnits[[#This Row],[Products]],tblPrices[Products],0), 0)* tblHuaweiUnits[[#This Row],[cv_2021]]/10^6</f>
        <v>0</v>
      </c>
      <c r="Q53" s="62" cm="1">
        <f t="array" ref="Q53">INDEX(tblPrices[cv_2022], MATCH(tblHuaweiUnits[[#This Row],[Products]],tblPrices[Products],0), 0)* tblHuaweiUnits[[#This Row],[cv_2022]]/10^6</f>
        <v>0</v>
      </c>
      <c r="R53" s="62" cm="1">
        <f t="array" ref="R53">INDEX(tblPrices[cv_2023], MATCH(tblHuaweiUnits[[#This Row],[Products]],tblPrices[Products],0), 0)* tblHuaweiUnits[[#This Row],[cv_2023]]/10^6</f>
        <v>0</v>
      </c>
      <c r="S53" s="62" cm="1">
        <f t="array" ref="S53">INDEX(tblPrices[cv_2024], MATCH(tblHuaweiUnits[[#This Row],[Products]],tblPrices[Products],0), 0)* tblHuaweiUnits[[#This Row],[cv_2024]]/10^6</f>
        <v>0</v>
      </c>
      <c r="T53" s="62" cm="1">
        <f t="array" ref="T53">INDEX(tblPrices[cv_2025], MATCH(tblHuaweiUnits[[#This Row],[Products]],tblPrices[Products],0), 0)* tblHuaweiUnits[[#This Row],[cv_2025]]/10^6</f>
        <v>0</v>
      </c>
      <c r="U53" s="62" cm="1">
        <f t="array" ref="U53">INDEX(tblPrices[cv_2026], MATCH(tblHuaweiUnits[[#This Row],[Products]],tblPrices[Products],0), 0)* tblHuaweiUnits[[#This Row],[cv_2026]]/10^6</f>
        <v>0</v>
      </c>
      <c r="V53" s="62" cm="1">
        <f t="array" ref="V53">INDEX(tblPrices[cv_2027], MATCH(tblHuaweiUnits[[#This Row],[Products]],tblPrices[Products],0), 0)* tblHuaweiUnits[[#This Row],[cv_2027]]/10^6</f>
        <v>0</v>
      </c>
      <c r="W53" s="62" cm="1">
        <f t="array" ref="W53">INDEX(tblPrices[cv_2028], MATCH(tblHuaweiUnits[[#This Row],[Products]],tblPrices[Products],0), 0)* tblHuaweiUnits[[#This Row],[cv_2028]]/10^6</f>
        <v>0</v>
      </c>
      <c r="X53" s="1">
        <f>VLOOKUP(A53,Products!$A$29:$F$110,6,FALSE)</f>
        <v>100</v>
      </c>
    </row>
    <row r="54" spans="1:24" s="1" customFormat="1" ht="13.15">
      <c r="A54" s="9" t="s">
        <v>45</v>
      </c>
      <c r="B54" s="8">
        <v>0</v>
      </c>
      <c r="C54" s="8">
        <v>0</v>
      </c>
      <c r="D54" s="8"/>
      <c r="E54" s="8"/>
      <c r="F54" s="8"/>
      <c r="G54" s="8"/>
      <c r="H54" s="8"/>
      <c r="I54" s="8"/>
      <c r="J54" s="8"/>
      <c r="K54" s="8"/>
      <c r="L54" s="8"/>
      <c r="M54" s="62" cm="1">
        <f t="array" ref="M54">INDEX(tblPrices[cv_2018], MATCH(tblHuaweiUnits[[#This Row],[Products]],tblPrices[Products],0), 0)* tblHuaweiUnits[[#This Row],[cv_2018]]/10^6</f>
        <v>0</v>
      </c>
      <c r="N54" s="62" cm="1">
        <f t="array" ref="N54">INDEX(tblPrices[cv_2019], MATCH(tblHuaweiUnits[[#This Row],[Products]],tblPrices[Products],0), 0)* tblHuaweiUnits[[#This Row],[cv_2019]]/10^6</f>
        <v>0</v>
      </c>
      <c r="O54" s="62" cm="1">
        <f t="array" ref="O54">INDEX(tblPrices[cv_2020], MATCH(tblHuaweiUnits[[#This Row],[Products]],tblPrices[Products],0), 0)* tblHuaweiUnits[[#This Row],[cv_2020]]/10^6</f>
        <v>0</v>
      </c>
      <c r="P54" s="62" cm="1">
        <f t="array" ref="P54">INDEX(tblPrices[cv_2021], MATCH(tblHuaweiUnits[[#This Row],[Products]],tblPrices[Products],0), 0)* tblHuaweiUnits[[#This Row],[cv_2021]]/10^6</f>
        <v>0</v>
      </c>
      <c r="Q54" s="62" cm="1">
        <f t="array" ref="Q54">INDEX(tblPrices[cv_2022], MATCH(tblHuaweiUnits[[#This Row],[Products]],tblPrices[Products],0), 0)* tblHuaweiUnits[[#This Row],[cv_2022]]/10^6</f>
        <v>0</v>
      </c>
      <c r="R54" s="62" cm="1">
        <f t="array" ref="R54">INDEX(tblPrices[cv_2023], MATCH(tblHuaweiUnits[[#This Row],[Products]],tblPrices[Products],0), 0)* tblHuaweiUnits[[#This Row],[cv_2023]]/10^6</f>
        <v>0</v>
      </c>
      <c r="S54" s="62" cm="1">
        <f t="array" ref="S54">INDEX(tblPrices[cv_2024], MATCH(tblHuaweiUnits[[#This Row],[Products]],tblPrices[Products],0), 0)* tblHuaweiUnits[[#This Row],[cv_2024]]/10^6</f>
        <v>0</v>
      </c>
      <c r="T54" s="62" cm="1">
        <f t="array" ref="T54">INDEX(tblPrices[cv_2025], MATCH(tblHuaweiUnits[[#This Row],[Products]],tblPrices[Products],0), 0)* tblHuaweiUnits[[#This Row],[cv_2025]]/10^6</f>
        <v>0</v>
      </c>
      <c r="U54" s="62" cm="1">
        <f t="array" ref="U54">INDEX(tblPrices[cv_2026], MATCH(tblHuaweiUnits[[#This Row],[Products]],tblPrices[Products],0), 0)* tblHuaweiUnits[[#This Row],[cv_2026]]/10^6</f>
        <v>0</v>
      </c>
      <c r="V54" s="62" cm="1">
        <f t="array" ref="V54">INDEX(tblPrices[cv_2027], MATCH(tblHuaweiUnits[[#This Row],[Products]],tblPrices[Products],0), 0)* tblHuaweiUnits[[#This Row],[cv_2027]]/10^6</f>
        <v>0</v>
      </c>
      <c r="W54" s="62" cm="1">
        <f t="array" ref="W54">INDEX(tblPrices[cv_2028], MATCH(tblHuaweiUnits[[#This Row],[Products]],tblPrices[Products],0), 0)* tblHuaweiUnits[[#This Row],[cv_2028]]/10^6</f>
        <v>0</v>
      </c>
      <c r="X54" s="1">
        <f>VLOOKUP(A54,Products!$A$29:$F$110,6,FALSE)</f>
        <v>100</v>
      </c>
    </row>
    <row r="55" spans="1:24" s="1" customFormat="1" ht="13.15">
      <c r="A55" s="9" t="s">
        <v>47</v>
      </c>
      <c r="B55" s="8">
        <v>0</v>
      </c>
      <c r="C55" s="8">
        <v>0</v>
      </c>
      <c r="D55" s="8"/>
      <c r="E55" s="8"/>
      <c r="F55" s="8"/>
      <c r="G55" s="8"/>
      <c r="H55" s="8"/>
      <c r="I55" s="8"/>
      <c r="J55" s="8"/>
      <c r="K55" s="8"/>
      <c r="L55" s="8"/>
      <c r="M55" s="62" cm="1">
        <f t="array" ref="M55">INDEX(tblPrices[cv_2018], MATCH(tblHuaweiUnits[[#This Row],[Products]],tblPrices[Products],0), 0)* tblHuaweiUnits[[#This Row],[cv_2018]]/10^6</f>
        <v>0</v>
      </c>
      <c r="N55" s="62" cm="1">
        <f t="array" ref="N55">INDEX(tblPrices[cv_2019], MATCH(tblHuaweiUnits[[#This Row],[Products]],tblPrices[Products],0), 0)* tblHuaweiUnits[[#This Row],[cv_2019]]/10^6</f>
        <v>0</v>
      </c>
      <c r="O55" s="62" cm="1">
        <f t="array" ref="O55">INDEX(tblPrices[cv_2020], MATCH(tblHuaweiUnits[[#This Row],[Products]],tblPrices[Products],0), 0)* tblHuaweiUnits[[#This Row],[cv_2020]]/10^6</f>
        <v>0</v>
      </c>
      <c r="P55" s="62" cm="1">
        <f t="array" ref="P55">INDEX(tblPrices[cv_2021], MATCH(tblHuaweiUnits[[#This Row],[Products]],tblPrices[Products],0), 0)* tblHuaweiUnits[[#This Row],[cv_2021]]/10^6</f>
        <v>0</v>
      </c>
      <c r="Q55" s="62" cm="1">
        <f t="array" ref="Q55">INDEX(tblPrices[cv_2022], MATCH(tblHuaweiUnits[[#This Row],[Products]],tblPrices[Products],0), 0)* tblHuaweiUnits[[#This Row],[cv_2022]]/10^6</f>
        <v>0</v>
      </c>
      <c r="R55" s="62" cm="1">
        <f t="array" ref="R55">INDEX(tblPrices[cv_2023], MATCH(tblHuaweiUnits[[#This Row],[Products]],tblPrices[Products],0), 0)* tblHuaweiUnits[[#This Row],[cv_2023]]/10^6</f>
        <v>0</v>
      </c>
      <c r="S55" s="62" cm="1">
        <f t="array" ref="S55">INDEX(tblPrices[cv_2024], MATCH(tblHuaweiUnits[[#This Row],[Products]],tblPrices[Products],0), 0)* tblHuaweiUnits[[#This Row],[cv_2024]]/10^6</f>
        <v>0</v>
      </c>
      <c r="T55" s="62" cm="1">
        <f t="array" ref="T55">INDEX(tblPrices[cv_2025], MATCH(tblHuaweiUnits[[#This Row],[Products]],tblPrices[Products],0), 0)* tblHuaweiUnits[[#This Row],[cv_2025]]/10^6</f>
        <v>0</v>
      </c>
      <c r="U55" s="62" cm="1">
        <f t="array" ref="U55">INDEX(tblPrices[cv_2026], MATCH(tblHuaweiUnits[[#This Row],[Products]],tblPrices[Products],0), 0)* tblHuaweiUnits[[#This Row],[cv_2026]]/10^6</f>
        <v>0</v>
      </c>
      <c r="V55" s="62" cm="1">
        <f t="array" ref="V55">INDEX(tblPrices[cv_2027], MATCH(tblHuaweiUnits[[#This Row],[Products]],tblPrices[Products],0), 0)* tblHuaweiUnits[[#This Row],[cv_2027]]/10^6</f>
        <v>0</v>
      </c>
      <c r="W55" s="62" cm="1">
        <f t="array" ref="W55">INDEX(tblPrices[cv_2028], MATCH(tblHuaweiUnits[[#This Row],[Products]],tblPrices[Products],0), 0)* tblHuaweiUnits[[#This Row],[cv_2028]]/10^6</f>
        <v>0</v>
      </c>
      <c r="X55" s="1">
        <f>VLOOKUP(A55,Products!$A$29:$F$110,6,FALSE)</f>
        <v>200</v>
      </c>
    </row>
    <row r="56" spans="1:24" s="1" customFormat="1" ht="13.15">
      <c r="A56" s="9" t="s">
        <v>41</v>
      </c>
      <c r="B56" s="8">
        <v>0</v>
      </c>
      <c r="C56" s="8">
        <v>0</v>
      </c>
      <c r="D56" s="8"/>
      <c r="E56" s="8"/>
      <c r="F56" s="8"/>
      <c r="G56" s="8"/>
      <c r="H56" s="8"/>
      <c r="I56" s="8"/>
      <c r="J56" s="8"/>
      <c r="K56" s="8"/>
      <c r="L56" s="8"/>
      <c r="M56" s="62" cm="1">
        <f t="array" ref="M56">INDEX(tblPrices[cv_2018], MATCH(tblHuaweiUnits[[#This Row],[Products]],tblPrices[Products],0), 0)* tblHuaweiUnits[[#This Row],[cv_2018]]/10^6</f>
        <v>0</v>
      </c>
      <c r="N56" s="62" cm="1">
        <f t="array" ref="N56">INDEX(tblPrices[cv_2019], MATCH(tblHuaweiUnits[[#This Row],[Products]],tblPrices[Products],0), 0)* tblHuaweiUnits[[#This Row],[cv_2019]]/10^6</f>
        <v>0</v>
      </c>
      <c r="O56" s="62" cm="1">
        <f t="array" ref="O56">INDEX(tblPrices[cv_2020], MATCH(tblHuaweiUnits[[#This Row],[Products]],tblPrices[Products],0), 0)* tblHuaweiUnits[[#This Row],[cv_2020]]/10^6</f>
        <v>0</v>
      </c>
      <c r="P56" s="62" cm="1">
        <f t="array" ref="P56">INDEX(tblPrices[cv_2021], MATCH(tblHuaweiUnits[[#This Row],[Products]],tblPrices[Products],0), 0)* tblHuaweiUnits[[#This Row],[cv_2021]]/10^6</f>
        <v>0</v>
      </c>
      <c r="Q56" s="62" cm="1">
        <f t="array" ref="Q56">INDEX(tblPrices[cv_2022], MATCH(tblHuaweiUnits[[#This Row],[Products]],tblPrices[Products],0), 0)* tblHuaweiUnits[[#This Row],[cv_2022]]/10^6</f>
        <v>0</v>
      </c>
      <c r="R56" s="62" cm="1">
        <f t="array" ref="R56">INDEX(tblPrices[cv_2023], MATCH(tblHuaweiUnits[[#This Row],[Products]],tblPrices[Products],0), 0)* tblHuaweiUnits[[#This Row],[cv_2023]]/10^6</f>
        <v>0</v>
      </c>
      <c r="S56" s="62" cm="1">
        <f t="array" ref="S56">INDEX(tblPrices[cv_2024], MATCH(tblHuaweiUnits[[#This Row],[Products]],tblPrices[Products],0), 0)* tblHuaweiUnits[[#This Row],[cv_2024]]/10^6</f>
        <v>0</v>
      </c>
      <c r="T56" s="62" cm="1">
        <f t="array" ref="T56">INDEX(tblPrices[cv_2025], MATCH(tblHuaweiUnits[[#This Row],[Products]],tblPrices[Products],0), 0)* tblHuaweiUnits[[#This Row],[cv_2025]]/10^6</f>
        <v>0</v>
      </c>
      <c r="U56" s="62" cm="1">
        <f t="array" ref="U56">INDEX(tblPrices[cv_2026], MATCH(tblHuaweiUnits[[#This Row],[Products]],tblPrices[Products],0), 0)* tblHuaweiUnits[[#This Row],[cv_2026]]/10^6</f>
        <v>0</v>
      </c>
      <c r="V56" s="62" cm="1">
        <f t="array" ref="V56">INDEX(tblPrices[cv_2027], MATCH(tblHuaweiUnits[[#This Row],[Products]],tblPrices[Products],0), 0)* tblHuaweiUnits[[#This Row],[cv_2027]]/10^6</f>
        <v>0</v>
      </c>
      <c r="W56" s="62" cm="1">
        <f t="array" ref="W56">INDEX(tblPrices[cv_2028], MATCH(tblHuaweiUnits[[#This Row],[Products]],tblPrices[Products],0), 0)* tblHuaweiUnits[[#This Row],[cv_2028]]/10^6</f>
        <v>0</v>
      </c>
      <c r="X56" s="1">
        <f>VLOOKUP(A56,Products!$A$29:$F$110,6,FALSE)</f>
        <v>200</v>
      </c>
    </row>
    <row r="57" spans="1:24" s="1" customFormat="1" ht="13.15">
      <c r="A57" s="9" t="s">
        <v>9</v>
      </c>
      <c r="B57" s="8">
        <v>0</v>
      </c>
      <c r="C57" s="8">
        <v>0</v>
      </c>
      <c r="D57" s="8"/>
      <c r="E57" s="8"/>
      <c r="F57" s="8"/>
      <c r="G57" s="8"/>
      <c r="H57" s="8"/>
      <c r="I57" s="8"/>
      <c r="J57" s="8"/>
      <c r="K57" s="8"/>
      <c r="L57" s="8"/>
      <c r="M57" s="62" cm="1">
        <f t="array" ref="M57">INDEX(tblPrices[cv_2018], MATCH(tblHuaweiUnits[[#This Row],[Products]],tblPrices[Products],0), 0)* tblHuaweiUnits[[#This Row],[cv_2018]]/10^6</f>
        <v>0</v>
      </c>
      <c r="N57" s="62" cm="1">
        <f t="array" ref="N57">INDEX(tblPrices[cv_2019], MATCH(tblHuaweiUnits[[#This Row],[Products]],tblPrices[Products],0), 0)* tblHuaweiUnits[[#This Row],[cv_2019]]/10^6</f>
        <v>0</v>
      </c>
      <c r="O57" s="62" cm="1">
        <f t="array" ref="O57">INDEX(tblPrices[cv_2020], MATCH(tblHuaweiUnits[[#This Row],[Products]],tblPrices[Products],0), 0)* tblHuaweiUnits[[#This Row],[cv_2020]]/10^6</f>
        <v>0</v>
      </c>
      <c r="P57" s="62" cm="1">
        <f t="array" ref="P57">INDEX(tblPrices[cv_2021], MATCH(tblHuaweiUnits[[#This Row],[Products]],tblPrices[Products],0), 0)* tblHuaweiUnits[[#This Row],[cv_2021]]/10^6</f>
        <v>0</v>
      </c>
      <c r="Q57" s="62" cm="1">
        <f t="array" ref="Q57">INDEX(tblPrices[cv_2022], MATCH(tblHuaweiUnits[[#This Row],[Products]],tblPrices[Products],0), 0)* tblHuaweiUnits[[#This Row],[cv_2022]]/10^6</f>
        <v>0</v>
      </c>
      <c r="R57" s="62" cm="1">
        <f t="array" ref="R57">INDEX(tblPrices[cv_2023], MATCH(tblHuaweiUnits[[#This Row],[Products]],tblPrices[Products],0), 0)* tblHuaweiUnits[[#This Row],[cv_2023]]/10^6</f>
        <v>0</v>
      </c>
      <c r="S57" s="62" cm="1">
        <f t="array" ref="S57">INDEX(tblPrices[cv_2024], MATCH(tblHuaweiUnits[[#This Row],[Products]],tblPrices[Products],0), 0)* tblHuaweiUnits[[#This Row],[cv_2024]]/10^6</f>
        <v>0</v>
      </c>
      <c r="T57" s="62" cm="1">
        <f t="array" ref="T57">INDEX(tblPrices[cv_2025], MATCH(tblHuaweiUnits[[#This Row],[Products]],tblPrices[Products],0), 0)* tblHuaweiUnits[[#This Row],[cv_2025]]/10^6</f>
        <v>0</v>
      </c>
      <c r="U57" s="62" cm="1">
        <f t="array" ref="U57">INDEX(tblPrices[cv_2026], MATCH(tblHuaweiUnits[[#This Row],[Products]],tblPrices[Products],0), 0)* tblHuaweiUnits[[#This Row],[cv_2026]]/10^6</f>
        <v>0</v>
      </c>
      <c r="V57" s="62" cm="1">
        <f t="array" ref="V57">INDEX(tblPrices[cv_2027], MATCH(tblHuaweiUnits[[#This Row],[Products]],tblPrices[Products],0), 0)* tblHuaweiUnits[[#This Row],[cv_2027]]/10^6</f>
        <v>0</v>
      </c>
      <c r="W57" s="62" cm="1">
        <f t="array" ref="W57">INDEX(tblPrices[cv_2028], MATCH(tblHuaweiUnits[[#This Row],[Products]],tblPrices[Products],0), 0)* tblHuaweiUnits[[#This Row],[cv_2028]]/10^6</f>
        <v>0</v>
      </c>
      <c r="X57" s="1">
        <f>VLOOKUP(A57,Products!$A$29:$F$110,6,FALSE)</f>
        <v>400</v>
      </c>
    </row>
    <row r="58" spans="1:24" s="1" customFormat="1" ht="13.15">
      <c r="A58" s="9" t="s">
        <v>339</v>
      </c>
      <c r="B58" s="8">
        <v>0</v>
      </c>
      <c r="C58" s="8">
        <v>0</v>
      </c>
      <c r="D58" s="8"/>
      <c r="E58" s="8"/>
      <c r="F58" s="8"/>
      <c r="G58" s="8"/>
      <c r="H58" s="8"/>
      <c r="I58" s="8"/>
      <c r="J58" s="8"/>
      <c r="K58" s="8"/>
      <c r="L58" s="8"/>
      <c r="M58" s="62" cm="1">
        <f t="array" ref="M58">INDEX(tblPrices[cv_2018], MATCH(tblHuaweiUnits[[#This Row],[Products]],tblPrices[Products],0), 0)* tblHuaweiUnits[[#This Row],[cv_2018]]/10^6</f>
        <v>0</v>
      </c>
      <c r="N58" s="62" cm="1">
        <f t="array" ref="N58">INDEX(tblPrices[cv_2019], MATCH(tblHuaweiUnits[[#This Row],[Products]],tblPrices[Products],0), 0)* tblHuaweiUnits[[#This Row],[cv_2019]]/10^6</f>
        <v>0</v>
      </c>
      <c r="O58" s="62" cm="1">
        <f t="array" ref="O58">INDEX(tblPrices[cv_2020], MATCH(tblHuaweiUnits[[#This Row],[Products]],tblPrices[Products],0), 0)* tblHuaweiUnits[[#This Row],[cv_2020]]/10^6</f>
        <v>0</v>
      </c>
      <c r="P58" s="62" cm="1">
        <f t="array" ref="P58">INDEX(tblPrices[cv_2021], MATCH(tblHuaweiUnits[[#This Row],[Products]],tblPrices[Products],0), 0)* tblHuaweiUnits[[#This Row],[cv_2021]]/10^6</f>
        <v>0</v>
      </c>
      <c r="Q58" s="62" cm="1">
        <f t="array" ref="Q58">INDEX(tblPrices[cv_2022], MATCH(tblHuaweiUnits[[#This Row],[Products]],tblPrices[Products],0), 0)* tblHuaweiUnits[[#This Row],[cv_2022]]/10^6</f>
        <v>0</v>
      </c>
      <c r="R58" s="62" cm="1">
        <f t="array" ref="R58">INDEX(tblPrices[cv_2023], MATCH(tblHuaweiUnits[[#This Row],[Products]],tblPrices[Products],0), 0)* tblHuaweiUnits[[#This Row],[cv_2023]]/10^6</f>
        <v>0</v>
      </c>
      <c r="S58" s="62" cm="1">
        <f t="array" ref="S58">INDEX(tblPrices[cv_2024], MATCH(tblHuaweiUnits[[#This Row],[Products]],tblPrices[Products],0), 0)* tblHuaweiUnits[[#This Row],[cv_2024]]/10^6</f>
        <v>0</v>
      </c>
      <c r="T58" s="62" cm="1">
        <f t="array" ref="T58">INDEX(tblPrices[cv_2025], MATCH(tblHuaweiUnits[[#This Row],[Products]],tblPrices[Products],0), 0)* tblHuaweiUnits[[#This Row],[cv_2025]]/10^6</f>
        <v>0</v>
      </c>
      <c r="U58" s="62" cm="1">
        <f t="array" ref="U58">INDEX(tblPrices[cv_2026], MATCH(tblHuaweiUnits[[#This Row],[Products]],tblPrices[Products],0), 0)* tblHuaweiUnits[[#This Row],[cv_2026]]/10^6</f>
        <v>0</v>
      </c>
      <c r="V58" s="62" cm="1">
        <f t="array" ref="V58">INDEX(tblPrices[cv_2027], MATCH(tblHuaweiUnits[[#This Row],[Products]],tblPrices[Products],0), 0)* tblHuaweiUnits[[#This Row],[cv_2027]]/10^6</f>
        <v>0</v>
      </c>
      <c r="W58" s="62" cm="1">
        <f t="array" ref="W58">INDEX(tblPrices[cv_2028], MATCH(tblHuaweiUnits[[#This Row],[Products]],tblPrices[Products],0), 0)* tblHuaweiUnits[[#This Row],[cv_2028]]/10^6</f>
        <v>0</v>
      </c>
      <c r="X58" s="1">
        <f>VLOOKUP(A58,Products!$A$29:$F$110,6,FALSE)</f>
        <v>400</v>
      </c>
    </row>
    <row r="59" spans="1:24" s="1" customFormat="1" ht="13.15">
      <c r="A59" s="9" t="s">
        <v>11</v>
      </c>
      <c r="B59" s="8">
        <v>0</v>
      </c>
      <c r="C59" s="8">
        <v>0</v>
      </c>
      <c r="D59" s="8"/>
      <c r="E59" s="8"/>
      <c r="F59" s="8"/>
      <c r="G59" s="8"/>
      <c r="H59" s="8"/>
      <c r="I59" s="8"/>
      <c r="J59" s="8"/>
      <c r="K59" s="8"/>
      <c r="L59" s="8"/>
      <c r="M59" s="62" cm="1">
        <f t="array" ref="M59">INDEX(tblPrices[cv_2018], MATCH(tblHuaweiUnits[[#This Row],[Products]],tblPrices[Products],0), 0)* tblHuaweiUnits[[#This Row],[cv_2018]]/10^6</f>
        <v>0</v>
      </c>
      <c r="N59" s="62" cm="1">
        <f t="array" ref="N59">INDEX(tblPrices[cv_2019], MATCH(tblHuaweiUnits[[#This Row],[Products]],tblPrices[Products],0), 0)* tblHuaweiUnits[[#This Row],[cv_2019]]/10^6</f>
        <v>0</v>
      </c>
      <c r="O59" s="62" cm="1">
        <f t="array" ref="O59">INDEX(tblPrices[cv_2020], MATCH(tblHuaweiUnits[[#This Row],[Products]],tblPrices[Products],0), 0)* tblHuaweiUnits[[#This Row],[cv_2020]]/10^6</f>
        <v>0</v>
      </c>
      <c r="P59" s="62" cm="1">
        <f t="array" ref="P59">INDEX(tblPrices[cv_2021], MATCH(tblHuaweiUnits[[#This Row],[Products]],tblPrices[Products],0), 0)* tblHuaweiUnits[[#This Row],[cv_2021]]/10^6</f>
        <v>0</v>
      </c>
      <c r="Q59" s="62" cm="1">
        <f t="array" ref="Q59">INDEX(tblPrices[cv_2022], MATCH(tblHuaweiUnits[[#This Row],[Products]],tblPrices[Products],0), 0)* tblHuaweiUnits[[#This Row],[cv_2022]]/10^6</f>
        <v>0</v>
      </c>
      <c r="R59" s="62" cm="1">
        <f t="array" ref="R59">INDEX(tblPrices[cv_2023], MATCH(tblHuaweiUnits[[#This Row],[Products]],tblPrices[Products],0), 0)* tblHuaweiUnits[[#This Row],[cv_2023]]/10^6</f>
        <v>0</v>
      </c>
      <c r="S59" s="62" cm="1">
        <f t="array" ref="S59">INDEX(tblPrices[cv_2024], MATCH(tblHuaweiUnits[[#This Row],[Products]],tblPrices[Products],0), 0)* tblHuaweiUnits[[#This Row],[cv_2024]]/10^6</f>
        <v>0</v>
      </c>
      <c r="T59" s="62" cm="1">
        <f t="array" ref="T59">INDEX(tblPrices[cv_2025], MATCH(tblHuaweiUnits[[#This Row],[Products]],tblPrices[Products],0), 0)* tblHuaweiUnits[[#This Row],[cv_2025]]/10^6</f>
        <v>0</v>
      </c>
      <c r="U59" s="62" cm="1">
        <f t="array" ref="U59">INDEX(tblPrices[cv_2026], MATCH(tblHuaweiUnits[[#This Row],[Products]],tblPrices[Products],0), 0)* tblHuaweiUnits[[#This Row],[cv_2026]]/10^6</f>
        <v>0</v>
      </c>
      <c r="V59" s="62" cm="1">
        <f t="array" ref="V59">INDEX(tblPrices[cv_2027], MATCH(tblHuaweiUnits[[#This Row],[Products]],tblPrices[Products],0), 0)* tblHuaweiUnits[[#This Row],[cv_2027]]/10^6</f>
        <v>0</v>
      </c>
      <c r="W59" s="62" cm="1">
        <f t="array" ref="W59">INDEX(tblPrices[cv_2028], MATCH(tblHuaweiUnits[[#This Row],[Products]],tblPrices[Products],0), 0)* tblHuaweiUnits[[#This Row],[cv_2028]]/10^6</f>
        <v>0</v>
      </c>
      <c r="X59" s="1">
        <f>VLOOKUP(A59,Products!$A$29:$F$110,6,FALSE)</f>
        <v>400</v>
      </c>
    </row>
    <row r="60" spans="1:24" s="1" customFormat="1" ht="13.15">
      <c r="A60" s="9" t="s">
        <v>42</v>
      </c>
      <c r="B60" s="8">
        <v>0</v>
      </c>
      <c r="C60" s="8">
        <v>0</v>
      </c>
      <c r="D60" s="8"/>
      <c r="E60" s="8"/>
      <c r="F60" s="8"/>
      <c r="G60" s="8"/>
      <c r="H60" s="8"/>
      <c r="I60" s="8"/>
      <c r="J60" s="8"/>
      <c r="K60" s="8"/>
      <c r="L60" s="8"/>
      <c r="M60" s="62" cm="1">
        <f t="array" ref="M60">INDEX(tblPrices[cv_2018], MATCH(tblHuaweiUnits[[#This Row],[Products]],tblPrices[Products],0), 0)* tblHuaweiUnits[[#This Row],[cv_2018]]/10^6</f>
        <v>0</v>
      </c>
      <c r="N60" s="62" cm="1">
        <f t="array" ref="N60">INDEX(tblPrices[cv_2019], MATCH(tblHuaweiUnits[[#This Row],[Products]],tblPrices[Products],0), 0)* tblHuaweiUnits[[#This Row],[cv_2019]]/10^6</f>
        <v>0</v>
      </c>
      <c r="O60" s="62" cm="1">
        <f t="array" ref="O60">INDEX(tblPrices[cv_2020], MATCH(tblHuaweiUnits[[#This Row],[Products]],tblPrices[Products],0), 0)* tblHuaweiUnits[[#This Row],[cv_2020]]/10^6</f>
        <v>0</v>
      </c>
      <c r="P60" s="62" cm="1">
        <f t="array" ref="P60">INDEX(tblPrices[cv_2021], MATCH(tblHuaweiUnits[[#This Row],[Products]],tblPrices[Products],0), 0)* tblHuaweiUnits[[#This Row],[cv_2021]]/10^6</f>
        <v>0</v>
      </c>
      <c r="Q60" s="62" cm="1">
        <f t="array" ref="Q60">INDEX(tblPrices[cv_2022], MATCH(tblHuaweiUnits[[#This Row],[Products]],tblPrices[Products],0), 0)* tblHuaweiUnits[[#This Row],[cv_2022]]/10^6</f>
        <v>0</v>
      </c>
      <c r="R60" s="62" cm="1">
        <f t="array" ref="R60">INDEX(tblPrices[cv_2023], MATCH(tblHuaweiUnits[[#This Row],[Products]],tblPrices[Products],0), 0)* tblHuaweiUnits[[#This Row],[cv_2023]]/10^6</f>
        <v>0</v>
      </c>
      <c r="S60" s="62" cm="1">
        <f t="array" ref="S60">INDEX(tblPrices[cv_2024], MATCH(tblHuaweiUnits[[#This Row],[Products]],tblPrices[Products],0), 0)* tblHuaweiUnits[[#This Row],[cv_2024]]/10^6</f>
        <v>0</v>
      </c>
      <c r="T60" s="62" cm="1">
        <f t="array" ref="T60">INDEX(tblPrices[cv_2025], MATCH(tblHuaweiUnits[[#This Row],[Products]],tblPrices[Products],0), 0)* tblHuaweiUnits[[#This Row],[cv_2025]]/10^6</f>
        <v>0</v>
      </c>
      <c r="U60" s="62" cm="1">
        <f t="array" ref="U60">INDEX(tblPrices[cv_2026], MATCH(tblHuaweiUnits[[#This Row],[Products]],tblPrices[Products],0), 0)* tblHuaweiUnits[[#This Row],[cv_2026]]/10^6</f>
        <v>0</v>
      </c>
      <c r="V60" s="62" cm="1">
        <f t="array" ref="V60">INDEX(tblPrices[cv_2027], MATCH(tblHuaweiUnits[[#This Row],[Products]],tblPrices[Products],0), 0)* tblHuaweiUnits[[#This Row],[cv_2027]]/10^6</f>
        <v>0</v>
      </c>
      <c r="W60" s="62" cm="1">
        <f t="array" ref="W60">INDEX(tblPrices[cv_2028], MATCH(tblHuaweiUnits[[#This Row],[Products]],tblPrices[Products],0), 0)* tblHuaweiUnits[[#This Row],[cv_2028]]/10^6</f>
        <v>0</v>
      </c>
      <c r="X60" s="1">
        <f>VLOOKUP(A60,Products!$A$29:$F$110,6,FALSE)</f>
        <v>400</v>
      </c>
    </row>
    <row r="61" spans="1:24" s="1" customFormat="1" ht="13.15">
      <c r="A61" s="9" t="s">
        <v>48</v>
      </c>
      <c r="B61" s="8">
        <v>0</v>
      </c>
      <c r="C61" s="8">
        <v>0</v>
      </c>
      <c r="D61" s="8"/>
      <c r="E61" s="8"/>
      <c r="F61" s="8"/>
      <c r="G61" s="8"/>
      <c r="H61" s="8"/>
      <c r="I61" s="8"/>
      <c r="J61" s="8"/>
      <c r="K61" s="8"/>
      <c r="L61" s="8"/>
      <c r="M61" s="62" cm="1">
        <f t="array" ref="M61">INDEX(tblPrices[cv_2018], MATCH(tblHuaweiUnits[[#This Row],[Products]],tblPrices[Products],0), 0)* tblHuaweiUnits[[#This Row],[cv_2018]]/10^6</f>
        <v>0</v>
      </c>
      <c r="N61" s="62" cm="1">
        <f t="array" ref="N61">INDEX(tblPrices[cv_2019], MATCH(tblHuaweiUnits[[#This Row],[Products]],tblPrices[Products],0), 0)* tblHuaweiUnits[[#This Row],[cv_2019]]/10^6</f>
        <v>0</v>
      </c>
      <c r="O61" s="62" cm="1">
        <f t="array" ref="O61">INDEX(tblPrices[cv_2020], MATCH(tblHuaweiUnits[[#This Row],[Products]],tblPrices[Products],0), 0)* tblHuaweiUnits[[#This Row],[cv_2020]]/10^6</f>
        <v>0</v>
      </c>
      <c r="P61" s="62" cm="1">
        <f t="array" ref="P61">INDEX(tblPrices[cv_2021], MATCH(tblHuaweiUnits[[#This Row],[Products]],tblPrices[Products],0), 0)* tblHuaweiUnits[[#This Row],[cv_2021]]/10^6</f>
        <v>0</v>
      </c>
      <c r="Q61" s="62" cm="1">
        <f t="array" ref="Q61">INDEX(tblPrices[cv_2022], MATCH(tblHuaweiUnits[[#This Row],[Products]],tblPrices[Products],0), 0)* tblHuaweiUnits[[#This Row],[cv_2022]]/10^6</f>
        <v>0</v>
      </c>
      <c r="R61" s="62" cm="1">
        <f t="array" ref="R61">INDEX(tblPrices[cv_2023], MATCH(tblHuaweiUnits[[#This Row],[Products]],tblPrices[Products],0), 0)* tblHuaweiUnits[[#This Row],[cv_2023]]/10^6</f>
        <v>0</v>
      </c>
      <c r="S61" s="62" cm="1">
        <f t="array" ref="S61">INDEX(tblPrices[cv_2024], MATCH(tblHuaweiUnits[[#This Row],[Products]],tblPrices[Products],0), 0)* tblHuaweiUnits[[#This Row],[cv_2024]]/10^6</f>
        <v>0</v>
      </c>
      <c r="T61" s="62" cm="1">
        <f t="array" ref="T61">INDEX(tblPrices[cv_2025], MATCH(tblHuaweiUnits[[#This Row],[Products]],tblPrices[Products],0), 0)* tblHuaweiUnits[[#This Row],[cv_2025]]/10^6</f>
        <v>0</v>
      </c>
      <c r="U61" s="62" cm="1">
        <f t="array" ref="U61">INDEX(tblPrices[cv_2026], MATCH(tblHuaweiUnits[[#This Row],[Products]],tblPrices[Products],0), 0)* tblHuaweiUnits[[#This Row],[cv_2026]]/10^6</f>
        <v>0</v>
      </c>
      <c r="V61" s="62" cm="1">
        <f t="array" ref="V61">INDEX(tblPrices[cv_2027], MATCH(tblHuaweiUnits[[#This Row],[Products]],tblPrices[Products],0), 0)* tblHuaweiUnits[[#This Row],[cv_2027]]/10^6</f>
        <v>0</v>
      </c>
      <c r="W61" s="62" cm="1">
        <f t="array" ref="W61">INDEX(tblPrices[cv_2028], MATCH(tblHuaweiUnits[[#This Row],[Products]],tblPrices[Products],0), 0)* tblHuaweiUnits[[#This Row],[cv_2028]]/10^6</f>
        <v>0</v>
      </c>
      <c r="X61" s="1">
        <f>VLOOKUP(A61,Products!$A$29:$F$110,6,FALSE)</f>
        <v>800</v>
      </c>
    </row>
    <row r="62" spans="1:24" s="1" customFormat="1" ht="13.15">
      <c r="A62" s="9" t="s">
        <v>13</v>
      </c>
      <c r="B62" s="8">
        <v>0</v>
      </c>
      <c r="C62" s="8">
        <v>0</v>
      </c>
      <c r="D62" s="8"/>
      <c r="E62" s="8"/>
      <c r="F62" s="8"/>
      <c r="G62" s="8"/>
      <c r="H62" s="8"/>
      <c r="I62" s="8"/>
      <c r="J62" s="8"/>
      <c r="K62" s="8"/>
      <c r="L62" s="8"/>
      <c r="M62" s="62" cm="1">
        <f t="array" ref="M62">INDEX(tblPrices[cv_2018], MATCH(tblHuaweiUnits[[#This Row],[Products]],tblPrices[Products],0), 0)* tblHuaweiUnits[[#This Row],[cv_2018]]/10^6</f>
        <v>0</v>
      </c>
      <c r="N62" s="62" cm="1">
        <f t="array" ref="N62">INDEX(tblPrices[cv_2019], MATCH(tblHuaweiUnits[[#This Row],[Products]],tblPrices[Products],0), 0)* tblHuaweiUnits[[#This Row],[cv_2019]]/10^6</f>
        <v>0</v>
      </c>
      <c r="O62" s="62" cm="1">
        <f t="array" ref="O62">INDEX(tblPrices[cv_2020], MATCH(tblHuaweiUnits[[#This Row],[Products]],tblPrices[Products],0), 0)* tblHuaweiUnits[[#This Row],[cv_2020]]/10^6</f>
        <v>0</v>
      </c>
      <c r="P62" s="62" cm="1">
        <f t="array" ref="P62">INDEX(tblPrices[cv_2021], MATCH(tblHuaweiUnits[[#This Row],[Products]],tblPrices[Products],0), 0)* tblHuaweiUnits[[#This Row],[cv_2021]]/10^6</f>
        <v>0</v>
      </c>
      <c r="Q62" s="62" cm="1">
        <f t="array" ref="Q62">INDEX(tblPrices[cv_2022], MATCH(tblHuaweiUnits[[#This Row],[Products]],tblPrices[Products],0), 0)* tblHuaweiUnits[[#This Row],[cv_2022]]/10^6</f>
        <v>0</v>
      </c>
      <c r="R62" s="62" cm="1">
        <f t="array" ref="R62">INDEX(tblPrices[cv_2023], MATCH(tblHuaweiUnits[[#This Row],[Products]],tblPrices[Products],0), 0)* tblHuaweiUnits[[#This Row],[cv_2023]]/10^6</f>
        <v>0</v>
      </c>
      <c r="S62" s="62" cm="1">
        <f t="array" ref="S62">INDEX(tblPrices[cv_2024], MATCH(tblHuaweiUnits[[#This Row],[Products]],tblPrices[Products],0), 0)* tblHuaweiUnits[[#This Row],[cv_2024]]/10^6</f>
        <v>0</v>
      </c>
      <c r="T62" s="62" cm="1">
        <f t="array" ref="T62">INDEX(tblPrices[cv_2025], MATCH(tblHuaweiUnits[[#This Row],[Products]],tblPrices[Products],0), 0)* tblHuaweiUnits[[#This Row],[cv_2025]]/10^6</f>
        <v>0</v>
      </c>
      <c r="U62" s="62" cm="1">
        <f t="array" ref="U62">INDEX(tblPrices[cv_2026], MATCH(tblHuaweiUnits[[#This Row],[Products]],tblPrices[Products],0), 0)* tblHuaweiUnits[[#This Row],[cv_2026]]/10^6</f>
        <v>0</v>
      </c>
      <c r="V62" s="62" cm="1">
        <f t="array" ref="V62">INDEX(tblPrices[cv_2027], MATCH(tblHuaweiUnits[[#This Row],[Products]],tblPrices[Products],0), 0)* tblHuaweiUnits[[#This Row],[cv_2027]]/10^6</f>
        <v>0</v>
      </c>
      <c r="W62" s="62" cm="1">
        <f t="array" ref="W62">INDEX(tblPrices[cv_2028], MATCH(tblHuaweiUnits[[#This Row],[Products]],tblPrices[Products],0), 0)* tblHuaweiUnits[[#This Row],[cv_2028]]/10^6</f>
        <v>0</v>
      </c>
      <c r="X62" s="1">
        <f>VLOOKUP(A62,Products!$A$29:$F$110,6,FALSE)</f>
        <v>800</v>
      </c>
    </row>
    <row r="63" spans="1:24" s="1" customFormat="1" ht="13.15">
      <c r="A63" s="9" t="s">
        <v>14</v>
      </c>
      <c r="B63" s="8">
        <v>0</v>
      </c>
      <c r="C63" s="8">
        <v>0</v>
      </c>
      <c r="D63" s="8"/>
      <c r="E63" s="8"/>
      <c r="F63" s="8"/>
      <c r="G63" s="8"/>
      <c r="H63" s="8"/>
      <c r="I63" s="8"/>
      <c r="J63" s="8"/>
      <c r="K63" s="8"/>
      <c r="L63" s="8"/>
      <c r="M63" s="62" cm="1">
        <f t="array" ref="M63">INDEX(tblPrices[cv_2018], MATCH(tblHuaweiUnits[[#This Row],[Products]],tblPrices[Products],0), 0)* tblHuaweiUnits[[#This Row],[cv_2018]]/10^6</f>
        <v>0</v>
      </c>
      <c r="N63" s="62" cm="1">
        <f t="array" ref="N63">INDEX(tblPrices[cv_2019], MATCH(tblHuaweiUnits[[#This Row],[Products]],tblPrices[Products],0), 0)* tblHuaweiUnits[[#This Row],[cv_2019]]/10^6</f>
        <v>0</v>
      </c>
      <c r="O63" s="62" cm="1">
        <f t="array" ref="O63">INDEX(tblPrices[cv_2020], MATCH(tblHuaweiUnits[[#This Row],[Products]],tblPrices[Products],0), 0)* tblHuaweiUnits[[#This Row],[cv_2020]]/10^6</f>
        <v>0</v>
      </c>
      <c r="P63" s="62" cm="1">
        <f t="array" ref="P63">INDEX(tblPrices[cv_2021], MATCH(tblHuaweiUnits[[#This Row],[Products]],tblPrices[Products],0), 0)* tblHuaweiUnits[[#This Row],[cv_2021]]/10^6</f>
        <v>0</v>
      </c>
      <c r="Q63" s="62" cm="1">
        <f t="array" ref="Q63">INDEX(tblPrices[cv_2022], MATCH(tblHuaweiUnits[[#This Row],[Products]],tblPrices[Products],0), 0)* tblHuaweiUnits[[#This Row],[cv_2022]]/10^6</f>
        <v>0</v>
      </c>
      <c r="R63" s="62" cm="1">
        <f t="array" ref="R63">INDEX(tblPrices[cv_2023], MATCH(tblHuaweiUnits[[#This Row],[Products]],tblPrices[Products],0), 0)* tblHuaweiUnits[[#This Row],[cv_2023]]/10^6</f>
        <v>0</v>
      </c>
      <c r="S63" s="62" cm="1">
        <f t="array" ref="S63">INDEX(tblPrices[cv_2024], MATCH(tblHuaweiUnits[[#This Row],[Products]],tblPrices[Products],0), 0)* tblHuaweiUnits[[#This Row],[cv_2024]]/10^6</f>
        <v>0</v>
      </c>
      <c r="T63" s="62" cm="1">
        <f t="array" ref="T63">INDEX(tblPrices[cv_2025], MATCH(tblHuaweiUnits[[#This Row],[Products]],tblPrices[Products],0), 0)* tblHuaweiUnits[[#This Row],[cv_2025]]/10^6</f>
        <v>0</v>
      </c>
      <c r="U63" s="62" cm="1">
        <f t="array" ref="U63">INDEX(tblPrices[cv_2026], MATCH(tblHuaweiUnits[[#This Row],[Products]],tblPrices[Products],0), 0)* tblHuaweiUnits[[#This Row],[cv_2026]]/10^6</f>
        <v>0</v>
      </c>
      <c r="V63" s="62" cm="1">
        <f t="array" ref="V63">INDEX(tblPrices[cv_2027], MATCH(tblHuaweiUnits[[#This Row],[Products]],tblPrices[Products],0), 0)* tblHuaweiUnits[[#This Row],[cv_2027]]/10^6</f>
        <v>0</v>
      </c>
      <c r="W63" s="62" cm="1">
        <f t="array" ref="W63">INDEX(tblPrices[cv_2028], MATCH(tblHuaweiUnits[[#This Row],[Products]],tblPrices[Products],0), 0)* tblHuaweiUnits[[#This Row],[cv_2028]]/10^6</f>
        <v>0</v>
      </c>
      <c r="X63" s="1">
        <f>VLOOKUP(A63,Products!$A$29:$F$110,6,FALSE)</f>
        <v>800</v>
      </c>
    </row>
    <row r="64" spans="1:24" s="1" customFormat="1" ht="13.15">
      <c r="A64" s="9" t="s">
        <v>15</v>
      </c>
      <c r="B64" s="8">
        <v>0</v>
      </c>
      <c r="C64" s="8">
        <v>0</v>
      </c>
      <c r="D64" s="8"/>
      <c r="E64" s="8"/>
      <c r="F64" s="8"/>
      <c r="G64" s="8"/>
      <c r="H64" s="8"/>
      <c r="I64" s="8"/>
      <c r="J64" s="8"/>
      <c r="K64" s="8"/>
      <c r="L64" s="8"/>
      <c r="M64" s="62" cm="1">
        <f t="array" ref="M64">INDEX(tblPrices[cv_2018], MATCH(tblHuaweiUnits[[#This Row],[Products]],tblPrices[Products],0), 0)* tblHuaweiUnits[[#This Row],[cv_2018]]/10^6</f>
        <v>0</v>
      </c>
      <c r="N64" s="62" cm="1">
        <f t="array" ref="N64">INDEX(tblPrices[cv_2019], MATCH(tblHuaweiUnits[[#This Row],[Products]],tblPrices[Products],0), 0)* tblHuaweiUnits[[#This Row],[cv_2019]]/10^6</f>
        <v>0</v>
      </c>
      <c r="O64" s="62" cm="1">
        <f t="array" ref="O64">INDEX(tblPrices[cv_2020], MATCH(tblHuaweiUnits[[#This Row],[Products]],tblPrices[Products],0), 0)* tblHuaweiUnits[[#This Row],[cv_2020]]/10^6</f>
        <v>0</v>
      </c>
      <c r="P64" s="62" cm="1">
        <f t="array" ref="P64">INDEX(tblPrices[cv_2021], MATCH(tblHuaweiUnits[[#This Row],[Products]],tblPrices[Products],0), 0)* tblHuaweiUnits[[#This Row],[cv_2021]]/10^6</f>
        <v>0</v>
      </c>
      <c r="Q64" s="62" cm="1">
        <f t="array" ref="Q64">INDEX(tblPrices[cv_2022], MATCH(tblHuaweiUnits[[#This Row],[Products]],tblPrices[Products],0), 0)* tblHuaweiUnits[[#This Row],[cv_2022]]/10^6</f>
        <v>0</v>
      </c>
      <c r="R64" s="62" cm="1">
        <f t="array" ref="R64">INDEX(tblPrices[cv_2023], MATCH(tblHuaweiUnits[[#This Row],[Products]],tblPrices[Products],0), 0)* tblHuaweiUnits[[#This Row],[cv_2023]]/10^6</f>
        <v>0</v>
      </c>
      <c r="S64" s="62" cm="1">
        <f t="array" ref="S64">INDEX(tblPrices[cv_2024], MATCH(tblHuaweiUnits[[#This Row],[Products]],tblPrices[Products],0), 0)* tblHuaweiUnits[[#This Row],[cv_2024]]/10^6</f>
        <v>0</v>
      </c>
      <c r="T64" s="62" cm="1">
        <f t="array" ref="T64">INDEX(tblPrices[cv_2025], MATCH(tblHuaweiUnits[[#This Row],[Products]],tblPrices[Products],0), 0)* tblHuaweiUnits[[#This Row],[cv_2025]]/10^6</f>
        <v>0</v>
      </c>
      <c r="U64" s="62" cm="1">
        <f t="array" ref="U64">INDEX(tblPrices[cv_2026], MATCH(tblHuaweiUnits[[#This Row],[Products]],tblPrices[Products],0), 0)* tblHuaweiUnits[[#This Row],[cv_2026]]/10^6</f>
        <v>0</v>
      </c>
      <c r="V64" s="62" cm="1">
        <f t="array" ref="V64">INDEX(tblPrices[cv_2027], MATCH(tblHuaweiUnits[[#This Row],[Products]],tblPrices[Products],0), 0)* tblHuaweiUnits[[#This Row],[cv_2027]]/10^6</f>
        <v>0</v>
      </c>
      <c r="W64" s="62" cm="1">
        <f t="array" ref="W64">INDEX(tblPrices[cv_2028], MATCH(tblHuaweiUnits[[#This Row],[Products]],tblPrices[Products],0), 0)* tblHuaweiUnits[[#This Row],[cv_2028]]/10^6</f>
        <v>0</v>
      </c>
      <c r="X64" s="1">
        <f>VLOOKUP(A64,Products!$A$29:$F$110,6,FALSE)</f>
        <v>800</v>
      </c>
    </row>
    <row r="65" spans="1:24" s="1" customFormat="1" ht="13.15">
      <c r="A65" s="9" t="s">
        <v>16</v>
      </c>
      <c r="B65" s="8">
        <v>0</v>
      </c>
      <c r="C65" s="8">
        <v>0</v>
      </c>
      <c r="D65" s="8"/>
      <c r="E65" s="8"/>
      <c r="F65" s="8"/>
      <c r="G65" s="8"/>
      <c r="H65" s="8"/>
      <c r="I65" s="8"/>
      <c r="J65" s="8"/>
      <c r="K65" s="8"/>
      <c r="L65" s="8"/>
      <c r="M65" s="62" cm="1">
        <f t="array" ref="M65">INDEX(tblPrices[cv_2018], MATCH(tblHuaweiUnits[[#This Row],[Products]],tblPrices[Products],0), 0)* tblHuaweiUnits[[#This Row],[cv_2018]]/10^6</f>
        <v>0</v>
      </c>
      <c r="N65" s="62" cm="1">
        <f t="array" ref="N65">INDEX(tblPrices[cv_2019], MATCH(tblHuaweiUnits[[#This Row],[Products]],tblPrices[Products],0), 0)* tblHuaweiUnits[[#This Row],[cv_2019]]/10^6</f>
        <v>0</v>
      </c>
      <c r="O65" s="62" cm="1">
        <f t="array" ref="O65">INDEX(tblPrices[cv_2020], MATCH(tblHuaweiUnits[[#This Row],[Products]],tblPrices[Products],0), 0)* tblHuaweiUnits[[#This Row],[cv_2020]]/10^6</f>
        <v>0</v>
      </c>
      <c r="P65" s="62" cm="1">
        <f t="array" ref="P65">INDEX(tblPrices[cv_2021], MATCH(tblHuaweiUnits[[#This Row],[Products]],tblPrices[Products],0), 0)* tblHuaweiUnits[[#This Row],[cv_2021]]/10^6</f>
        <v>0</v>
      </c>
      <c r="Q65" s="62" cm="1">
        <f t="array" ref="Q65">INDEX(tblPrices[cv_2022], MATCH(tblHuaweiUnits[[#This Row],[Products]],tblPrices[Products],0), 0)* tblHuaweiUnits[[#This Row],[cv_2022]]/10^6</f>
        <v>0</v>
      </c>
      <c r="R65" s="62" cm="1">
        <f t="array" ref="R65">INDEX(tblPrices[cv_2023], MATCH(tblHuaweiUnits[[#This Row],[Products]],tblPrices[Products],0), 0)* tblHuaweiUnits[[#This Row],[cv_2023]]/10^6</f>
        <v>0</v>
      </c>
      <c r="S65" s="62" cm="1">
        <f t="array" ref="S65">INDEX(tblPrices[cv_2024], MATCH(tblHuaweiUnits[[#This Row],[Products]],tblPrices[Products],0), 0)* tblHuaweiUnits[[#This Row],[cv_2024]]/10^6</f>
        <v>0</v>
      </c>
      <c r="T65" s="62" cm="1">
        <f t="array" ref="T65">INDEX(tblPrices[cv_2025], MATCH(tblHuaweiUnits[[#This Row],[Products]],tblPrices[Products],0), 0)* tblHuaweiUnits[[#This Row],[cv_2025]]/10^6</f>
        <v>0</v>
      </c>
      <c r="U65" s="62" cm="1">
        <f t="array" ref="U65">INDEX(tblPrices[cv_2026], MATCH(tblHuaweiUnits[[#This Row],[Products]],tblPrices[Products],0), 0)* tblHuaweiUnits[[#This Row],[cv_2026]]/10^6</f>
        <v>0</v>
      </c>
      <c r="V65" s="62" cm="1">
        <f t="array" ref="V65">INDEX(tblPrices[cv_2027], MATCH(tblHuaweiUnits[[#This Row],[Products]],tblPrices[Products],0), 0)* tblHuaweiUnits[[#This Row],[cv_2027]]/10^6</f>
        <v>0</v>
      </c>
      <c r="W65" s="62" cm="1">
        <f t="array" ref="W65">INDEX(tblPrices[cv_2028], MATCH(tblHuaweiUnits[[#This Row],[Products]],tblPrices[Products],0), 0)* tblHuaweiUnits[[#This Row],[cv_2028]]/10^6</f>
        <v>0</v>
      </c>
      <c r="X65" s="1">
        <f>VLOOKUP(A65,Products!$A$29:$F$110,6,FALSE)</f>
        <v>800</v>
      </c>
    </row>
    <row r="66" spans="1:24" s="1" customFormat="1" ht="13.15">
      <c r="A66" s="9" t="s">
        <v>17</v>
      </c>
      <c r="B66" s="8">
        <v>0</v>
      </c>
      <c r="C66" s="8">
        <v>0</v>
      </c>
      <c r="D66" s="8"/>
      <c r="E66" s="8"/>
      <c r="F66" s="8"/>
      <c r="G66" s="8"/>
      <c r="H66" s="8"/>
      <c r="I66" s="8"/>
      <c r="J66" s="8"/>
      <c r="K66" s="8"/>
      <c r="L66" s="8"/>
      <c r="M66" s="62" cm="1">
        <f t="array" ref="M66">INDEX(tblPrices[cv_2018], MATCH(tblHuaweiUnits[[#This Row],[Products]],tblPrices[Products],0), 0)* tblHuaweiUnits[[#This Row],[cv_2018]]/10^6</f>
        <v>0</v>
      </c>
      <c r="N66" s="62" cm="1">
        <f t="array" ref="N66">INDEX(tblPrices[cv_2019], MATCH(tblHuaweiUnits[[#This Row],[Products]],tblPrices[Products],0), 0)* tblHuaweiUnits[[#This Row],[cv_2019]]/10^6</f>
        <v>0</v>
      </c>
      <c r="O66" s="62" cm="1">
        <f t="array" ref="O66">INDEX(tblPrices[cv_2020], MATCH(tblHuaweiUnits[[#This Row],[Products]],tblPrices[Products],0), 0)* tblHuaweiUnits[[#This Row],[cv_2020]]/10^6</f>
        <v>0</v>
      </c>
      <c r="P66" s="62" cm="1">
        <f t="array" ref="P66">INDEX(tblPrices[cv_2021], MATCH(tblHuaweiUnits[[#This Row],[Products]],tblPrices[Products],0), 0)* tblHuaweiUnits[[#This Row],[cv_2021]]/10^6</f>
        <v>0</v>
      </c>
      <c r="Q66" s="62" cm="1">
        <f t="array" ref="Q66">INDEX(tblPrices[cv_2022], MATCH(tblHuaweiUnits[[#This Row],[Products]],tblPrices[Products],0), 0)* tblHuaweiUnits[[#This Row],[cv_2022]]/10^6</f>
        <v>0</v>
      </c>
      <c r="R66" s="62" cm="1">
        <f t="array" ref="R66">INDEX(tblPrices[cv_2023], MATCH(tblHuaweiUnits[[#This Row],[Products]],tblPrices[Products],0), 0)* tblHuaweiUnits[[#This Row],[cv_2023]]/10^6</f>
        <v>0</v>
      </c>
      <c r="S66" s="62" cm="1">
        <f t="array" ref="S66">INDEX(tblPrices[cv_2024], MATCH(tblHuaweiUnits[[#This Row],[Products]],tblPrices[Products],0), 0)* tblHuaweiUnits[[#This Row],[cv_2024]]/10^6</f>
        <v>0</v>
      </c>
      <c r="T66" s="62" cm="1">
        <f t="array" ref="T66">INDEX(tblPrices[cv_2025], MATCH(tblHuaweiUnits[[#This Row],[Products]],tblPrices[Products],0), 0)* tblHuaweiUnits[[#This Row],[cv_2025]]/10^6</f>
        <v>0</v>
      </c>
      <c r="U66" s="62" cm="1">
        <f t="array" ref="U66">INDEX(tblPrices[cv_2026], MATCH(tblHuaweiUnits[[#This Row],[Products]],tblPrices[Products],0), 0)* tblHuaweiUnits[[#This Row],[cv_2026]]/10^6</f>
        <v>0</v>
      </c>
      <c r="V66" s="62" cm="1">
        <f t="array" ref="V66">INDEX(tblPrices[cv_2027], MATCH(tblHuaweiUnits[[#This Row],[Products]],tblPrices[Products],0), 0)* tblHuaweiUnits[[#This Row],[cv_2027]]/10^6</f>
        <v>0</v>
      </c>
      <c r="W66" s="62" cm="1">
        <f t="array" ref="W66">INDEX(tblPrices[cv_2028], MATCH(tblHuaweiUnits[[#This Row],[Products]],tblPrices[Products],0), 0)* tblHuaweiUnits[[#This Row],[cv_2028]]/10^6</f>
        <v>0</v>
      </c>
      <c r="X66" s="1">
        <f>VLOOKUP(A66,Products!$A$29:$F$110,6,FALSE)</f>
        <v>800</v>
      </c>
    </row>
    <row r="67" spans="1:24" s="1" customFormat="1" ht="13.15">
      <c r="A67" s="9" t="s">
        <v>18</v>
      </c>
      <c r="B67" s="8">
        <v>0</v>
      </c>
      <c r="C67" s="8">
        <v>0</v>
      </c>
      <c r="D67" s="8"/>
      <c r="E67" s="8"/>
      <c r="F67" s="8"/>
      <c r="G67" s="8"/>
      <c r="H67" s="8"/>
      <c r="I67" s="8"/>
      <c r="J67" s="8"/>
      <c r="K67" s="8"/>
      <c r="L67" s="8"/>
      <c r="M67" s="62" cm="1">
        <f t="array" ref="M67">INDEX(tblPrices[cv_2018], MATCH(tblHuaweiUnits[[#This Row],[Products]],tblPrices[Products],0), 0)* tblHuaweiUnits[[#This Row],[cv_2018]]/10^6</f>
        <v>0</v>
      </c>
      <c r="N67" s="62" cm="1">
        <f t="array" ref="N67">INDEX(tblPrices[cv_2019], MATCH(tblHuaweiUnits[[#This Row],[Products]],tblPrices[Products],0), 0)* tblHuaweiUnits[[#This Row],[cv_2019]]/10^6</f>
        <v>0</v>
      </c>
      <c r="O67" s="62" cm="1">
        <f t="array" ref="O67">INDEX(tblPrices[cv_2020], MATCH(tblHuaweiUnits[[#This Row],[Products]],tblPrices[Products],0), 0)* tblHuaweiUnits[[#This Row],[cv_2020]]/10^6</f>
        <v>0</v>
      </c>
      <c r="P67" s="62" cm="1">
        <f t="array" ref="P67">INDEX(tblPrices[cv_2021], MATCH(tblHuaweiUnits[[#This Row],[Products]],tblPrices[Products],0), 0)* tblHuaweiUnits[[#This Row],[cv_2021]]/10^6</f>
        <v>0</v>
      </c>
      <c r="Q67" s="62" cm="1">
        <f t="array" ref="Q67">INDEX(tblPrices[cv_2022], MATCH(tblHuaweiUnits[[#This Row],[Products]],tblPrices[Products],0), 0)* tblHuaweiUnits[[#This Row],[cv_2022]]/10^6</f>
        <v>0</v>
      </c>
      <c r="R67" s="62" cm="1">
        <f t="array" ref="R67">INDEX(tblPrices[cv_2023], MATCH(tblHuaweiUnits[[#This Row],[Products]],tblPrices[Products],0), 0)* tblHuaweiUnits[[#This Row],[cv_2023]]/10^6</f>
        <v>0</v>
      </c>
      <c r="S67" s="62" cm="1">
        <f t="array" ref="S67">INDEX(tblPrices[cv_2024], MATCH(tblHuaweiUnits[[#This Row],[Products]],tblPrices[Products],0), 0)* tblHuaweiUnits[[#This Row],[cv_2024]]/10^6</f>
        <v>0</v>
      </c>
      <c r="T67" s="62" cm="1">
        <f t="array" ref="T67">INDEX(tblPrices[cv_2025], MATCH(tblHuaweiUnits[[#This Row],[Products]],tblPrices[Products],0), 0)* tblHuaweiUnits[[#This Row],[cv_2025]]/10^6</f>
        <v>0</v>
      </c>
      <c r="U67" s="62" cm="1">
        <f t="array" ref="U67">INDEX(tblPrices[cv_2026], MATCH(tblHuaweiUnits[[#This Row],[Products]],tblPrices[Products],0), 0)* tblHuaweiUnits[[#This Row],[cv_2026]]/10^6</f>
        <v>0</v>
      </c>
      <c r="V67" s="62" cm="1">
        <f t="array" ref="V67">INDEX(tblPrices[cv_2027], MATCH(tblHuaweiUnits[[#This Row],[Products]],tblPrices[Products],0), 0)* tblHuaweiUnits[[#This Row],[cv_2027]]/10^6</f>
        <v>0</v>
      </c>
      <c r="W67" s="62" cm="1">
        <f t="array" ref="W67">INDEX(tblPrices[cv_2028], MATCH(tblHuaweiUnits[[#This Row],[Products]],tblPrices[Products],0), 0)* tblHuaweiUnits[[#This Row],[cv_2028]]/10^6</f>
        <v>0</v>
      </c>
      <c r="X67" s="1">
        <f>VLOOKUP(A67,Products!$A$29:$F$110,6,FALSE)</f>
        <v>1600</v>
      </c>
    </row>
    <row r="68" spans="1:24" s="1" customFormat="1" ht="13.15">
      <c r="A68" s="9" t="s">
        <v>19</v>
      </c>
      <c r="B68" s="8">
        <v>0</v>
      </c>
      <c r="C68" s="8">
        <v>0</v>
      </c>
      <c r="D68" s="8"/>
      <c r="E68" s="8"/>
      <c r="F68" s="8"/>
      <c r="G68" s="8"/>
      <c r="H68" s="8"/>
      <c r="I68" s="8"/>
      <c r="J68" s="8"/>
      <c r="K68" s="8"/>
      <c r="L68" s="8"/>
      <c r="M68" s="62" cm="1">
        <f t="array" ref="M68">INDEX(tblPrices[cv_2018], MATCH(tblHuaweiUnits[[#This Row],[Products]],tblPrices[Products],0), 0)* tblHuaweiUnits[[#This Row],[cv_2018]]/10^6</f>
        <v>0</v>
      </c>
      <c r="N68" s="62" cm="1">
        <f t="array" ref="N68">INDEX(tblPrices[cv_2019], MATCH(tblHuaweiUnits[[#This Row],[Products]],tblPrices[Products],0), 0)* tblHuaweiUnits[[#This Row],[cv_2019]]/10^6</f>
        <v>0</v>
      </c>
      <c r="O68" s="62" cm="1">
        <f t="array" ref="O68">INDEX(tblPrices[cv_2020], MATCH(tblHuaweiUnits[[#This Row],[Products]],tblPrices[Products],0), 0)* tblHuaweiUnits[[#This Row],[cv_2020]]/10^6</f>
        <v>0</v>
      </c>
      <c r="P68" s="62" cm="1">
        <f t="array" ref="P68">INDEX(tblPrices[cv_2021], MATCH(tblHuaweiUnits[[#This Row],[Products]],tblPrices[Products],0), 0)* tblHuaweiUnits[[#This Row],[cv_2021]]/10^6</f>
        <v>0</v>
      </c>
      <c r="Q68" s="62" cm="1">
        <f t="array" ref="Q68">INDEX(tblPrices[cv_2022], MATCH(tblHuaweiUnits[[#This Row],[Products]],tblPrices[Products],0), 0)* tblHuaweiUnits[[#This Row],[cv_2022]]/10^6</f>
        <v>0</v>
      </c>
      <c r="R68" s="62" cm="1">
        <f t="array" ref="R68">INDEX(tblPrices[cv_2023], MATCH(tblHuaweiUnits[[#This Row],[Products]],tblPrices[Products],0), 0)* tblHuaweiUnits[[#This Row],[cv_2023]]/10^6</f>
        <v>0</v>
      </c>
      <c r="S68" s="62" cm="1">
        <f t="array" ref="S68">INDEX(tblPrices[cv_2024], MATCH(tblHuaweiUnits[[#This Row],[Products]],tblPrices[Products],0), 0)* tblHuaweiUnits[[#This Row],[cv_2024]]/10^6</f>
        <v>0</v>
      </c>
      <c r="T68" s="62" cm="1">
        <f t="array" ref="T68">INDEX(tblPrices[cv_2025], MATCH(tblHuaweiUnits[[#This Row],[Products]],tblPrices[Products],0), 0)* tblHuaweiUnits[[#This Row],[cv_2025]]/10^6</f>
        <v>0</v>
      </c>
      <c r="U68" s="62" cm="1">
        <f t="array" ref="U68">INDEX(tblPrices[cv_2026], MATCH(tblHuaweiUnits[[#This Row],[Products]],tblPrices[Products],0), 0)* tblHuaweiUnits[[#This Row],[cv_2026]]/10^6</f>
        <v>0</v>
      </c>
      <c r="V68" s="62" cm="1">
        <f t="array" ref="V68">INDEX(tblPrices[cv_2027], MATCH(tblHuaweiUnits[[#This Row],[Products]],tblPrices[Products],0), 0)* tblHuaweiUnits[[#This Row],[cv_2027]]/10^6</f>
        <v>0</v>
      </c>
      <c r="W68" s="62" cm="1">
        <f t="array" ref="W68">INDEX(tblPrices[cv_2028], MATCH(tblHuaweiUnits[[#This Row],[Products]],tblPrices[Products],0), 0)* tblHuaweiUnits[[#This Row],[cv_2028]]/10^6</f>
        <v>0</v>
      </c>
      <c r="X68" s="1">
        <f>VLOOKUP(A68,Products!$A$29:$F$110,6,FALSE)</f>
        <v>1600</v>
      </c>
    </row>
    <row r="69" spans="1:24" s="1" customFormat="1" ht="13.15">
      <c r="A69" s="9" t="s">
        <v>20</v>
      </c>
      <c r="B69" s="8">
        <v>0</v>
      </c>
      <c r="C69" s="8">
        <v>0</v>
      </c>
      <c r="D69" s="8"/>
      <c r="E69" s="8"/>
      <c r="F69" s="8"/>
      <c r="G69" s="8"/>
      <c r="H69" s="8"/>
      <c r="I69" s="8"/>
      <c r="J69" s="8"/>
      <c r="K69" s="8"/>
      <c r="L69" s="8"/>
      <c r="M69" s="62" cm="1">
        <f t="array" ref="M69">INDEX(tblPrices[cv_2018], MATCH(tblHuaweiUnits[[#This Row],[Products]],tblPrices[Products],0), 0)* tblHuaweiUnits[[#This Row],[cv_2018]]/10^6</f>
        <v>0</v>
      </c>
      <c r="N69" s="62" cm="1">
        <f t="array" ref="N69">INDEX(tblPrices[cv_2019], MATCH(tblHuaweiUnits[[#This Row],[Products]],tblPrices[Products],0), 0)* tblHuaweiUnits[[#This Row],[cv_2019]]/10^6</f>
        <v>0</v>
      </c>
      <c r="O69" s="62" cm="1">
        <f t="array" ref="O69">INDEX(tblPrices[cv_2020], MATCH(tblHuaweiUnits[[#This Row],[Products]],tblPrices[Products],0), 0)* tblHuaweiUnits[[#This Row],[cv_2020]]/10^6</f>
        <v>0</v>
      </c>
      <c r="P69" s="62" cm="1">
        <f t="array" ref="P69">INDEX(tblPrices[cv_2021], MATCH(tblHuaweiUnits[[#This Row],[Products]],tblPrices[Products],0), 0)* tblHuaweiUnits[[#This Row],[cv_2021]]/10^6</f>
        <v>0</v>
      </c>
      <c r="Q69" s="62" cm="1">
        <f t="array" ref="Q69">INDEX(tblPrices[cv_2022], MATCH(tblHuaweiUnits[[#This Row],[Products]],tblPrices[Products],0), 0)* tblHuaweiUnits[[#This Row],[cv_2022]]/10^6</f>
        <v>0</v>
      </c>
      <c r="R69" s="62" cm="1">
        <f t="array" ref="R69">INDEX(tblPrices[cv_2023], MATCH(tblHuaweiUnits[[#This Row],[Products]],tblPrices[Products],0), 0)* tblHuaweiUnits[[#This Row],[cv_2023]]/10^6</f>
        <v>0</v>
      </c>
      <c r="S69" s="62" cm="1">
        <f t="array" ref="S69">INDEX(tblPrices[cv_2024], MATCH(tblHuaweiUnits[[#This Row],[Products]],tblPrices[Products],0), 0)* tblHuaweiUnits[[#This Row],[cv_2024]]/10^6</f>
        <v>0</v>
      </c>
      <c r="T69" s="62" cm="1">
        <f t="array" ref="T69">INDEX(tblPrices[cv_2025], MATCH(tblHuaweiUnits[[#This Row],[Products]],tblPrices[Products],0), 0)* tblHuaweiUnits[[#This Row],[cv_2025]]/10^6</f>
        <v>0</v>
      </c>
      <c r="U69" s="62" cm="1">
        <f t="array" ref="U69">INDEX(tblPrices[cv_2026], MATCH(tblHuaweiUnits[[#This Row],[Products]],tblPrices[Products],0), 0)* tblHuaweiUnits[[#This Row],[cv_2026]]/10^6</f>
        <v>0</v>
      </c>
      <c r="V69" s="62" cm="1">
        <f t="array" ref="V69">INDEX(tblPrices[cv_2027], MATCH(tblHuaweiUnits[[#This Row],[Products]],tblPrices[Products],0), 0)* tblHuaweiUnits[[#This Row],[cv_2027]]/10^6</f>
        <v>0</v>
      </c>
      <c r="W69" s="62" cm="1">
        <f t="array" ref="W69">INDEX(tblPrices[cv_2028], MATCH(tblHuaweiUnits[[#This Row],[Products]],tblPrices[Products],0), 0)* tblHuaweiUnits[[#This Row],[cv_2028]]/10^6</f>
        <v>0</v>
      </c>
      <c r="X69" s="1">
        <f>VLOOKUP(A69,Products!$A$29:$F$110,6,FALSE)</f>
        <v>1600</v>
      </c>
    </row>
    <row r="70" spans="1:24" s="1" customFormat="1" ht="13.15">
      <c r="A70" s="72" t="s">
        <v>49</v>
      </c>
      <c r="B70" s="73">
        <v>0</v>
      </c>
      <c r="C70" s="73">
        <v>0</v>
      </c>
      <c r="D70" s="73"/>
      <c r="E70" s="73"/>
      <c r="F70" s="73"/>
      <c r="G70" s="73"/>
      <c r="H70" s="73"/>
      <c r="I70" s="73"/>
      <c r="J70" s="73"/>
      <c r="K70" s="73"/>
      <c r="L70" s="73"/>
      <c r="M70" s="115" cm="1">
        <f t="array" ref="M70">INDEX(tblPrices[cv_2018], MATCH(tblHuaweiUnits[[#This Row],[Products]],tblPrices[Products],0), 0)* tblHuaweiUnits[[#This Row],[cv_2018]]/10^6</f>
        <v>0</v>
      </c>
      <c r="N70" s="115" cm="1">
        <f t="array" ref="N70">INDEX(tblPrices[cv_2019], MATCH(tblHuaweiUnits[[#This Row],[Products]],tblPrices[Products],0), 0)* tblHuaweiUnits[[#This Row],[cv_2019]]/10^6</f>
        <v>0</v>
      </c>
      <c r="O70" s="115" cm="1">
        <f t="array" ref="O70">INDEX(tblPrices[cv_2020], MATCH(tblHuaweiUnits[[#This Row],[Products]],tblPrices[Products],0), 0)* tblHuaweiUnits[[#This Row],[cv_2020]]/10^6</f>
        <v>0</v>
      </c>
      <c r="P70" s="115" cm="1">
        <f t="array" ref="P70">INDEX(tblPrices[cv_2021], MATCH(tblHuaweiUnits[[#This Row],[Products]],tblPrices[Products],0), 0)* tblHuaweiUnits[[#This Row],[cv_2021]]/10^6</f>
        <v>0</v>
      </c>
      <c r="Q70" s="115" cm="1">
        <f t="array" ref="Q70">INDEX(tblPrices[cv_2022], MATCH(tblHuaweiUnits[[#This Row],[Products]],tblPrices[Products],0), 0)* tblHuaweiUnits[[#This Row],[cv_2022]]/10^6</f>
        <v>0</v>
      </c>
      <c r="R70" s="115" cm="1">
        <f t="array" ref="R70">INDEX(tblPrices[cv_2023], MATCH(tblHuaweiUnits[[#This Row],[Products]],tblPrices[Products],0), 0)* tblHuaweiUnits[[#This Row],[cv_2023]]/10^6</f>
        <v>0</v>
      </c>
      <c r="S70" s="115" cm="1">
        <f t="array" ref="S70">INDEX(tblPrices[cv_2024], MATCH(tblHuaweiUnits[[#This Row],[Products]],tblPrices[Products],0), 0)* tblHuaweiUnits[[#This Row],[cv_2024]]/10^6</f>
        <v>0</v>
      </c>
      <c r="T70" s="115" cm="1">
        <f t="array" ref="T70">INDEX(tblPrices[cv_2025], MATCH(tblHuaweiUnits[[#This Row],[Products]],tblPrices[Products],0), 0)* tblHuaweiUnits[[#This Row],[cv_2025]]/10^6</f>
        <v>0</v>
      </c>
      <c r="U70" s="115" cm="1">
        <f t="array" ref="U70">INDEX(tblPrices[cv_2026], MATCH(tblHuaweiUnits[[#This Row],[Products]],tblPrices[Products],0), 0)* tblHuaweiUnits[[#This Row],[cv_2026]]/10^6</f>
        <v>0</v>
      </c>
      <c r="V70" s="115" cm="1">
        <f t="array" ref="V70">INDEX(tblPrices[cv_2027], MATCH(tblHuaweiUnits[[#This Row],[Products]],tblPrices[Products],0), 0)* tblHuaweiUnits[[#This Row],[cv_2027]]/10^6</f>
        <v>0</v>
      </c>
      <c r="W70" s="115" cm="1">
        <f t="array" ref="W70">INDEX(tblPrices[cv_2028], MATCH(tblHuaweiUnits[[#This Row],[Products]],tblPrices[Products],0), 0)* tblHuaweiUnits[[#This Row],[cv_2028]]/10^6</f>
        <v>0</v>
      </c>
      <c r="X70" s="1">
        <f>VLOOKUP(A70,Products!$A$29:$F$110,6,FALSE)</f>
        <v>1600</v>
      </c>
    </row>
    <row r="71" spans="1:24">
      <c r="A71" s="9" t="s">
        <v>21</v>
      </c>
      <c r="B71" s="8">
        <v>0</v>
      </c>
      <c r="C71" s="8">
        <v>0</v>
      </c>
      <c r="D71" s="8"/>
      <c r="E71" s="8"/>
      <c r="F71" s="8"/>
      <c r="G71" s="8"/>
      <c r="H71" s="8"/>
      <c r="I71" s="8"/>
      <c r="J71" s="8"/>
      <c r="K71" s="8"/>
      <c r="L71" s="8"/>
      <c r="M71" s="62" cm="1">
        <f t="array" ref="M71">INDEX(tblPrices[cv_2018], MATCH(tblHuaweiUnits[[#This Row],[Products]],tblPrices[Products],0), 0)* tblHuaweiUnits[[#This Row],[cv_2018]]/10^6</f>
        <v>0</v>
      </c>
      <c r="N71" s="62" cm="1">
        <f t="array" ref="N71">INDEX(tblPrices[cv_2019], MATCH(tblHuaweiUnits[[#This Row],[Products]],tblPrices[Products],0), 0)* tblHuaweiUnits[[#This Row],[cv_2019]]/10^6</f>
        <v>0</v>
      </c>
      <c r="O71" s="62" cm="1">
        <f t="array" ref="O71">INDEX(tblPrices[cv_2020], MATCH(tblHuaweiUnits[[#This Row],[Products]],tblPrices[Products],0), 0)* tblHuaweiUnits[[#This Row],[cv_2020]]/10^6</f>
        <v>0</v>
      </c>
      <c r="P71" s="62" cm="1">
        <f t="array" ref="P71">INDEX(tblPrices[cv_2021], MATCH(tblHuaweiUnits[[#This Row],[Products]],tblPrices[Products],0), 0)* tblHuaweiUnits[[#This Row],[cv_2021]]/10^6</f>
        <v>0</v>
      </c>
      <c r="Q71" s="62" cm="1">
        <f t="array" ref="Q71">INDEX(tblPrices[cv_2022], MATCH(tblHuaweiUnits[[#This Row],[Products]],tblPrices[Products],0), 0)* tblHuaweiUnits[[#This Row],[cv_2022]]/10^6</f>
        <v>0</v>
      </c>
      <c r="R71" s="62" cm="1">
        <f t="array" ref="R71">INDEX(tblPrices[cv_2023], MATCH(tblHuaweiUnits[[#This Row],[Products]],tblPrices[Products],0), 0)* tblHuaweiUnits[[#This Row],[cv_2023]]/10^6</f>
        <v>0</v>
      </c>
      <c r="S71" s="62" cm="1">
        <f t="array" ref="S71">INDEX(tblPrices[cv_2024], MATCH(tblHuaweiUnits[[#This Row],[Products]],tblPrices[Products],0), 0)* tblHuaweiUnits[[#This Row],[cv_2024]]/10^6</f>
        <v>0</v>
      </c>
      <c r="T71" s="62" cm="1">
        <f t="array" ref="T71">INDEX(tblPrices[cv_2025], MATCH(tblHuaweiUnits[[#This Row],[Products]],tblPrices[Products],0), 0)* tblHuaweiUnits[[#This Row],[cv_2025]]/10^6</f>
        <v>0</v>
      </c>
      <c r="U71" s="62" cm="1">
        <f t="array" ref="U71">INDEX(tblPrices[cv_2026], MATCH(tblHuaweiUnits[[#This Row],[Products]],tblPrices[Products],0), 0)* tblHuaweiUnits[[#This Row],[cv_2026]]/10^6</f>
        <v>0</v>
      </c>
      <c r="V71" s="62" cm="1">
        <f t="array" ref="V71">INDEX(tblPrices[cv_2027], MATCH(tblHuaweiUnits[[#This Row],[Products]],tblPrices[Products],0), 0)* tblHuaweiUnits[[#This Row],[cv_2027]]/10^6</f>
        <v>0</v>
      </c>
      <c r="W71" s="62" cm="1">
        <f t="array" ref="W71">INDEX(tblPrices[cv_2028], MATCH(tblHuaweiUnits[[#This Row],[Products]],tblPrices[Products],0), 0)* tblHuaweiUnits[[#This Row],[cv_2028]]/10^6</f>
        <v>0</v>
      </c>
      <c r="X71" s="1">
        <f>VLOOKUP(A71,Products!$A$29:$F$110,6,FALSE)</f>
        <v>10</v>
      </c>
    </row>
    <row r="72" spans="1:24">
      <c r="A72" s="9" t="s">
        <v>22</v>
      </c>
      <c r="B72" s="8">
        <v>0</v>
      </c>
      <c r="C72" s="8">
        <v>0</v>
      </c>
      <c r="D72" s="8"/>
      <c r="E72" s="8"/>
      <c r="F72" s="8"/>
      <c r="G72" s="8"/>
      <c r="H72" s="8"/>
      <c r="I72" s="8"/>
      <c r="J72" s="8"/>
      <c r="K72" s="8"/>
      <c r="L72" s="8"/>
      <c r="M72" s="62" cm="1">
        <f t="array" ref="M72">INDEX(tblPrices[cv_2018], MATCH(tblHuaweiUnits[[#This Row],[Products]],tblPrices[Products],0), 0)* tblHuaweiUnits[[#This Row],[cv_2018]]/10^6</f>
        <v>0</v>
      </c>
      <c r="N72" s="62" cm="1">
        <f t="array" ref="N72">INDEX(tblPrices[cv_2019], MATCH(tblHuaweiUnits[[#This Row],[Products]],tblPrices[Products],0), 0)* tblHuaweiUnits[[#This Row],[cv_2019]]/10^6</f>
        <v>0</v>
      </c>
      <c r="O72" s="62" cm="1">
        <f t="array" ref="O72">INDEX(tblPrices[cv_2020], MATCH(tblHuaweiUnits[[#This Row],[Products]],tblPrices[Products],0), 0)* tblHuaweiUnits[[#This Row],[cv_2020]]/10^6</f>
        <v>0</v>
      </c>
      <c r="P72" s="62" cm="1">
        <f t="array" ref="P72">INDEX(tblPrices[cv_2021], MATCH(tblHuaweiUnits[[#This Row],[Products]],tblPrices[Products],0), 0)* tblHuaweiUnits[[#This Row],[cv_2021]]/10^6</f>
        <v>0</v>
      </c>
      <c r="Q72" s="62" cm="1">
        <f t="array" ref="Q72">INDEX(tblPrices[cv_2022], MATCH(tblHuaweiUnits[[#This Row],[Products]],tblPrices[Products],0), 0)* tblHuaweiUnits[[#This Row],[cv_2022]]/10^6</f>
        <v>0</v>
      </c>
      <c r="R72" s="62" cm="1">
        <f t="array" ref="R72">INDEX(tblPrices[cv_2023], MATCH(tblHuaweiUnits[[#This Row],[Products]],tblPrices[Products],0), 0)* tblHuaweiUnits[[#This Row],[cv_2023]]/10^6</f>
        <v>0</v>
      </c>
      <c r="S72" s="62" cm="1">
        <f t="array" ref="S72">INDEX(tblPrices[cv_2024], MATCH(tblHuaweiUnits[[#This Row],[Products]],tblPrices[Products],0), 0)* tblHuaweiUnits[[#This Row],[cv_2024]]/10^6</f>
        <v>0</v>
      </c>
      <c r="T72" s="62" cm="1">
        <f t="array" ref="T72">INDEX(tblPrices[cv_2025], MATCH(tblHuaweiUnits[[#This Row],[Products]],tblPrices[Products],0), 0)* tblHuaweiUnits[[#This Row],[cv_2025]]/10^6</f>
        <v>0</v>
      </c>
      <c r="U72" s="62" cm="1">
        <f t="array" ref="U72">INDEX(tblPrices[cv_2026], MATCH(tblHuaweiUnits[[#This Row],[Products]],tblPrices[Products],0), 0)* tblHuaweiUnits[[#This Row],[cv_2026]]/10^6</f>
        <v>0</v>
      </c>
      <c r="V72" s="62" cm="1">
        <f t="array" ref="V72">INDEX(tblPrices[cv_2027], MATCH(tblHuaweiUnits[[#This Row],[Products]],tblPrices[Products],0), 0)* tblHuaweiUnits[[#This Row],[cv_2027]]/10^6</f>
        <v>0</v>
      </c>
      <c r="W72" s="62" cm="1">
        <f t="array" ref="W72">INDEX(tblPrices[cv_2028], MATCH(tblHuaweiUnits[[#This Row],[Products]],tblPrices[Products],0), 0)* tblHuaweiUnits[[#This Row],[cv_2028]]/10^6</f>
        <v>0</v>
      </c>
      <c r="X72" s="1">
        <f>VLOOKUP(A72,Products!$A$29:$F$110,6,FALSE)</f>
        <v>40</v>
      </c>
    </row>
    <row r="73" spans="1:24">
      <c r="A73" s="9" t="s">
        <v>23</v>
      </c>
      <c r="B73" s="8">
        <v>0</v>
      </c>
      <c r="C73" s="8">
        <v>0</v>
      </c>
      <c r="D73" s="8"/>
      <c r="E73" s="8"/>
      <c r="F73" s="8"/>
      <c r="G73" s="8"/>
      <c r="H73" s="8"/>
      <c r="I73" s="8"/>
      <c r="J73" s="8"/>
      <c r="K73" s="8"/>
      <c r="L73" s="8"/>
      <c r="M73" s="62" cm="1">
        <f t="array" ref="M73">INDEX(tblPrices[cv_2018], MATCH(tblHuaweiUnits[[#This Row],[Products]],tblPrices[Products],0), 0)* tblHuaweiUnits[[#This Row],[cv_2018]]/10^6</f>
        <v>0</v>
      </c>
      <c r="N73" s="62" cm="1">
        <f t="array" ref="N73">INDEX(tblPrices[cv_2019], MATCH(tblHuaweiUnits[[#This Row],[Products]],tblPrices[Products],0), 0)* tblHuaweiUnits[[#This Row],[cv_2019]]/10^6</f>
        <v>0</v>
      </c>
      <c r="O73" s="62" cm="1">
        <f t="array" ref="O73">INDEX(tblPrices[cv_2020], MATCH(tblHuaweiUnits[[#This Row],[Products]],tblPrices[Products],0), 0)* tblHuaweiUnits[[#This Row],[cv_2020]]/10^6</f>
        <v>0</v>
      </c>
      <c r="P73" s="62" cm="1">
        <f t="array" ref="P73">INDEX(tblPrices[cv_2021], MATCH(tblHuaweiUnits[[#This Row],[Products]],tblPrices[Products],0), 0)* tblHuaweiUnits[[#This Row],[cv_2021]]/10^6</f>
        <v>0</v>
      </c>
      <c r="Q73" s="62" cm="1">
        <f t="array" ref="Q73">INDEX(tblPrices[cv_2022], MATCH(tblHuaweiUnits[[#This Row],[Products]],tblPrices[Products],0), 0)* tblHuaweiUnits[[#This Row],[cv_2022]]/10^6</f>
        <v>0</v>
      </c>
      <c r="R73" s="62" cm="1">
        <f t="array" ref="R73">INDEX(tblPrices[cv_2023], MATCH(tblHuaweiUnits[[#This Row],[Products]],tblPrices[Products],0), 0)* tblHuaweiUnits[[#This Row],[cv_2023]]/10^6</f>
        <v>0</v>
      </c>
      <c r="S73" s="62" cm="1">
        <f t="array" ref="S73">INDEX(tblPrices[cv_2024], MATCH(tblHuaweiUnits[[#This Row],[Products]],tblPrices[Products],0), 0)* tblHuaweiUnits[[#This Row],[cv_2024]]/10^6</f>
        <v>0</v>
      </c>
      <c r="T73" s="62" cm="1">
        <f t="array" ref="T73">INDEX(tblPrices[cv_2025], MATCH(tblHuaweiUnits[[#This Row],[Products]],tblPrices[Products],0), 0)* tblHuaweiUnits[[#This Row],[cv_2025]]/10^6</f>
        <v>0</v>
      </c>
      <c r="U73" s="62" cm="1">
        <f t="array" ref="U73">INDEX(tblPrices[cv_2026], MATCH(tblHuaweiUnits[[#This Row],[Products]],tblPrices[Products],0), 0)* tblHuaweiUnits[[#This Row],[cv_2026]]/10^6</f>
        <v>0</v>
      </c>
      <c r="V73" s="62" cm="1">
        <f t="array" ref="V73">INDEX(tblPrices[cv_2027], MATCH(tblHuaweiUnits[[#This Row],[Products]],tblPrices[Products],0), 0)* tblHuaweiUnits[[#This Row],[cv_2027]]/10^6</f>
        <v>0</v>
      </c>
      <c r="W73" s="62" cm="1">
        <f t="array" ref="W73">INDEX(tblPrices[cv_2028], MATCH(tblHuaweiUnits[[#This Row],[Products]],tblPrices[Products],0), 0)* tblHuaweiUnits[[#This Row],[cv_2028]]/10^6</f>
        <v>0</v>
      </c>
      <c r="X73" s="1">
        <f>VLOOKUP(A73,Products!$A$29:$F$110,6,FALSE)</f>
        <v>100</v>
      </c>
    </row>
    <row r="74" spans="1:24">
      <c r="A74" s="9" t="s">
        <v>24</v>
      </c>
      <c r="B74" s="8">
        <v>0</v>
      </c>
      <c r="C74" s="8">
        <v>0</v>
      </c>
      <c r="D74" s="8"/>
      <c r="E74" s="8"/>
      <c r="F74" s="8"/>
      <c r="G74" s="8"/>
      <c r="H74" s="8"/>
      <c r="I74" s="8"/>
      <c r="J74" s="8"/>
      <c r="K74" s="8"/>
      <c r="L74" s="8"/>
      <c r="M74" s="62" cm="1">
        <f t="array" ref="M74">INDEX(tblPrices[cv_2018], MATCH(tblHuaweiUnits[[#This Row],[Products]],tblPrices[Products],0), 0)* tblHuaweiUnits[[#This Row],[cv_2018]]/10^6</f>
        <v>0</v>
      </c>
      <c r="N74" s="62" cm="1">
        <f t="array" ref="N74">INDEX(tblPrices[cv_2019], MATCH(tblHuaweiUnits[[#This Row],[Products]],tblPrices[Products],0), 0)* tblHuaweiUnits[[#This Row],[cv_2019]]/10^6</f>
        <v>0</v>
      </c>
      <c r="O74" s="62" cm="1">
        <f t="array" ref="O74">INDEX(tblPrices[cv_2020], MATCH(tblHuaweiUnits[[#This Row],[Products]],tblPrices[Products],0), 0)* tblHuaweiUnits[[#This Row],[cv_2020]]/10^6</f>
        <v>0</v>
      </c>
      <c r="P74" s="62" cm="1">
        <f t="array" ref="P74">INDEX(tblPrices[cv_2021], MATCH(tblHuaweiUnits[[#This Row],[Products]],tblPrices[Products],0), 0)* tblHuaweiUnits[[#This Row],[cv_2021]]/10^6</f>
        <v>0</v>
      </c>
      <c r="Q74" s="62" cm="1">
        <f t="array" ref="Q74">INDEX(tblPrices[cv_2022], MATCH(tblHuaweiUnits[[#This Row],[Products]],tblPrices[Products],0), 0)* tblHuaweiUnits[[#This Row],[cv_2022]]/10^6</f>
        <v>0</v>
      </c>
      <c r="R74" s="62" cm="1">
        <f t="array" ref="R74">INDEX(tblPrices[cv_2023], MATCH(tblHuaweiUnits[[#This Row],[Products]],tblPrices[Products],0), 0)* tblHuaweiUnits[[#This Row],[cv_2023]]/10^6</f>
        <v>0</v>
      </c>
      <c r="S74" s="62" cm="1">
        <f t="array" ref="S74">INDEX(tblPrices[cv_2024], MATCH(tblHuaweiUnits[[#This Row],[Products]],tblPrices[Products],0), 0)* tblHuaweiUnits[[#This Row],[cv_2024]]/10^6</f>
        <v>0</v>
      </c>
      <c r="T74" s="62" cm="1">
        <f t="array" ref="T74">INDEX(tblPrices[cv_2025], MATCH(tblHuaweiUnits[[#This Row],[Products]],tblPrices[Products],0), 0)* tblHuaweiUnits[[#This Row],[cv_2025]]/10^6</f>
        <v>0</v>
      </c>
      <c r="U74" s="62" cm="1">
        <f t="array" ref="U74">INDEX(tblPrices[cv_2026], MATCH(tblHuaweiUnits[[#This Row],[Products]],tblPrices[Products],0), 0)* tblHuaweiUnits[[#This Row],[cv_2026]]/10^6</f>
        <v>0</v>
      </c>
      <c r="V74" s="62" cm="1">
        <f t="array" ref="V74">INDEX(tblPrices[cv_2027], MATCH(tblHuaweiUnits[[#This Row],[Products]],tblPrices[Products],0), 0)* tblHuaweiUnits[[#This Row],[cv_2027]]/10^6</f>
        <v>0</v>
      </c>
      <c r="W74" s="62" cm="1">
        <f t="array" ref="W74">INDEX(tblPrices[cv_2028], MATCH(tblHuaweiUnits[[#This Row],[Products]],tblPrices[Products],0), 0)* tblHuaweiUnits[[#This Row],[cv_2028]]/10^6</f>
        <v>0</v>
      </c>
      <c r="X74" s="1">
        <f>VLOOKUP(A74,Products!$A$29:$F$110,6,FALSE)</f>
        <v>100</v>
      </c>
    </row>
    <row r="75" spans="1:24">
      <c r="A75" s="9" t="s">
        <v>25</v>
      </c>
      <c r="B75" s="8">
        <v>0</v>
      </c>
      <c r="C75" s="8">
        <v>0</v>
      </c>
      <c r="D75" s="8"/>
      <c r="E75" s="8"/>
      <c r="F75" s="8"/>
      <c r="G75" s="8"/>
      <c r="H75" s="8"/>
      <c r="I75" s="8"/>
      <c r="J75" s="8"/>
      <c r="K75" s="8"/>
      <c r="L75" s="8"/>
      <c r="M75" s="62" cm="1">
        <f t="array" ref="M75">INDEX(tblPrices[cv_2018], MATCH(tblHuaweiUnits[[#This Row],[Products]],tblPrices[Products],0), 0)* tblHuaweiUnits[[#This Row],[cv_2018]]/10^6</f>
        <v>0</v>
      </c>
      <c r="N75" s="62" cm="1">
        <f t="array" ref="N75">INDEX(tblPrices[cv_2019], MATCH(tblHuaweiUnits[[#This Row],[Products]],tblPrices[Products],0), 0)* tblHuaweiUnits[[#This Row],[cv_2019]]/10^6</f>
        <v>0</v>
      </c>
      <c r="O75" s="62" cm="1">
        <f t="array" ref="O75">INDEX(tblPrices[cv_2020], MATCH(tblHuaweiUnits[[#This Row],[Products]],tblPrices[Products],0), 0)* tblHuaweiUnits[[#This Row],[cv_2020]]/10^6</f>
        <v>0</v>
      </c>
      <c r="P75" s="62" cm="1">
        <f t="array" ref="P75">INDEX(tblPrices[cv_2021], MATCH(tblHuaweiUnits[[#This Row],[Products]],tblPrices[Products],0), 0)* tblHuaweiUnits[[#This Row],[cv_2021]]/10^6</f>
        <v>0</v>
      </c>
      <c r="Q75" s="62" cm="1">
        <f t="array" ref="Q75">INDEX(tblPrices[cv_2022], MATCH(tblHuaweiUnits[[#This Row],[Products]],tblPrices[Products],0), 0)* tblHuaweiUnits[[#This Row],[cv_2022]]/10^6</f>
        <v>0</v>
      </c>
      <c r="R75" s="62" cm="1">
        <f t="array" ref="R75">INDEX(tblPrices[cv_2023], MATCH(tblHuaweiUnits[[#This Row],[Products]],tblPrices[Products],0), 0)* tblHuaweiUnits[[#This Row],[cv_2023]]/10^6</f>
        <v>0</v>
      </c>
      <c r="S75" s="62" cm="1">
        <f t="array" ref="S75">INDEX(tblPrices[cv_2024], MATCH(tblHuaweiUnits[[#This Row],[Products]],tblPrices[Products],0), 0)* tblHuaweiUnits[[#This Row],[cv_2024]]/10^6</f>
        <v>0</v>
      </c>
      <c r="T75" s="62" cm="1">
        <f t="array" ref="T75">INDEX(tblPrices[cv_2025], MATCH(tblHuaweiUnits[[#This Row],[Products]],tblPrices[Products],0), 0)* tblHuaweiUnits[[#This Row],[cv_2025]]/10^6</f>
        <v>0</v>
      </c>
      <c r="U75" s="62" cm="1">
        <f t="array" ref="U75">INDEX(tblPrices[cv_2026], MATCH(tblHuaweiUnits[[#This Row],[Products]],tblPrices[Products],0), 0)* tblHuaweiUnits[[#This Row],[cv_2026]]/10^6</f>
        <v>0</v>
      </c>
      <c r="V75" s="62" cm="1">
        <f t="array" ref="V75">INDEX(tblPrices[cv_2027], MATCH(tblHuaweiUnits[[#This Row],[Products]],tblPrices[Products],0), 0)* tblHuaweiUnits[[#This Row],[cv_2027]]/10^6</f>
        <v>0</v>
      </c>
      <c r="W75" s="62" cm="1">
        <f t="array" ref="W75">INDEX(tblPrices[cv_2028], MATCH(tblHuaweiUnits[[#This Row],[Products]],tblPrices[Products],0), 0)* tblHuaweiUnits[[#This Row],[cv_2028]]/10^6</f>
        <v>0</v>
      </c>
      <c r="X75" s="1">
        <f>VLOOKUP(A75,Products!$A$29:$F$110,6,FALSE)</f>
        <v>100</v>
      </c>
    </row>
    <row r="76" spans="1:24">
      <c r="A76" s="9" t="s">
        <v>26</v>
      </c>
      <c r="B76" s="8">
        <v>0</v>
      </c>
      <c r="C76" s="8">
        <v>0</v>
      </c>
      <c r="D76" s="8"/>
      <c r="E76" s="8"/>
      <c r="F76" s="8"/>
      <c r="G76" s="8"/>
      <c r="H76" s="8"/>
      <c r="I76" s="8"/>
      <c r="J76" s="8"/>
      <c r="K76" s="8"/>
      <c r="L76" s="8"/>
      <c r="M76" s="62" cm="1">
        <f t="array" ref="M76">INDEX(tblPrices[cv_2018], MATCH(tblHuaweiUnits[[#This Row],[Products]],tblPrices[Products],0), 0)* tblHuaweiUnits[[#This Row],[cv_2018]]/10^6</f>
        <v>0</v>
      </c>
      <c r="N76" s="62" cm="1">
        <f t="array" ref="N76">INDEX(tblPrices[cv_2019], MATCH(tblHuaweiUnits[[#This Row],[Products]],tblPrices[Products],0), 0)* tblHuaweiUnits[[#This Row],[cv_2019]]/10^6</f>
        <v>0</v>
      </c>
      <c r="O76" s="62" cm="1">
        <f t="array" ref="O76">INDEX(tblPrices[cv_2020], MATCH(tblHuaweiUnits[[#This Row],[Products]],tblPrices[Products],0), 0)* tblHuaweiUnits[[#This Row],[cv_2020]]/10^6</f>
        <v>0</v>
      </c>
      <c r="P76" s="62" cm="1">
        <f t="array" ref="P76">INDEX(tblPrices[cv_2021], MATCH(tblHuaweiUnits[[#This Row],[Products]],tblPrices[Products],0), 0)* tblHuaweiUnits[[#This Row],[cv_2021]]/10^6</f>
        <v>0</v>
      </c>
      <c r="Q76" s="62" cm="1">
        <f t="array" ref="Q76">INDEX(tblPrices[cv_2022], MATCH(tblHuaweiUnits[[#This Row],[Products]],tblPrices[Products],0), 0)* tblHuaweiUnits[[#This Row],[cv_2022]]/10^6</f>
        <v>0</v>
      </c>
      <c r="R76" s="62" cm="1">
        <f t="array" ref="R76">INDEX(tblPrices[cv_2023], MATCH(tblHuaweiUnits[[#This Row],[Products]],tblPrices[Products],0), 0)* tblHuaweiUnits[[#This Row],[cv_2023]]/10^6</f>
        <v>0</v>
      </c>
      <c r="S76" s="62" cm="1">
        <f t="array" ref="S76">INDEX(tblPrices[cv_2024], MATCH(tblHuaweiUnits[[#This Row],[Products]],tblPrices[Products],0), 0)* tblHuaweiUnits[[#This Row],[cv_2024]]/10^6</f>
        <v>0</v>
      </c>
      <c r="T76" s="62" cm="1">
        <f t="array" ref="T76">INDEX(tblPrices[cv_2025], MATCH(tblHuaweiUnits[[#This Row],[Products]],tblPrices[Products],0), 0)* tblHuaweiUnits[[#This Row],[cv_2025]]/10^6</f>
        <v>0</v>
      </c>
      <c r="U76" s="62" cm="1">
        <f t="array" ref="U76">INDEX(tblPrices[cv_2026], MATCH(tblHuaweiUnits[[#This Row],[Products]],tblPrices[Products],0), 0)* tblHuaweiUnits[[#This Row],[cv_2026]]/10^6</f>
        <v>0</v>
      </c>
      <c r="V76" s="62" cm="1">
        <f t="array" ref="V76">INDEX(tblPrices[cv_2027], MATCH(tblHuaweiUnits[[#This Row],[Products]],tblPrices[Products],0), 0)* tblHuaweiUnits[[#This Row],[cv_2027]]/10^6</f>
        <v>0</v>
      </c>
      <c r="W76" s="62" cm="1">
        <f t="array" ref="W76">INDEX(tblPrices[cv_2028], MATCH(tblHuaweiUnits[[#This Row],[Products]],tblPrices[Products],0), 0)* tblHuaweiUnits[[#This Row],[cv_2028]]/10^6</f>
        <v>0</v>
      </c>
      <c r="X76" s="1">
        <f>VLOOKUP(A76,Products!$A$29:$F$110,6,FALSE)</f>
        <v>100</v>
      </c>
    </row>
    <row r="77" spans="1:24">
      <c r="A77" s="9" t="s">
        <v>27</v>
      </c>
      <c r="B77" s="8">
        <v>0</v>
      </c>
      <c r="C77" s="8">
        <v>0</v>
      </c>
      <c r="D77" s="8"/>
      <c r="E77" s="8"/>
      <c r="F77" s="8"/>
      <c r="G77" s="8"/>
      <c r="H77" s="8"/>
      <c r="I77" s="8"/>
      <c r="J77" s="8"/>
      <c r="K77" s="8"/>
      <c r="L77" s="8"/>
      <c r="M77" s="62" cm="1">
        <f t="array" ref="M77">INDEX(tblPrices[cv_2018], MATCH(tblHuaweiUnits[[#This Row],[Products]],tblPrices[Products],0), 0)* tblHuaweiUnits[[#This Row],[cv_2018]]/10^6</f>
        <v>0</v>
      </c>
      <c r="N77" s="62" cm="1">
        <f t="array" ref="N77">INDEX(tblPrices[cv_2019], MATCH(tblHuaweiUnits[[#This Row],[Products]],tblPrices[Products],0), 0)* tblHuaweiUnits[[#This Row],[cv_2019]]/10^6</f>
        <v>0</v>
      </c>
      <c r="O77" s="62" cm="1">
        <f t="array" ref="O77">INDEX(tblPrices[cv_2020], MATCH(tblHuaweiUnits[[#This Row],[Products]],tblPrices[Products],0), 0)* tblHuaweiUnits[[#This Row],[cv_2020]]/10^6</f>
        <v>0</v>
      </c>
      <c r="P77" s="62" cm="1">
        <f t="array" ref="P77">INDEX(tblPrices[cv_2021], MATCH(tblHuaweiUnits[[#This Row],[Products]],tblPrices[Products],0), 0)* tblHuaweiUnits[[#This Row],[cv_2021]]/10^6</f>
        <v>0</v>
      </c>
      <c r="Q77" s="62" cm="1">
        <f t="array" ref="Q77">INDEX(tblPrices[cv_2022], MATCH(tblHuaweiUnits[[#This Row],[Products]],tblPrices[Products],0), 0)* tblHuaweiUnits[[#This Row],[cv_2022]]/10^6</f>
        <v>0</v>
      </c>
      <c r="R77" s="62" cm="1">
        <f t="array" ref="R77">INDEX(tblPrices[cv_2023], MATCH(tblHuaweiUnits[[#This Row],[Products]],tblPrices[Products],0), 0)* tblHuaweiUnits[[#This Row],[cv_2023]]/10^6</f>
        <v>0</v>
      </c>
      <c r="S77" s="62" cm="1">
        <f t="array" ref="S77">INDEX(tblPrices[cv_2024], MATCH(tblHuaweiUnits[[#This Row],[Products]],tblPrices[Products],0), 0)* tblHuaweiUnits[[#This Row],[cv_2024]]/10^6</f>
        <v>0</v>
      </c>
      <c r="T77" s="62" cm="1">
        <f t="array" ref="T77">INDEX(tblPrices[cv_2025], MATCH(tblHuaweiUnits[[#This Row],[Products]],tblPrices[Products],0), 0)* tblHuaweiUnits[[#This Row],[cv_2025]]/10^6</f>
        <v>0</v>
      </c>
      <c r="U77" s="62" cm="1">
        <f t="array" ref="U77">INDEX(tblPrices[cv_2026], MATCH(tblHuaweiUnits[[#This Row],[Products]],tblPrices[Products],0), 0)* tblHuaweiUnits[[#This Row],[cv_2026]]/10^6</f>
        <v>0</v>
      </c>
      <c r="V77" s="62" cm="1">
        <f t="array" ref="V77">INDEX(tblPrices[cv_2027], MATCH(tblHuaweiUnits[[#This Row],[Products]],tblPrices[Products],0), 0)* tblHuaweiUnits[[#This Row],[cv_2027]]/10^6</f>
        <v>0</v>
      </c>
      <c r="W77" s="62" cm="1">
        <f t="array" ref="W77">INDEX(tblPrices[cv_2028], MATCH(tblHuaweiUnits[[#This Row],[Products]],tblPrices[Products],0), 0)* tblHuaweiUnits[[#This Row],[cv_2028]]/10^6</f>
        <v>0</v>
      </c>
      <c r="X77" s="1">
        <f>VLOOKUP(A77,Products!$A$29:$F$110,6,FALSE)</f>
        <v>100</v>
      </c>
    </row>
    <row r="78" spans="1:24">
      <c r="A78" s="9" t="s">
        <v>28</v>
      </c>
      <c r="B78" s="8">
        <v>0</v>
      </c>
      <c r="C78" s="8">
        <v>0</v>
      </c>
      <c r="D78" s="8"/>
      <c r="E78" s="8"/>
      <c r="F78" s="8"/>
      <c r="G78" s="8"/>
      <c r="H78" s="8"/>
      <c r="I78" s="8"/>
      <c r="J78" s="8"/>
      <c r="K78" s="8"/>
      <c r="L78" s="8"/>
      <c r="M78" s="62" cm="1">
        <f t="array" ref="M78">INDEX(tblPrices[cv_2018], MATCH(tblHuaweiUnits[[#This Row],[Products]],tblPrices[Products],0), 0)* tblHuaweiUnits[[#This Row],[cv_2018]]/10^6</f>
        <v>0</v>
      </c>
      <c r="N78" s="62" cm="1">
        <f t="array" ref="N78">INDEX(tblPrices[cv_2019], MATCH(tblHuaweiUnits[[#This Row],[Products]],tblPrices[Products],0), 0)* tblHuaweiUnits[[#This Row],[cv_2019]]/10^6</f>
        <v>0</v>
      </c>
      <c r="O78" s="62" cm="1">
        <f t="array" ref="O78">INDEX(tblPrices[cv_2020], MATCH(tblHuaweiUnits[[#This Row],[Products]],tblPrices[Products],0), 0)* tblHuaweiUnits[[#This Row],[cv_2020]]/10^6</f>
        <v>0</v>
      </c>
      <c r="P78" s="62" cm="1">
        <f t="array" ref="P78">INDEX(tblPrices[cv_2021], MATCH(tblHuaweiUnits[[#This Row],[Products]],tblPrices[Products],0), 0)* tblHuaweiUnits[[#This Row],[cv_2021]]/10^6</f>
        <v>0</v>
      </c>
      <c r="Q78" s="62" cm="1">
        <f t="array" ref="Q78">INDEX(tblPrices[cv_2022], MATCH(tblHuaweiUnits[[#This Row],[Products]],tblPrices[Products],0), 0)* tblHuaweiUnits[[#This Row],[cv_2022]]/10^6</f>
        <v>0</v>
      </c>
      <c r="R78" s="62" cm="1">
        <f t="array" ref="R78">INDEX(tblPrices[cv_2023], MATCH(tblHuaweiUnits[[#This Row],[Products]],tblPrices[Products],0), 0)* tblHuaweiUnits[[#This Row],[cv_2023]]/10^6</f>
        <v>0</v>
      </c>
      <c r="S78" s="62" cm="1">
        <f t="array" ref="S78">INDEX(tblPrices[cv_2024], MATCH(tblHuaweiUnits[[#This Row],[Products]],tblPrices[Products],0), 0)* tblHuaweiUnits[[#This Row],[cv_2024]]/10^6</f>
        <v>0</v>
      </c>
      <c r="T78" s="62" cm="1">
        <f t="array" ref="T78">INDEX(tblPrices[cv_2025], MATCH(tblHuaweiUnits[[#This Row],[Products]],tblPrices[Products],0), 0)* tblHuaweiUnits[[#This Row],[cv_2025]]/10^6</f>
        <v>0</v>
      </c>
      <c r="U78" s="62" cm="1">
        <f t="array" ref="U78">INDEX(tblPrices[cv_2026], MATCH(tblHuaweiUnits[[#This Row],[Products]],tblPrices[Products],0), 0)* tblHuaweiUnits[[#This Row],[cv_2026]]/10^6</f>
        <v>0</v>
      </c>
      <c r="V78" s="62" cm="1">
        <f t="array" ref="V78">INDEX(tblPrices[cv_2027], MATCH(tblHuaweiUnits[[#This Row],[Products]],tblPrices[Products],0), 0)* tblHuaweiUnits[[#This Row],[cv_2027]]/10^6</f>
        <v>0</v>
      </c>
      <c r="W78" s="62" cm="1">
        <f t="array" ref="W78">INDEX(tblPrices[cv_2028], MATCH(tblHuaweiUnits[[#This Row],[Products]],tblPrices[Products],0), 0)* tblHuaweiUnits[[#This Row],[cv_2028]]/10^6</f>
        <v>0</v>
      </c>
      <c r="X78" s="1">
        <f>VLOOKUP(A78,Products!$A$29:$F$110,6,FALSE)</f>
        <v>200</v>
      </c>
    </row>
    <row r="79" spans="1:24">
      <c r="A79" s="9" t="s">
        <v>29</v>
      </c>
      <c r="B79" s="8">
        <v>0</v>
      </c>
      <c r="C79" s="8">
        <v>0</v>
      </c>
      <c r="D79" s="8"/>
      <c r="E79" s="8"/>
      <c r="F79" s="8"/>
      <c r="G79" s="8"/>
      <c r="H79" s="8"/>
      <c r="I79" s="8"/>
      <c r="J79" s="8"/>
      <c r="K79" s="8"/>
      <c r="L79" s="8"/>
      <c r="M79" s="62" cm="1">
        <f t="array" ref="M79">INDEX(tblPrices[cv_2018], MATCH(tblHuaweiUnits[[#This Row],[Products]],tblPrices[Products],0), 0)* tblHuaweiUnits[[#This Row],[cv_2018]]/10^6</f>
        <v>0</v>
      </c>
      <c r="N79" s="62" cm="1">
        <f t="array" ref="N79">INDEX(tblPrices[cv_2019], MATCH(tblHuaweiUnits[[#This Row],[Products]],tblPrices[Products],0), 0)* tblHuaweiUnits[[#This Row],[cv_2019]]/10^6</f>
        <v>0</v>
      </c>
      <c r="O79" s="62" cm="1">
        <f t="array" ref="O79">INDEX(tblPrices[cv_2020], MATCH(tblHuaweiUnits[[#This Row],[Products]],tblPrices[Products],0), 0)* tblHuaweiUnits[[#This Row],[cv_2020]]/10^6</f>
        <v>0</v>
      </c>
      <c r="P79" s="62" cm="1">
        <f t="array" ref="P79">INDEX(tblPrices[cv_2021], MATCH(tblHuaweiUnits[[#This Row],[Products]],tblPrices[Products],0), 0)* tblHuaweiUnits[[#This Row],[cv_2021]]/10^6</f>
        <v>0</v>
      </c>
      <c r="Q79" s="62" cm="1">
        <f t="array" ref="Q79">INDEX(tblPrices[cv_2022], MATCH(tblHuaweiUnits[[#This Row],[Products]],tblPrices[Products],0), 0)* tblHuaweiUnits[[#This Row],[cv_2022]]/10^6</f>
        <v>0</v>
      </c>
      <c r="R79" s="62" cm="1">
        <f t="array" ref="R79">INDEX(tblPrices[cv_2023], MATCH(tblHuaweiUnits[[#This Row],[Products]],tblPrices[Products],0), 0)* tblHuaweiUnits[[#This Row],[cv_2023]]/10^6</f>
        <v>0</v>
      </c>
      <c r="S79" s="62" cm="1">
        <f t="array" ref="S79">INDEX(tblPrices[cv_2024], MATCH(tblHuaweiUnits[[#This Row],[Products]],tblPrices[Products],0), 0)* tblHuaweiUnits[[#This Row],[cv_2024]]/10^6</f>
        <v>0</v>
      </c>
      <c r="T79" s="62" cm="1">
        <f t="array" ref="T79">INDEX(tblPrices[cv_2025], MATCH(tblHuaweiUnits[[#This Row],[Products]],tblPrices[Products],0), 0)* tblHuaweiUnits[[#This Row],[cv_2025]]/10^6</f>
        <v>0</v>
      </c>
      <c r="U79" s="62" cm="1">
        <f t="array" ref="U79">INDEX(tblPrices[cv_2026], MATCH(tblHuaweiUnits[[#This Row],[Products]],tblPrices[Products],0), 0)* tblHuaweiUnits[[#This Row],[cv_2026]]/10^6</f>
        <v>0</v>
      </c>
      <c r="V79" s="62" cm="1">
        <f t="array" ref="V79">INDEX(tblPrices[cv_2027], MATCH(tblHuaweiUnits[[#This Row],[Products]],tblPrices[Products],0), 0)* tblHuaweiUnits[[#This Row],[cv_2027]]/10^6</f>
        <v>0</v>
      </c>
      <c r="W79" s="62" cm="1">
        <f t="array" ref="W79">INDEX(tblPrices[cv_2028], MATCH(tblHuaweiUnits[[#This Row],[Products]],tblPrices[Products],0), 0)* tblHuaweiUnits[[#This Row],[cv_2028]]/10^6</f>
        <v>0</v>
      </c>
      <c r="X79" s="1">
        <f>VLOOKUP(A79,Products!$A$29:$F$110,6,FALSE)</f>
        <v>200</v>
      </c>
    </row>
    <row r="80" spans="1:24">
      <c r="A80" s="9" t="s">
        <v>30</v>
      </c>
      <c r="B80" s="8">
        <v>0</v>
      </c>
      <c r="C80" s="8">
        <v>0</v>
      </c>
      <c r="D80" s="8"/>
      <c r="E80" s="8"/>
      <c r="F80" s="8"/>
      <c r="G80" s="8"/>
      <c r="H80" s="8"/>
      <c r="I80" s="8"/>
      <c r="J80" s="8"/>
      <c r="K80" s="8"/>
      <c r="L80" s="8"/>
      <c r="M80" s="62" cm="1">
        <f t="array" ref="M80">INDEX(tblPrices[cv_2018], MATCH(tblHuaweiUnits[[#This Row],[Products]],tblPrices[Products],0), 0)* tblHuaweiUnits[[#This Row],[cv_2018]]/10^6</f>
        <v>0</v>
      </c>
      <c r="N80" s="62" cm="1">
        <f t="array" ref="N80">INDEX(tblPrices[cv_2019], MATCH(tblHuaweiUnits[[#This Row],[Products]],tblPrices[Products],0), 0)* tblHuaweiUnits[[#This Row],[cv_2019]]/10^6</f>
        <v>0</v>
      </c>
      <c r="O80" s="62" cm="1">
        <f t="array" ref="O80">INDEX(tblPrices[cv_2020], MATCH(tblHuaweiUnits[[#This Row],[Products]],tblPrices[Products],0), 0)* tblHuaweiUnits[[#This Row],[cv_2020]]/10^6</f>
        <v>0</v>
      </c>
      <c r="P80" s="62" cm="1">
        <f t="array" ref="P80">INDEX(tblPrices[cv_2021], MATCH(tblHuaweiUnits[[#This Row],[Products]],tblPrices[Products],0), 0)* tblHuaweiUnits[[#This Row],[cv_2021]]/10^6</f>
        <v>0</v>
      </c>
      <c r="Q80" s="62" cm="1">
        <f t="array" ref="Q80">INDEX(tblPrices[cv_2022], MATCH(tblHuaweiUnits[[#This Row],[Products]],tblPrices[Products],0), 0)* tblHuaweiUnits[[#This Row],[cv_2022]]/10^6</f>
        <v>0</v>
      </c>
      <c r="R80" s="62" cm="1">
        <f t="array" ref="R80">INDEX(tblPrices[cv_2023], MATCH(tblHuaweiUnits[[#This Row],[Products]],tblPrices[Products],0), 0)* tblHuaweiUnits[[#This Row],[cv_2023]]/10^6</f>
        <v>0</v>
      </c>
      <c r="S80" s="62" cm="1">
        <f t="array" ref="S80">INDEX(tblPrices[cv_2024], MATCH(tblHuaweiUnits[[#This Row],[Products]],tblPrices[Products],0), 0)* tblHuaweiUnits[[#This Row],[cv_2024]]/10^6</f>
        <v>0</v>
      </c>
      <c r="T80" s="62" cm="1">
        <f t="array" ref="T80">INDEX(tblPrices[cv_2025], MATCH(tblHuaweiUnits[[#This Row],[Products]],tblPrices[Products],0), 0)* tblHuaweiUnits[[#This Row],[cv_2025]]/10^6</f>
        <v>0</v>
      </c>
      <c r="U80" s="62" cm="1">
        <f t="array" ref="U80">INDEX(tblPrices[cv_2026], MATCH(tblHuaweiUnits[[#This Row],[Products]],tblPrices[Products],0), 0)* tblHuaweiUnits[[#This Row],[cv_2026]]/10^6</f>
        <v>0</v>
      </c>
      <c r="V80" s="62" cm="1">
        <f t="array" ref="V80">INDEX(tblPrices[cv_2027], MATCH(tblHuaweiUnits[[#This Row],[Products]],tblPrices[Products],0), 0)* tblHuaweiUnits[[#This Row],[cv_2027]]/10^6</f>
        <v>0</v>
      </c>
      <c r="W80" s="62" cm="1">
        <f t="array" ref="W80">INDEX(tblPrices[cv_2028], MATCH(tblHuaweiUnits[[#This Row],[Products]],tblPrices[Products],0), 0)* tblHuaweiUnits[[#This Row],[cv_2028]]/10^6</f>
        <v>0</v>
      </c>
      <c r="X80" s="1">
        <f>VLOOKUP(A80,Products!$A$29:$F$110,6,FALSE)</f>
        <v>200</v>
      </c>
    </row>
    <row r="81" spans="1:24">
      <c r="A81" s="9" t="s">
        <v>31</v>
      </c>
      <c r="B81" s="8">
        <v>0</v>
      </c>
      <c r="C81" s="8">
        <v>0</v>
      </c>
      <c r="D81" s="8"/>
      <c r="E81" s="8"/>
      <c r="F81" s="8"/>
      <c r="G81" s="8"/>
      <c r="H81" s="8"/>
      <c r="I81" s="8"/>
      <c r="J81" s="8"/>
      <c r="K81" s="8"/>
      <c r="L81" s="8"/>
      <c r="M81" s="62" cm="1">
        <f t="array" ref="M81">INDEX(tblPrices[cv_2018], MATCH(tblHuaweiUnits[[#This Row],[Products]],tblPrices[Products],0), 0)* tblHuaweiUnits[[#This Row],[cv_2018]]/10^6</f>
        <v>0</v>
      </c>
      <c r="N81" s="62" cm="1">
        <f t="array" ref="N81">INDEX(tblPrices[cv_2019], MATCH(tblHuaweiUnits[[#This Row],[Products]],tblPrices[Products],0), 0)* tblHuaweiUnits[[#This Row],[cv_2019]]/10^6</f>
        <v>0</v>
      </c>
      <c r="O81" s="62" cm="1">
        <f t="array" ref="O81">INDEX(tblPrices[cv_2020], MATCH(tblHuaweiUnits[[#This Row],[Products]],tblPrices[Products],0), 0)* tblHuaweiUnits[[#This Row],[cv_2020]]/10^6</f>
        <v>0</v>
      </c>
      <c r="P81" s="62" cm="1">
        <f t="array" ref="P81">INDEX(tblPrices[cv_2021], MATCH(tblHuaweiUnits[[#This Row],[Products]],tblPrices[Products],0), 0)* tblHuaweiUnits[[#This Row],[cv_2021]]/10^6</f>
        <v>0</v>
      </c>
      <c r="Q81" s="62" cm="1">
        <f t="array" ref="Q81">INDEX(tblPrices[cv_2022], MATCH(tblHuaweiUnits[[#This Row],[Products]],tblPrices[Products],0), 0)* tblHuaweiUnits[[#This Row],[cv_2022]]/10^6</f>
        <v>0</v>
      </c>
      <c r="R81" s="62" cm="1">
        <f t="array" ref="R81">INDEX(tblPrices[cv_2023], MATCH(tblHuaweiUnits[[#This Row],[Products]],tblPrices[Products],0), 0)* tblHuaweiUnits[[#This Row],[cv_2023]]/10^6</f>
        <v>0</v>
      </c>
      <c r="S81" s="62" cm="1">
        <f t="array" ref="S81">INDEX(tblPrices[cv_2024], MATCH(tblHuaweiUnits[[#This Row],[Products]],tblPrices[Products],0), 0)* tblHuaweiUnits[[#This Row],[cv_2024]]/10^6</f>
        <v>0</v>
      </c>
      <c r="T81" s="62" cm="1">
        <f t="array" ref="T81">INDEX(tblPrices[cv_2025], MATCH(tblHuaweiUnits[[#This Row],[Products]],tblPrices[Products],0), 0)* tblHuaweiUnits[[#This Row],[cv_2025]]/10^6</f>
        <v>0</v>
      </c>
      <c r="U81" s="62" cm="1">
        <f t="array" ref="U81">INDEX(tblPrices[cv_2026], MATCH(tblHuaweiUnits[[#This Row],[Products]],tblPrices[Products],0), 0)* tblHuaweiUnits[[#This Row],[cv_2026]]/10^6</f>
        <v>0</v>
      </c>
      <c r="V81" s="62" cm="1">
        <f t="array" ref="V81">INDEX(tblPrices[cv_2027], MATCH(tblHuaweiUnits[[#This Row],[Products]],tblPrices[Products],0), 0)* tblHuaweiUnits[[#This Row],[cv_2027]]/10^6</f>
        <v>0</v>
      </c>
      <c r="W81" s="62" cm="1">
        <f t="array" ref="W81">INDEX(tblPrices[cv_2028], MATCH(tblHuaweiUnits[[#This Row],[Products]],tblPrices[Products],0), 0)* tblHuaweiUnits[[#This Row],[cv_2028]]/10^6</f>
        <v>0</v>
      </c>
      <c r="X81" s="1">
        <f>VLOOKUP(A81,Products!$A$29:$F$110,6,FALSE)</f>
        <v>400</v>
      </c>
    </row>
    <row r="82" spans="1:24">
      <c r="A82" s="9" t="s">
        <v>32</v>
      </c>
      <c r="B82" s="8">
        <v>0</v>
      </c>
      <c r="C82" s="8">
        <v>0</v>
      </c>
      <c r="D82" s="8"/>
      <c r="E82" s="8"/>
      <c r="F82" s="8"/>
      <c r="G82" s="8"/>
      <c r="H82" s="8"/>
      <c r="I82" s="8"/>
      <c r="J82" s="8"/>
      <c r="K82" s="8"/>
      <c r="L82" s="8"/>
      <c r="M82" s="62" cm="1">
        <f t="array" ref="M82">INDEX(tblPrices[cv_2018], MATCH(tblHuaweiUnits[[#This Row],[Products]],tblPrices[Products],0), 0)* tblHuaweiUnits[[#This Row],[cv_2018]]/10^6</f>
        <v>0</v>
      </c>
      <c r="N82" s="62" cm="1">
        <f t="array" ref="N82">INDEX(tblPrices[cv_2019], MATCH(tblHuaweiUnits[[#This Row],[Products]],tblPrices[Products],0), 0)* tblHuaweiUnits[[#This Row],[cv_2019]]/10^6</f>
        <v>0</v>
      </c>
      <c r="O82" s="62" cm="1">
        <f t="array" ref="O82">INDEX(tblPrices[cv_2020], MATCH(tblHuaweiUnits[[#This Row],[Products]],tblPrices[Products],0), 0)* tblHuaweiUnits[[#This Row],[cv_2020]]/10^6</f>
        <v>0</v>
      </c>
      <c r="P82" s="62" cm="1">
        <f t="array" ref="P82">INDEX(tblPrices[cv_2021], MATCH(tblHuaweiUnits[[#This Row],[Products]],tblPrices[Products],0), 0)* tblHuaweiUnits[[#This Row],[cv_2021]]/10^6</f>
        <v>0</v>
      </c>
      <c r="Q82" s="62" cm="1">
        <f t="array" ref="Q82">INDEX(tblPrices[cv_2022], MATCH(tblHuaweiUnits[[#This Row],[Products]],tblPrices[Products],0), 0)* tblHuaweiUnits[[#This Row],[cv_2022]]/10^6</f>
        <v>0</v>
      </c>
      <c r="R82" s="62" cm="1">
        <f t="array" ref="R82">INDEX(tblPrices[cv_2023], MATCH(tblHuaweiUnits[[#This Row],[Products]],tblPrices[Products],0), 0)* tblHuaweiUnits[[#This Row],[cv_2023]]/10^6</f>
        <v>0</v>
      </c>
      <c r="S82" s="62" cm="1">
        <f t="array" ref="S82">INDEX(tblPrices[cv_2024], MATCH(tblHuaweiUnits[[#This Row],[Products]],tblPrices[Products],0), 0)* tblHuaweiUnits[[#This Row],[cv_2024]]/10^6</f>
        <v>0</v>
      </c>
      <c r="T82" s="62" cm="1">
        <f t="array" ref="T82">INDEX(tblPrices[cv_2025], MATCH(tblHuaweiUnits[[#This Row],[Products]],tblPrices[Products],0), 0)* tblHuaweiUnits[[#This Row],[cv_2025]]/10^6</f>
        <v>0</v>
      </c>
      <c r="U82" s="62" cm="1">
        <f t="array" ref="U82">INDEX(tblPrices[cv_2026], MATCH(tblHuaweiUnits[[#This Row],[Products]],tblPrices[Products],0), 0)* tblHuaweiUnits[[#This Row],[cv_2026]]/10^6</f>
        <v>0</v>
      </c>
      <c r="V82" s="62" cm="1">
        <f t="array" ref="V82">INDEX(tblPrices[cv_2027], MATCH(tblHuaweiUnits[[#This Row],[Products]],tblPrices[Products],0), 0)* tblHuaweiUnits[[#This Row],[cv_2027]]/10^6</f>
        <v>0</v>
      </c>
      <c r="W82" s="62" cm="1">
        <f t="array" ref="W82">INDEX(tblPrices[cv_2028], MATCH(tblHuaweiUnits[[#This Row],[Products]],tblPrices[Products],0), 0)* tblHuaweiUnits[[#This Row],[cv_2028]]/10^6</f>
        <v>0</v>
      </c>
      <c r="X82" s="1">
        <f>VLOOKUP(A82,Products!$A$29:$F$110,6,FALSE)</f>
        <v>400</v>
      </c>
    </row>
    <row r="83" spans="1:24">
      <c r="A83" s="9" t="s">
        <v>33</v>
      </c>
      <c r="B83" s="8">
        <v>0</v>
      </c>
      <c r="C83" s="8">
        <v>0</v>
      </c>
      <c r="D83" s="8"/>
      <c r="E83" s="8"/>
      <c r="F83" s="8"/>
      <c r="G83" s="8"/>
      <c r="H83" s="8"/>
      <c r="I83" s="8"/>
      <c r="J83" s="8"/>
      <c r="K83" s="8"/>
      <c r="L83" s="8"/>
      <c r="M83" s="62" cm="1">
        <f t="array" ref="M83">INDEX(tblPrices[cv_2018], MATCH(tblHuaweiUnits[[#This Row],[Products]],tblPrices[Products],0), 0)* tblHuaweiUnits[[#This Row],[cv_2018]]/10^6</f>
        <v>0</v>
      </c>
      <c r="N83" s="62" cm="1">
        <f t="array" ref="N83">INDEX(tblPrices[cv_2019], MATCH(tblHuaweiUnits[[#This Row],[Products]],tblPrices[Products],0), 0)* tblHuaweiUnits[[#This Row],[cv_2019]]/10^6</f>
        <v>0</v>
      </c>
      <c r="O83" s="62" cm="1">
        <f t="array" ref="O83">INDEX(tblPrices[cv_2020], MATCH(tblHuaweiUnits[[#This Row],[Products]],tblPrices[Products],0), 0)* tblHuaweiUnits[[#This Row],[cv_2020]]/10^6</f>
        <v>0</v>
      </c>
      <c r="P83" s="62" cm="1">
        <f t="array" ref="P83">INDEX(tblPrices[cv_2021], MATCH(tblHuaweiUnits[[#This Row],[Products]],tblPrices[Products],0), 0)* tblHuaweiUnits[[#This Row],[cv_2021]]/10^6</f>
        <v>0</v>
      </c>
      <c r="Q83" s="62" cm="1">
        <f t="array" ref="Q83">INDEX(tblPrices[cv_2022], MATCH(tblHuaweiUnits[[#This Row],[Products]],tblPrices[Products],0), 0)* tblHuaweiUnits[[#This Row],[cv_2022]]/10^6</f>
        <v>0</v>
      </c>
      <c r="R83" s="62" cm="1">
        <f t="array" ref="R83">INDEX(tblPrices[cv_2023], MATCH(tblHuaweiUnits[[#This Row],[Products]],tblPrices[Products],0), 0)* tblHuaweiUnits[[#This Row],[cv_2023]]/10^6</f>
        <v>0</v>
      </c>
      <c r="S83" s="62" cm="1">
        <f t="array" ref="S83">INDEX(tblPrices[cv_2024], MATCH(tblHuaweiUnits[[#This Row],[Products]],tblPrices[Products],0), 0)* tblHuaweiUnits[[#This Row],[cv_2024]]/10^6</f>
        <v>0</v>
      </c>
      <c r="T83" s="62" cm="1">
        <f t="array" ref="T83">INDEX(tblPrices[cv_2025], MATCH(tblHuaweiUnits[[#This Row],[Products]],tblPrices[Products],0), 0)* tblHuaweiUnits[[#This Row],[cv_2025]]/10^6</f>
        <v>0</v>
      </c>
      <c r="U83" s="62" cm="1">
        <f t="array" ref="U83">INDEX(tblPrices[cv_2026], MATCH(tblHuaweiUnits[[#This Row],[Products]],tblPrices[Products],0), 0)* tblHuaweiUnits[[#This Row],[cv_2026]]/10^6</f>
        <v>0</v>
      </c>
      <c r="V83" s="62" cm="1">
        <f t="array" ref="V83">INDEX(tblPrices[cv_2027], MATCH(tblHuaweiUnits[[#This Row],[Products]],tblPrices[Products],0), 0)* tblHuaweiUnits[[#This Row],[cv_2027]]/10^6</f>
        <v>0</v>
      </c>
      <c r="W83" s="62" cm="1">
        <f t="array" ref="W83">INDEX(tblPrices[cv_2028], MATCH(tblHuaweiUnits[[#This Row],[Products]],tblPrices[Products],0), 0)* tblHuaweiUnits[[#This Row],[cv_2028]]/10^6</f>
        <v>0</v>
      </c>
      <c r="X83" s="1">
        <f>VLOOKUP(A83,Products!$A$29:$F$110,6,FALSE)</f>
        <v>400</v>
      </c>
    </row>
    <row r="84" spans="1:24">
      <c r="A84" s="9" t="s">
        <v>34</v>
      </c>
      <c r="B84" s="8">
        <v>0</v>
      </c>
      <c r="C84" s="8">
        <v>0</v>
      </c>
      <c r="D84" s="8"/>
      <c r="E84" s="8"/>
      <c r="F84" s="8"/>
      <c r="G84" s="8"/>
      <c r="H84" s="8"/>
      <c r="I84" s="8"/>
      <c r="J84" s="8"/>
      <c r="K84" s="8"/>
      <c r="L84" s="8"/>
      <c r="M84" s="62" cm="1">
        <f t="array" ref="M84">INDEX(tblPrices[cv_2018], MATCH(tblHuaweiUnits[[#This Row],[Products]],tblPrices[Products],0), 0)* tblHuaweiUnits[[#This Row],[cv_2018]]/10^6</f>
        <v>0</v>
      </c>
      <c r="N84" s="62" cm="1">
        <f t="array" ref="N84">INDEX(tblPrices[cv_2019], MATCH(tblHuaweiUnits[[#This Row],[Products]],tblPrices[Products],0), 0)* tblHuaweiUnits[[#This Row],[cv_2019]]/10^6</f>
        <v>0</v>
      </c>
      <c r="O84" s="62" cm="1">
        <f t="array" ref="O84">INDEX(tblPrices[cv_2020], MATCH(tblHuaweiUnits[[#This Row],[Products]],tblPrices[Products],0), 0)* tblHuaweiUnits[[#This Row],[cv_2020]]/10^6</f>
        <v>0</v>
      </c>
      <c r="P84" s="62" cm="1">
        <f t="array" ref="P84">INDEX(tblPrices[cv_2021], MATCH(tblHuaweiUnits[[#This Row],[Products]],tblPrices[Products],0), 0)* tblHuaweiUnits[[#This Row],[cv_2021]]/10^6</f>
        <v>0</v>
      </c>
      <c r="Q84" s="62" cm="1">
        <f t="array" ref="Q84">INDEX(tblPrices[cv_2022], MATCH(tblHuaweiUnits[[#This Row],[Products]],tblPrices[Products],0), 0)* tblHuaweiUnits[[#This Row],[cv_2022]]/10^6</f>
        <v>0</v>
      </c>
      <c r="R84" s="62" cm="1">
        <f t="array" ref="R84">INDEX(tblPrices[cv_2023], MATCH(tblHuaweiUnits[[#This Row],[Products]],tblPrices[Products],0), 0)* tblHuaweiUnits[[#This Row],[cv_2023]]/10^6</f>
        <v>0</v>
      </c>
      <c r="S84" s="62" cm="1">
        <f t="array" ref="S84">INDEX(tblPrices[cv_2024], MATCH(tblHuaweiUnits[[#This Row],[Products]],tblPrices[Products],0), 0)* tblHuaweiUnits[[#This Row],[cv_2024]]/10^6</f>
        <v>0</v>
      </c>
      <c r="T84" s="62" cm="1">
        <f t="array" ref="T84">INDEX(tblPrices[cv_2025], MATCH(tblHuaweiUnits[[#This Row],[Products]],tblPrices[Products],0), 0)* tblHuaweiUnits[[#This Row],[cv_2025]]/10^6</f>
        <v>0</v>
      </c>
      <c r="U84" s="62" cm="1">
        <f t="array" ref="U84">INDEX(tblPrices[cv_2026], MATCH(tblHuaweiUnits[[#This Row],[Products]],tblPrices[Products],0), 0)* tblHuaweiUnits[[#This Row],[cv_2026]]/10^6</f>
        <v>0</v>
      </c>
      <c r="V84" s="62" cm="1">
        <f t="array" ref="V84">INDEX(tblPrices[cv_2027], MATCH(tblHuaweiUnits[[#This Row],[Products]],tblPrices[Products],0), 0)* tblHuaweiUnits[[#This Row],[cv_2027]]/10^6</f>
        <v>0</v>
      </c>
      <c r="W84" s="62" cm="1">
        <f t="array" ref="W84">INDEX(tblPrices[cv_2028], MATCH(tblHuaweiUnits[[#This Row],[Products]],tblPrices[Products],0), 0)* tblHuaweiUnits[[#This Row],[cv_2028]]/10^6</f>
        <v>0</v>
      </c>
      <c r="X84" s="1">
        <f>VLOOKUP(A84,Products!$A$29:$F$110,6,FALSE)</f>
        <v>400</v>
      </c>
    </row>
    <row r="85" spans="1:24">
      <c r="A85" s="9" t="s">
        <v>35</v>
      </c>
      <c r="B85" s="8">
        <v>0</v>
      </c>
      <c r="C85" s="8">
        <v>0</v>
      </c>
      <c r="D85" s="8"/>
      <c r="E85" s="8"/>
      <c r="F85" s="8"/>
      <c r="G85" s="8"/>
      <c r="H85" s="8"/>
      <c r="I85" s="8"/>
      <c r="J85" s="8"/>
      <c r="K85" s="8"/>
      <c r="L85" s="8"/>
      <c r="M85" s="62" cm="1">
        <f t="array" ref="M85">INDEX(tblPrices[cv_2018], MATCH(tblHuaweiUnits[[#This Row],[Products]],tblPrices[Products],0), 0)* tblHuaweiUnits[[#This Row],[cv_2018]]/10^6</f>
        <v>0</v>
      </c>
      <c r="N85" s="62" cm="1">
        <f t="array" ref="N85">INDEX(tblPrices[cv_2019], MATCH(tblHuaweiUnits[[#This Row],[Products]],tblPrices[Products],0), 0)* tblHuaweiUnits[[#This Row],[cv_2019]]/10^6</f>
        <v>0</v>
      </c>
      <c r="O85" s="62" cm="1">
        <f t="array" ref="O85">INDEX(tblPrices[cv_2020], MATCH(tblHuaweiUnits[[#This Row],[Products]],tblPrices[Products],0), 0)* tblHuaweiUnits[[#This Row],[cv_2020]]/10^6</f>
        <v>0</v>
      </c>
      <c r="P85" s="62" cm="1">
        <f t="array" ref="P85">INDEX(tblPrices[cv_2021], MATCH(tblHuaweiUnits[[#This Row],[Products]],tblPrices[Products],0), 0)* tblHuaweiUnits[[#This Row],[cv_2021]]/10^6</f>
        <v>0</v>
      </c>
      <c r="Q85" s="62" cm="1">
        <f t="array" ref="Q85">INDEX(tblPrices[cv_2022], MATCH(tblHuaweiUnits[[#This Row],[Products]],tblPrices[Products],0), 0)* tblHuaweiUnits[[#This Row],[cv_2022]]/10^6</f>
        <v>0</v>
      </c>
      <c r="R85" s="62" cm="1">
        <f t="array" ref="R85">INDEX(tblPrices[cv_2023], MATCH(tblHuaweiUnits[[#This Row],[Products]],tblPrices[Products],0), 0)* tblHuaweiUnits[[#This Row],[cv_2023]]/10^6</f>
        <v>0</v>
      </c>
      <c r="S85" s="62" cm="1">
        <f t="array" ref="S85">INDEX(tblPrices[cv_2024], MATCH(tblHuaweiUnits[[#This Row],[Products]],tblPrices[Products],0), 0)* tblHuaweiUnits[[#This Row],[cv_2024]]/10^6</f>
        <v>0</v>
      </c>
      <c r="T85" s="62" cm="1">
        <f t="array" ref="T85">INDEX(tblPrices[cv_2025], MATCH(tblHuaweiUnits[[#This Row],[Products]],tblPrices[Products],0), 0)* tblHuaweiUnits[[#This Row],[cv_2025]]/10^6</f>
        <v>0</v>
      </c>
      <c r="U85" s="62" cm="1">
        <f t="array" ref="U85">INDEX(tblPrices[cv_2026], MATCH(tblHuaweiUnits[[#This Row],[Products]],tblPrices[Products],0), 0)* tblHuaweiUnits[[#This Row],[cv_2026]]/10^6</f>
        <v>0</v>
      </c>
      <c r="V85" s="62" cm="1">
        <f t="array" ref="V85">INDEX(tblPrices[cv_2027], MATCH(tblHuaweiUnits[[#This Row],[Products]],tblPrices[Products],0), 0)* tblHuaweiUnits[[#This Row],[cv_2027]]/10^6</f>
        <v>0</v>
      </c>
      <c r="W85" s="62" cm="1">
        <f t="array" ref="W85">INDEX(tblPrices[cv_2028], MATCH(tblHuaweiUnits[[#This Row],[Products]],tblPrices[Products],0), 0)* tblHuaweiUnits[[#This Row],[cv_2028]]/10^6</f>
        <v>0</v>
      </c>
      <c r="X85" s="1">
        <f>VLOOKUP(A85,Products!$A$29:$F$110,6,FALSE)</f>
        <v>600</v>
      </c>
    </row>
    <row r="86" spans="1:24">
      <c r="A86" s="9" t="s">
        <v>36</v>
      </c>
      <c r="B86" s="8">
        <v>0</v>
      </c>
      <c r="C86" s="8">
        <v>0</v>
      </c>
      <c r="D86" s="8"/>
      <c r="E86" s="8"/>
      <c r="F86" s="8"/>
      <c r="G86" s="8"/>
      <c r="H86" s="8"/>
      <c r="I86" s="8"/>
      <c r="J86" s="8"/>
      <c r="K86" s="8"/>
      <c r="L86" s="8"/>
      <c r="M86" s="62" cm="1">
        <f t="array" ref="M86">INDEX(tblPrices[cv_2018], MATCH(tblHuaweiUnits[[#This Row],[Products]],tblPrices[Products],0), 0)* tblHuaweiUnits[[#This Row],[cv_2018]]/10^6</f>
        <v>0</v>
      </c>
      <c r="N86" s="62" cm="1">
        <f t="array" ref="N86">INDEX(tblPrices[cv_2019], MATCH(tblHuaweiUnits[[#This Row],[Products]],tblPrices[Products],0), 0)* tblHuaweiUnits[[#This Row],[cv_2019]]/10^6</f>
        <v>0</v>
      </c>
      <c r="O86" s="62" cm="1">
        <f t="array" ref="O86">INDEX(tblPrices[cv_2020], MATCH(tblHuaweiUnits[[#This Row],[Products]],tblPrices[Products],0), 0)* tblHuaweiUnits[[#This Row],[cv_2020]]/10^6</f>
        <v>0</v>
      </c>
      <c r="P86" s="62" cm="1">
        <f t="array" ref="P86">INDEX(tblPrices[cv_2021], MATCH(tblHuaweiUnits[[#This Row],[Products]],tblPrices[Products],0), 0)* tblHuaweiUnits[[#This Row],[cv_2021]]/10^6</f>
        <v>0</v>
      </c>
      <c r="Q86" s="62" cm="1">
        <f t="array" ref="Q86">INDEX(tblPrices[cv_2022], MATCH(tblHuaweiUnits[[#This Row],[Products]],tblPrices[Products],0), 0)* tblHuaweiUnits[[#This Row],[cv_2022]]/10^6</f>
        <v>0</v>
      </c>
      <c r="R86" s="62" cm="1">
        <f t="array" ref="R86">INDEX(tblPrices[cv_2023], MATCH(tblHuaweiUnits[[#This Row],[Products]],tblPrices[Products],0), 0)* tblHuaweiUnits[[#This Row],[cv_2023]]/10^6</f>
        <v>0</v>
      </c>
      <c r="S86" s="62" cm="1">
        <f t="array" ref="S86">INDEX(tblPrices[cv_2024], MATCH(tblHuaweiUnits[[#This Row],[Products]],tblPrices[Products],0), 0)* tblHuaweiUnits[[#This Row],[cv_2024]]/10^6</f>
        <v>0</v>
      </c>
      <c r="T86" s="62" cm="1">
        <f t="array" ref="T86">INDEX(tblPrices[cv_2025], MATCH(tblHuaweiUnits[[#This Row],[Products]],tblPrices[Products],0), 0)* tblHuaweiUnits[[#This Row],[cv_2025]]/10^6</f>
        <v>0</v>
      </c>
      <c r="U86" s="62" cm="1">
        <f t="array" ref="U86">INDEX(tblPrices[cv_2026], MATCH(tblHuaweiUnits[[#This Row],[Products]],tblPrices[Products],0), 0)* tblHuaweiUnits[[#This Row],[cv_2026]]/10^6</f>
        <v>0</v>
      </c>
      <c r="V86" s="62" cm="1">
        <f t="array" ref="V86">INDEX(tblPrices[cv_2027], MATCH(tblHuaweiUnits[[#This Row],[Products]],tblPrices[Products],0), 0)* tblHuaweiUnits[[#This Row],[cv_2027]]/10^6</f>
        <v>0</v>
      </c>
      <c r="W86" s="62" cm="1">
        <f t="array" ref="W86">INDEX(tblPrices[cv_2028], MATCH(tblHuaweiUnits[[#This Row],[Products]],tblPrices[Products],0), 0)* tblHuaweiUnits[[#This Row],[cv_2028]]/10^6</f>
        <v>0</v>
      </c>
      <c r="X86" s="1">
        <f>VLOOKUP(A86,Products!$A$29:$F$110,6,FALSE)</f>
        <v>800</v>
      </c>
    </row>
    <row r="87" spans="1:24">
      <c r="A87" s="9" t="s">
        <v>37</v>
      </c>
      <c r="B87" s="8">
        <v>0</v>
      </c>
      <c r="C87" s="8">
        <v>0</v>
      </c>
      <c r="D87" s="8"/>
      <c r="E87" s="8"/>
      <c r="F87" s="8"/>
      <c r="G87" s="8"/>
      <c r="H87" s="8"/>
      <c r="I87" s="8"/>
      <c r="J87" s="8"/>
      <c r="K87" s="8"/>
      <c r="L87" s="8"/>
      <c r="M87" s="62" cm="1">
        <f t="array" ref="M87">INDEX(tblPrices[cv_2018], MATCH(tblHuaweiUnits[[#This Row],[Products]],tblPrices[Products],0), 0)* tblHuaweiUnits[[#This Row],[cv_2018]]/10^6</f>
        <v>0</v>
      </c>
      <c r="N87" s="62" cm="1">
        <f t="array" ref="N87">INDEX(tblPrices[cv_2019], MATCH(tblHuaweiUnits[[#This Row],[Products]],tblPrices[Products],0), 0)* tblHuaweiUnits[[#This Row],[cv_2019]]/10^6</f>
        <v>0</v>
      </c>
      <c r="O87" s="62" cm="1">
        <f t="array" ref="O87">INDEX(tblPrices[cv_2020], MATCH(tblHuaweiUnits[[#This Row],[Products]],tblPrices[Products],0), 0)* tblHuaweiUnits[[#This Row],[cv_2020]]/10^6</f>
        <v>0</v>
      </c>
      <c r="P87" s="62" cm="1">
        <f t="array" ref="P87">INDEX(tblPrices[cv_2021], MATCH(tblHuaweiUnits[[#This Row],[Products]],tblPrices[Products],0), 0)* tblHuaweiUnits[[#This Row],[cv_2021]]/10^6</f>
        <v>0</v>
      </c>
      <c r="Q87" s="62" cm="1">
        <f t="array" ref="Q87">INDEX(tblPrices[cv_2022], MATCH(tblHuaweiUnits[[#This Row],[Products]],tblPrices[Products],0), 0)* tblHuaweiUnits[[#This Row],[cv_2022]]/10^6</f>
        <v>0</v>
      </c>
      <c r="R87" s="62" cm="1">
        <f t="array" ref="R87">INDEX(tblPrices[cv_2023], MATCH(tblHuaweiUnits[[#This Row],[Products]],tblPrices[Products],0), 0)* tblHuaweiUnits[[#This Row],[cv_2023]]/10^6</f>
        <v>0</v>
      </c>
      <c r="S87" s="62" cm="1">
        <f t="array" ref="S87">INDEX(tblPrices[cv_2024], MATCH(tblHuaweiUnits[[#This Row],[Products]],tblPrices[Products],0), 0)* tblHuaweiUnits[[#This Row],[cv_2024]]/10^6</f>
        <v>0</v>
      </c>
      <c r="T87" s="62" cm="1">
        <f t="array" ref="T87">INDEX(tblPrices[cv_2025], MATCH(tblHuaweiUnits[[#This Row],[Products]],tblPrices[Products],0), 0)* tblHuaweiUnits[[#This Row],[cv_2025]]/10^6</f>
        <v>0</v>
      </c>
      <c r="U87" s="62" cm="1">
        <f t="array" ref="U87">INDEX(tblPrices[cv_2026], MATCH(tblHuaweiUnits[[#This Row],[Products]],tblPrices[Products],0), 0)* tblHuaweiUnits[[#This Row],[cv_2026]]/10^6</f>
        <v>0</v>
      </c>
      <c r="V87" s="62" cm="1">
        <f t="array" ref="V87">INDEX(tblPrices[cv_2027], MATCH(tblHuaweiUnits[[#This Row],[Products]],tblPrices[Products],0), 0)* tblHuaweiUnits[[#This Row],[cv_2027]]/10^6</f>
        <v>0</v>
      </c>
      <c r="W87" s="62" cm="1">
        <f t="array" ref="W87">INDEX(tblPrices[cv_2028], MATCH(tblHuaweiUnits[[#This Row],[Products]],tblPrices[Products],0), 0)* tblHuaweiUnits[[#This Row],[cv_2028]]/10^6</f>
        <v>0</v>
      </c>
      <c r="X87" s="1">
        <f>VLOOKUP(A87,Products!$A$29:$F$110,6,FALSE)</f>
        <v>800</v>
      </c>
    </row>
    <row r="88" spans="1:24">
      <c r="A88" s="9" t="s">
        <v>38</v>
      </c>
      <c r="B88" s="8">
        <v>0</v>
      </c>
      <c r="C88" s="8">
        <v>0</v>
      </c>
      <c r="D88" s="8"/>
      <c r="E88" s="8"/>
      <c r="F88" s="8"/>
      <c r="G88" s="8"/>
      <c r="H88" s="8"/>
      <c r="I88" s="8"/>
      <c r="J88" s="8"/>
      <c r="K88" s="8"/>
      <c r="L88" s="8"/>
      <c r="M88" s="62" cm="1">
        <f t="array" ref="M88">INDEX(tblPrices[cv_2018], MATCH(tblHuaweiUnits[[#This Row],[Products]],tblPrices[Products],0), 0)* tblHuaweiUnits[[#This Row],[cv_2018]]/10^6</f>
        <v>0</v>
      </c>
      <c r="N88" s="62" cm="1">
        <f t="array" ref="N88">INDEX(tblPrices[cv_2019], MATCH(tblHuaweiUnits[[#This Row],[Products]],tblPrices[Products],0), 0)* tblHuaweiUnits[[#This Row],[cv_2019]]/10^6</f>
        <v>0</v>
      </c>
      <c r="O88" s="62" cm="1">
        <f t="array" ref="O88">INDEX(tblPrices[cv_2020], MATCH(tblHuaweiUnits[[#This Row],[Products]],tblPrices[Products],0), 0)* tblHuaweiUnits[[#This Row],[cv_2020]]/10^6</f>
        <v>0</v>
      </c>
      <c r="P88" s="62" cm="1">
        <f t="array" ref="P88">INDEX(tblPrices[cv_2021], MATCH(tblHuaweiUnits[[#This Row],[Products]],tblPrices[Products],0), 0)* tblHuaweiUnits[[#This Row],[cv_2021]]/10^6</f>
        <v>0</v>
      </c>
      <c r="Q88" s="62" cm="1">
        <f t="array" ref="Q88">INDEX(tblPrices[cv_2022], MATCH(tblHuaweiUnits[[#This Row],[Products]],tblPrices[Products],0), 0)* tblHuaweiUnits[[#This Row],[cv_2022]]/10^6</f>
        <v>0</v>
      </c>
      <c r="R88" s="62" cm="1">
        <f t="array" ref="R88">INDEX(tblPrices[cv_2023], MATCH(tblHuaweiUnits[[#This Row],[Products]],tblPrices[Products],0), 0)* tblHuaweiUnits[[#This Row],[cv_2023]]/10^6</f>
        <v>0</v>
      </c>
      <c r="S88" s="62" cm="1">
        <f t="array" ref="S88">INDEX(tblPrices[cv_2024], MATCH(tblHuaweiUnits[[#This Row],[Products]],tblPrices[Products],0), 0)* tblHuaweiUnits[[#This Row],[cv_2024]]/10^6</f>
        <v>0</v>
      </c>
      <c r="T88" s="62" cm="1">
        <f t="array" ref="T88">INDEX(tblPrices[cv_2025], MATCH(tblHuaweiUnits[[#This Row],[Products]],tblPrices[Products],0), 0)* tblHuaweiUnits[[#This Row],[cv_2025]]/10^6</f>
        <v>0</v>
      </c>
      <c r="U88" s="62" cm="1">
        <f t="array" ref="U88">INDEX(tblPrices[cv_2026], MATCH(tblHuaweiUnits[[#This Row],[Products]],tblPrices[Products],0), 0)* tblHuaweiUnits[[#This Row],[cv_2026]]/10^6</f>
        <v>0</v>
      </c>
      <c r="V88" s="62" cm="1">
        <f t="array" ref="V88">INDEX(tblPrices[cv_2027], MATCH(tblHuaweiUnits[[#This Row],[Products]],tblPrices[Products],0), 0)* tblHuaweiUnits[[#This Row],[cv_2027]]/10^6</f>
        <v>0</v>
      </c>
      <c r="W88" s="62" cm="1">
        <f t="array" ref="W88">INDEX(tblPrices[cv_2028], MATCH(tblHuaweiUnits[[#This Row],[Products]],tblPrices[Products],0), 0)* tblHuaweiUnits[[#This Row],[cv_2028]]/10^6</f>
        <v>0</v>
      </c>
      <c r="X88" s="1">
        <f>VLOOKUP(A88,Products!$A$29:$F$110,6,FALSE)</f>
        <v>1200</v>
      </c>
    </row>
    <row r="89" spans="1:24">
      <c r="A89" s="9" t="s">
        <v>39</v>
      </c>
      <c r="B89" s="8">
        <v>0</v>
      </c>
      <c r="C89" s="8">
        <v>0</v>
      </c>
      <c r="D89" s="8"/>
      <c r="E89" s="8"/>
      <c r="F89" s="8"/>
      <c r="G89" s="8"/>
      <c r="H89" s="8"/>
      <c r="I89" s="8"/>
      <c r="J89" s="8"/>
      <c r="K89" s="8"/>
      <c r="L89" s="8"/>
      <c r="M89" s="62" cm="1">
        <f t="array" ref="M89">INDEX(tblPrices[cv_2018], MATCH(tblHuaweiUnits[[#This Row],[Products]],tblPrices[Products],0), 0)* tblHuaweiUnits[[#This Row],[cv_2018]]/10^6</f>
        <v>0</v>
      </c>
      <c r="N89" s="62" cm="1">
        <f t="array" ref="N89">INDEX(tblPrices[cv_2019], MATCH(tblHuaweiUnits[[#This Row],[Products]],tblPrices[Products],0), 0)* tblHuaweiUnits[[#This Row],[cv_2019]]/10^6</f>
        <v>0</v>
      </c>
      <c r="O89" s="62" cm="1">
        <f t="array" ref="O89">INDEX(tblPrices[cv_2020], MATCH(tblHuaweiUnits[[#This Row],[Products]],tblPrices[Products],0), 0)* tblHuaweiUnits[[#This Row],[cv_2020]]/10^6</f>
        <v>0</v>
      </c>
      <c r="P89" s="62" cm="1">
        <f t="array" ref="P89">INDEX(tblPrices[cv_2021], MATCH(tblHuaweiUnits[[#This Row],[Products]],tblPrices[Products],0), 0)* tblHuaweiUnits[[#This Row],[cv_2021]]/10^6</f>
        <v>0</v>
      </c>
      <c r="Q89" s="62" cm="1">
        <f t="array" ref="Q89">INDEX(tblPrices[cv_2022], MATCH(tblHuaweiUnits[[#This Row],[Products]],tblPrices[Products],0), 0)* tblHuaweiUnits[[#This Row],[cv_2022]]/10^6</f>
        <v>0</v>
      </c>
      <c r="R89" s="62" cm="1">
        <f t="array" ref="R89">INDEX(tblPrices[cv_2023], MATCH(tblHuaweiUnits[[#This Row],[Products]],tblPrices[Products],0), 0)* tblHuaweiUnits[[#This Row],[cv_2023]]/10^6</f>
        <v>0</v>
      </c>
      <c r="S89" s="62" cm="1">
        <f t="array" ref="S89">INDEX(tblPrices[cv_2024], MATCH(tblHuaweiUnits[[#This Row],[Products]],tblPrices[Products],0), 0)* tblHuaweiUnits[[#This Row],[cv_2024]]/10^6</f>
        <v>0</v>
      </c>
      <c r="T89" s="62" cm="1">
        <f t="array" ref="T89">INDEX(tblPrices[cv_2025], MATCH(tblHuaweiUnits[[#This Row],[Products]],tblPrices[Products],0), 0)* tblHuaweiUnits[[#This Row],[cv_2025]]/10^6</f>
        <v>0</v>
      </c>
      <c r="U89" s="62" cm="1">
        <f t="array" ref="U89">INDEX(tblPrices[cv_2026], MATCH(tblHuaweiUnits[[#This Row],[Products]],tblPrices[Products],0), 0)* tblHuaweiUnits[[#This Row],[cv_2026]]/10^6</f>
        <v>0</v>
      </c>
      <c r="V89" s="62" cm="1">
        <f t="array" ref="V89">INDEX(tblPrices[cv_2027], MATCH(tblHuaweiUnits[[#This Row],[Products]],tblPrices[Products],0), 0)* tblHuaweiUnits[[#This Row],[cv_2027]]/10^6</f>
        <v>0</v>
      </c>
      <c r="W89" s="62" cm="1">
        <f t="array" ref="W89">INDEX(tblPrices[cv_2028], MATCH(tblHuaweiUnits[[#This Row],[Products]],tblPrices[Products],0), 0)* tblHuaweiUnits[[#This Row],[cv_2028]]/10^6</f>
        <v>0</v>
      </c>
      <c r="X89" s="1">
        <f>VLOOKUP(A89,Products!$A$29:$F$110,6,FALSE)</f>
        <v>1600</v>
      </c>
    </row>
    <row r="90" spans="1:24">
      <c r="A90" s="1"/>
      <c r="B90" s="2">
        <f t="shared" ref="B90:W90" si="0">SUM(B41:B89)</f>
        <v>62610.304793436277</v>
      </c>
      <c r="C90" s="2">
        <f t="shared" si="0"/>
        <v>122742.57941299998</v>
      </c>
      <c r="D90" s="2">
        <f t="shared" si="0"/>
        <v>0</v>
      </c>
      <c r="E90" s="2">
        <f t="shared" si="0"/>
        <v>0</v>
      </c>
      <c r="F90" s="2">
        <f t="shared" si="0"/>
        <v>0</v>
      </c>
      <c r="G90" s="2">
        <f t="shared" si="0"/>
        <v>0</v>
      </c>
      <c r="H90" s="2">
        <f t="shared" si="0"/>
        <v>0</v>
      </c>
      <c r="I90" s="2">
        <f t="shared" si="0"/>
        <v>0</v>
      </c>
      <c r="J90" s="2">
        <f t="shared" si="0"/>
        <v>0</v>
      </c>
      <c r="K90" s="2">
        <f t="shared" si="0"/>
        <v>0</v>
      </c>
      <c r="L90" s="2">
        <f t="shared" si="0"/>
        <v>0</v>
      </c>
      <c r="M90" s="63">
        <f t="shared" si="0"/>
        <v>9.7169566132564782</v>
      </c>
      <c r="N90" s="63">
        <f t="shared" si="0"/>
        <v>18.24238594593119</v>
      </c>
      <c r="O90" s="63">
        <f t="shared" si="0"/>
        <v>0</v>
      </c>
      <c r="P90" s="63">
        <f t="shared" si="0"/>
        <v>0</v>
      </c>
      <c r="Q90" s="63">
        <f t="shared" si="0"/>
        <v>0</v>
      </c>
      <c r="R90" s="63">
        <f t="shared" si="0"/>
        <v>0</v>
      </c>
      <c r="S90" s="63">
        <f t="shared" si="0"/>
        <v>0</v>
      </c>
      <c r="T90" s="63">
        <f t="shared" si="0"/>
        <v>0</v>
      </c>
      <c r="U90" s="63">
        <f t="shared" si="0"/>
        <v>0</v>
      </c>
      <c r="V90" s="63">
        <f t="shared" si="0"/>
        <v>0</v>
      </c>
      <c r="W90" s="63">
        <f t="shared" si="0"/>
        <v>0</v>
      </c>
    </row>
    <row r="93" spans="1:24">
      <c r="A93" s="175" t="s">
        <v>431</v>
      </c>
      <c r="B93" s="68">
        <v>2018</v>
      </c>
      <c r="C93" s="50">
        <v>2019</v>
      </c>
      <c r="D93" s="50">
        <v>2020</v>
      </c>
      <c r="E93" s="50">
        <v>2021</v>
      </c>
      <c r="F93" s="50">
        <v>2022</v>
      </c>
      <c r="G93" s="50">
        <v>2023</v>
      </c>
      <c r="H93" s="50">
        <v>2024</v>
      </c>
      <c r="I93" s="50">
        <v>2025</v>
      </c>
      <c r="J93" s="50">
        <v>2026</v>
      </c>
      <c r="K93" s="50">
        <v>2027</v>
      </c>
      <c r="L93" s="50">
        <v>2028</v>
      </c>
      <c r="M93" s="68">
        <v>2018</v>
      </c>
      <c r="N93" s="50">
        <v>2019</v>
      </c>
      <c r="O93" s="50">
        <v>2020</v>
      </c>
      <c r="P93" s="50">
        <v>2021</v>
      </c>
      <c r="Q93" s="50">
        <v>2022</v>
      </c>
      <c r="R93" s="50">
        <v>2023</v>
      </c>
      <c r="S93" s="50">
        <v>2024</v>
      </c>
      <c r="T93" s="50">
        <v>2025</v>
      </c>
      <c r="U93" s="50">
        <v>2026</v>
      </c>
      <c r="V93" s="50">
        <v>2027</v>
      </c>
      <c r="W93" s="50">
        <v>2028</v>
      </c>
      <c r="X93" s="1"/>
    </row>
    <row r="94" spans="1:24">
      <c r="A94" s="65" t="s">
        <v>80</v>
      </c>
      <c r="B94" s="2">
        <f t="shared" ref="B94:W94" si="1">SUMIF($X$41:$X$70,40,B$41:B$70)</f>
        <v>35831.692244999998</v>
      </c>
      <c r="C94" s="2">
        <f t="shared" si="1"/>
        <v>46483.937619999997</v>
      </c>
      <c r="D94" s="2">
        <f t="shared" si="1"/>
        <v>0</v>
      </c>
      <c r="E94" s="2">
        <f t="shared" si="1"/>
        <v>0</v>
      </c>
      <c r="F94" s="2">
        <f t="shared" si="1"/>
        <v>0</v>
      </c>
      <c r="G94" s="2">
        <f t="shared" si="1"/>
        <v>0</v>
      </c>
      <c r="H94" s="2">
        <f t="shared" si="1"/>
        <v>0</v>
      </c>
      <c r="I94" s="2">
        <f t="shared" si="1"/>
        <v>0</v>
      </c>
      <c r="J94" s="2">
        <f t="shared" si="1"/>
        <v>0</v>
      </c>
      <c r="K94" s="2">
        <f t="shared" si="1"/>
        <v>0</v>
      </c>
      <c r="L94" s="2">
        <f t="shared" si="1"/>
        <v>0</v>
      </c>
      <c r="M94" s="77">
        <f t="shared" si="1"/>
        <v>3.1368621066922033</v>
      </c>
      <c r="N94" s="78">
        <f t="shared" si="1"/>
        <v>5.6200492492177236</v>
      </c>
      <c r="O94" s="78">
        <f t="shared" si="1"/>
        <v>0</v>
      </c>
      <c r="P94" s="78">
        <f t="shared" si="1"/>
        <v>0</v>
      </c>
      <c r="Q94" s="78">
        <f t="shared" si="1"/>
        <v>0</v>
      </c>
      <c r="R94" s="78">
        <f t="shared" si="1"/>
        <v>0</v>
      </c>
      <c r="S94" s="78">
        <f t="shared" si="1"/>
        <v>0</v>
      </c>
      <c r="T94" s="78">
        <f t="shared" si="1"/>
        <v>0</v>
      </c>
      <c r="U94" s="78">
        <f t="shared" si="1"/>
        <v>0</v>
      </c>
      <c r="V94" s="78">
        <f t="shared" si="1"/>
        <v>0</v>
      </c>
      <c r="W94" s="78">
        <f t="shared" si="1"/>
        <v>0</v>
      </c>
      <c r="X94" s="1"/>
    </row>
    <row r="95" spans="1:24">
      <c r="A95" s="65" t="s">
        <v>205</v>
      </c>
      <c r="B95" s="2">
        <f t="shared" ref="B95:W95" si="2">SUMIF($X$41:$X$70,100,B$41:B$70)</f>
        <v>26778.612548436278</v>
      </c>
      <c r="C95" s="2">
        <f t="shared" si="2"/>
        <v>76258.641792999988</v>
      </c>
      <c r="D95" s="2">
        <f t="shared" si="2"/>
        <v>0</v>
      </c>
      <c r="E95" s="2">
        <f t="shared" si="2"/>
        <v>0</v>
      </c>
      <c r="F95" s="2">
        <f t="shared" si="2"/>
        <v>0</v>
      </c>
      <c r="G95" s="2">
        <f t="shared" si="2"/>
        <v>0</v>
      </c>
      <c r="H95" s="2">
        <f t="shared" si="2"/>
        <v>0</v>
      </c>
      <c r="I95" s="2">
        <f t="shared" si="2"/>
        <v>0</v>
      </c>
      <c r="J95" s="2">
        <f t="shared" si="2"/>
        <v>0</v>
      </c>
      <c r="K95" s="2">
        <f t="shared" si="2"/>
        <v>0</v>
      </c>
      <c r="L95" s="2">
        <f t="shared" si="2"/>
        <v>0</v>
      </c>
      <c r="M95" s="79">
        <f t="shared" si="2"/>
        <v>6.5800945065642757</v>
      </c>
      <c r="N95" s="80">
        <f t="shared" si="2"/>
        <v>12.622336696713464</v>
      </c>
      <c r="O95" s="80">
        <f t="shared" si="2"/>
        <v>0</v>
      </c>
      <c r="P95" s="80">
        <f t="shared" si="2"/>
        <v>0</v>
      </c>
      <c r="Q95" s="80">
        <f t="shared" si="2"/>
        <v>0</v>
      </c>
      <c r="R95" s="80">
        <f t="shared" si="2"/>
        <v>0</v>
      </c>
      <c r="S95" s="80">
        <f t="shared" si="2"/>
        <v>0</v>
      </c>
      <c r="T95" s="80">
        <f t="shared" si="2"/>
        <v>0</v>
      </c>
      <c r="U95" s="80">
        <f t="shared" si="2"/>
        <v>0</v>
      </c>
      <c r="V95" s="80">
        <f t="shared" si="2"/>
        <v>0</v>
      </c>
      <c r="W95" s="80">
        <f t="shared" si="2"/>
        <v>0</v>
      </c>
      <c r="X95" s="1"/>
    </row>
    <row r="96" spans="1:24">
      <c r="A96" s="65" t="s">
        <v>206</v>
      </c>
      <c r="B96" s="2">
        <f t="shared" ref="B96:W96" si="3">SUMIF($X$41:$X$70,200,B$41:B$70)</f>
        <v>0</v>
      </c>
      <c r="C96" s="2">
        <f t="shared" si="3"/>
        <v>0</v>
      </c>
      <c r="D96" s="2">
        <f t="shared" si="3"/>
        <v>0</v>
      </c>
      <c r="E96" s="2">
        <f t="shared" si="3"/>
        <v>0</v>
      </c>
      <c r="F96" s="2">
        <f t="shared" si="3"/>
        <v>0</v>
      </c>
      <c r="G96" s="2">
        <f t="shared" si="3"/>
        <v>0</v>
      </c>
      <c r="H96" s="2">
        <f t="shared" si="3"/>
        <v>0</v>
      </c>
      <c r="I96" s="2">
        <f t="shared" si="3"/>
        <v>0</v>
      </c>
      <c r="J96" s="2">
        <f t="shared" si="3"/>
        <v>0</v>
      </c>
      <c r="K96" s="2">
        <f t="shared" si="3"/>
        <v>0</v>
      </c>
      <c r="L96" s="2">
        <f t="shared" si="3"/>
        <v>0</v>
      </c>
      <c r="M96" s="79">
        <f t="shared" si="3"/>
        <v>0</v>
      </c>
      <c r="N96" s="80">
        <f t="shared" si="3"/>
        <v>0</v>
      </c>
      <c r="O96" s="80">
        <f t="shared" si="3"/>
        <v>0</v>
      </c>
      <c r="P96" s="80">
        <f t="shared" si="3"/>
        <v>0</v>
      </c>
      <c r="Q96" s="80">
        <f t="shared" si="3"/>
        <v>0</v>
      </c>
      <c r="R96" s="80">
        <f t="shared" si="3"/>
        <v>0</v>
      </c>
      <c r="S96" s="80">
        <f t="shared" si="3"/>
        <v>0</v>
      </c>
      <c r="T96" s="80">
        <f t="shared" si="3"/>
        <v>0</v>
      </c>
      <c r="U96" s="80">
        <f t="shared" si="3"/>
        <v>0</v>
      </c>
      <c r="V96" s="80">
        <f t="shared" si="3"/>
        <v>0</v>
      </c>
      <c r="W96" s="80">
        <f t="shared" si="3"/>
        <v>0</v>
      </c>
      <c r="X96" s="1"/>
    </row>
    <row r="97" spans="1:24">
      <c r="A97" s="65" t="s">
        <v>207</v>
      </c>
      <c r="B97" s="2">
        <f t="shared" ref="B97:W97" si="4">SUMIF($X$41:$X$70,400,B$41:B$70)</f>
        <v>0</v>
      </c>
      <c r="C97" s="2">
        <f t="shared" si="4"/>
        <v>0</v>
      </c>
      <c r="D97" s="2">
        <f t="shared" si="4"/>
        <v>0</v>
      </c>
      <c r="E97" s="2">
        <f t="shared" si="4"/>
        <v>0</v>
      </c>
      <c r="F97" s="2">
        <f t="shared" si="4"/>
        <v>0</v>
      </c>
      <c r="G97" s="2">
        <f t="shared" si="4"/>
        <v>0</v>
      </c>
      <c r="H97" s="2">
        <f t="shared" si="4"/>
        <v>0</v>
      </c>
      <c r="I97" s="2">
        <f t="shared" si="4"/>
        <v>0</v>
      </c>
      <c r="J97" s="2">
        <f t="shared" si="4"/>
        <v>0</v>
      </c>
      <c r="K97" s="2">
        <f t="shared" si="4"/>
        <v>0</v>
      </c>
      <c r="L97" s="2">
        <f t="shared" si="4"/>
        <v>0</v>
      </c>
      <c r="M97" s="79">
        <f t="shared" si="4"/>
        <v>0</v>
      </c>
      <c r="N97" s="80">
        <f t="shared" si="4"/>
        <v>0</v>
      </c>
      <c r="O97" s="80">
        <f t="shared" si="4"/>
        <v>0</v>
      </c>
      <c r="P97" s="80">
        <f t="shared" si="4"/>
        <v>0</v>
      </c>
      <c r="Q97" s="80">
        <f t="shared" si="4"/>
        <v>0</v>
      </c>
      <c r="R97" s="80">
        <f t="shared" si="4"/>
        <v>0</v>
      </c>
      <c r="S97" s="80">
        <f t="shared" si="4"/>
        <v>0</v>
      </c>
      <c r="T97" s="80">
        <f t="shared" si="4"/>
        <v>0</v>
      </c>
      <c r="U97" s="80">
        <f t="shared" si="4"/>
        <v>0</v>
      </c>
      <c r="V97" s="80">
        <f t="shared" si="4"/>
        <v>0</v>
      </c>
      <c r="W97" s="80">
        <f t="shared" si="4"/>
        <v>0</v>
      </c>
      <c r="X97" s="1"/>
    </row>
    <row r="98" spans="1:24">
      <c r="A98" s="65" t="s">
        <v>209</v>
      </c>
      <c r="B98" s="2">
        <f t="shared" ref="B98:W98" si="5">SUMIF($X$41:$X$70,800,B$41:B$70)</f>
        <v>0</v>
      </c>
      <c r="C98" s="2">
        <f t="shared" si="5"/>
        <v>0</v>
      </c>
      <c r="D98" s="2">
        <f t="shared" si="5"/>
        <v>0</v>
      </c>
      <c r="E98" s="2">
        <f t="shared" si="5"/>
        <v>0</v>
      </c>
      <c r="F98" s="2">
        <f t="shared" si="5"/>
        <v>0</v>
      </c>
      <c r="G98" s="2">
        <f t="shared" si="5"/>
        <v>0</v>
      </c>
      <c r="H98" s="2">
        <f t="shared" si="5"/>
        <v>0</v>
      </c>
      <c r="I98" s="2">
        <f t="shared" si="5"/>
        <v>0</v>
      </c>
      <c r="J98" s="2">
        <f t="shared" si="5"/>
        <v>0</v>
      </c>
      <c r="K98" s="2">
        <f t="shared" si="5"/>
        <v>0</v>
      </c>
      <c r="L98" s="2">
        <f t="shared" si="5"/>
        <v>0</v>
      </c>
      <c r="M98" s="79">
        <f t="shared" si="5"/>
        <v>0</v>
      </c>
      <c r="N98" s="80">
        <f t="shared" si="5"/>
        <v>0</v>
      </c>
      <c r="O98" s="80">
        <f t="shared" si="5"/>
        <v>0</v>
      </c>
      <c r="P98" s="80">
        <f t="shared" si="5"/>
        <v>0</v>
      </c>
      <c r="Q98" s="80">
        <f t="shared" si="5"/>
        <v>0</v>
      </c>
      <c r="R98" s="80">
        <f t="shared" si="5"/>
        <v>0</v>
      </c>
      <c r="S98" s="80">
        <f t="shared" si="5"/>
        <v>0</v>
      </c>
      <c r="T98" s="80">
        <f t="shared" si="5"/>
        <v>0</v>
      </c>
      <c r="U98" s="80">
        <f t="shared" si="5"/>
        <v>0</v>
      </c>
      <c r="V98" s="80">
        <f t="shared" si="5"/>
        <v>0</v>
      </c>
      <c r="W98" s="80">
        <f t="shared" si="5"/>
        <v>0</v>
      </c>
    </row>
    <row r="99" spans="1:24">
      <c r="A99" s="65" t="s">
        <v>211</v>
      </c>
      <c r="B99" s="2">
        <f t="shared" ref="B99:W99" si="6">SUMIF($X$41:$X$70,1600,B$41:B$70)</f>
        <v>0</v>
      </c>
      <c r="C99" s="2">
        <f t="shared" si="6"/>
        <v>0</v>
      </c>
      <c r="D99" s="2">
        <f t="shared" si="6"/>
        <v>0</v>
      </c>
      <c r="E99" s="2">
        <f t="shared" si="6"/>
        <v>0</v>
      </c>
      <c r="F99" s="2">
        <f t="shared" si="6"/>
        <v>0</v>
      </c>
      <c r="G99" s="2">
        <f t="shared" si="6"/>
        <v>0</v>
      </c>
      <c r="H99" s="2">
        <f t="shared" si="6"/>
        <v>0</v>
      </c>
      <c r="I99" s="2">
        <f t="shared" si="6"/>
        <v>0</v>
      </c>
      <c r="J99" s="2">
        <f t="shared" si="6"/>
        <v>0</v>
      </c>
      <c r="K99" s="2">
        <f t="shared" si="6"/>
        <v>0</v>
      </c>
      <c r="L99" s="2">
        <f t="shared" si="6"/>
        <v>0</v>
      </c>
      <c r="M99" s="79">
        <f t="shared" si="6"/>
        <v>0</v>
      </c>
      <c r="N99" s="80">
        <f t="shared" si="6"/>
        <v>0</v>
      </c>
      <c r="O99" s="80">
        <f t="shared" si="6"/>
        <v>0</v>
      </c>
      <c r="P99" s="80">
        <f t="shared" si="6"/>
        <v>0</v>
      </c>
      <c r="Q99" s="80">
        <f t="shared" si="6"/>
        <v>0</v>
      </c>
      <c r="R99" s="80">
        <f t="shared" si="6"/>
        <v>0</v>
      </c>
      <c r="S99" s="80">
        <f t="shared" si="6"/>
        <v>0</v>
      </c>
      <c r="T99" s="80">
        <f t="shared" si="6"/>
        <v>0</v>
      </c>
      <c r="U99" s="80">
        <f t="shared" si="6"/>
        <v>0</v>
      </c>
      <c r="V99" s="80">
        <f t="shared" si="6"/>
        <v>0</v>
      </c>
      <c r="W99" s="80">
        <f t="shared" si="6"/>
        <v>0</v>
      </c>
    </row>
    <row r="100" spans="1:24">
      <c r="A100" s="65" t="s">
        <v>276</v>
      </c>
      <c r="B100" s="2">
        <f>SUM(B41:B70)</f>
        <v>62610.304793436277</v>
      </c>
      <c r="C100" s="2">
        <f t="shared" ref="C100:W100" si="7">SUM(C41:C70)</f>
        <v>122742.57941299998</v>
      </c>
      <c r="D100" s="2">
        <f t="shared" si="7"/>
        <v>0</v>
      </c>
      <c r="E100" s="2">
        <f t="shared" si="7"/>
        <v>0</v>
      </c>
      <c r="F100" s="2">
        <f t="shared" si="7"/>
        <v>0</v>
      </c>
      <c r="G100" s="2">
        <f t="shared" si="7"/>
        <v>0</v>
      </c>
      <c r="H100" s="2">
        <f t="shared" si="7"/>
        <v>0</v>
      </c>
      <c r="I100" s="2">
        <f t="shared" si="7"/>
        <v>0</v>
      </c>
      <c r="J100" s="2">
        <f t="shared" si="7"/>
        <v>0</v>
      </c>
      <c r="K100" s="2">
        <f t="shared" si="7"/>
        <v>0</v>
      </c>
      <c r="L100" s="2">
        <f t="shared" si="7"/>
        <v>0</v>
      </c>
      <c r="M100" s="79">
        <f t="shared" si="7"/>
        <v>9.7169566132564782</v>
      </c>
      <c r="N100" s="80">
        <f t="shared" si="7"/>
        <v>18.24238594593119</v>
      </c>
      <c r="O100" s="80">
        <f t="shared" si="7"/>
        <v>0</v>
      </c>
      <c r="P100" s="80">
        <f t="shared" si="7"/>
        <v>0</v>
      </c>
      <c r="Q100" s="80">
        <f t="shared" si="7"/>
        <v>0</v>
      </c>
      <c r="R100" s="80">
        <f t="shared" si="7"/>
        <v>0</v>
      </c>
      <c r="S100" s="80">
        <f t="shared" si="7"/>
        <v>0</v>
      </c>
      <c r="T100" s="80">
        <f t="shared" si="7"/>
        <v>0</v>
      </c>
      <c r="U100" s="80">
        <f t="shared" si="7"/>
        <v>0</v>
      </c>
      <c r="V100" s="80">
        <f t="shared" si="7"/>
        <v>0</v>
      </c>
      <c r="W100" s="80">
        <f t="shared" si="7"/>
        <v>0</v>
      </c>
    </row>
    <row r="101" spans="1:24">
      <c r="A101" s="65"/>
    </row>
    <row r="102" spans="1:24">
      <c r="A102" s="176" t="s">
        <v>428</v>
      </c>
      <c r="B102" s="68">
        <v>2018</v>
      </c>
      <c r="C102" s="50">
        <v>2019</v>
      </c>
      <c r="D102" s="50">
        <v>2020</v>
      </c>
      <c r="E102" s="50">
        <v>2021</v>
      </c>
      <c r="F102" s="50">
        <v>2022</v>
      </c>
      <c r="G102" s="50">
        <v>2023</v>
      </c>
      <c r="H102" s="50">
        <v>2024</v>
      </c>
      <c r="I102" s="50">
        <v>2025</v>
      </c>
      <c r="J102" s="50">
        <v>2026</v>
      </c>
      <c r="K102" s="50">
        <v>2027</v>
      </c>
      <c r="L102" s="50">
        <v>2028</v>
      </c>
      <c r="M102" s="68">
        <v>2018</v>
      </c>
      <c r="N102" s="50">
        <v>2019</v>
      </c>
      <c r="O102" s="50">
        <v>2020</v>
      </c>
      <c r="P102" s="50">
        <v>2021</v>
      </c>
      <c r="Q102" s="50">
        <v>2022</v>
      </c>
      <c r="R102" s="50">
        <v>2023</v>
      </c>
      <c r="S102" s="50">
        <v>2024</v>
      </c>
      <c r="T102" s="50">
        <v>2025</v>
      </c>
      <c r="U102" s="50">
        <v>2026</v>
      </c>
      <c r="V102" s="50">
        <v>2027</v>
      </c>
      <c r="W102" s="50">
        <v>2028</v>
      </c>
    </row>
    <row r="103" spans="1:24">
      <c r="A103" s="65" t="s">
        <v>205</v>
      </c>
      <c r="B103" s="2">
        <f t="shared" ref="B103:W103" si="8">SUMIF($X$71:$X$89,100,B$71:B$89)</f>
        <v>0</v>
      </c>
      <c r="C103" s="2">
        <f t="shared" si="8"/>
        <v>0</v>
      </c>
      <c r="D103" s="2">
        <f t="shared" si="8"/>
        <v>0</v>
      </c>
      <c r="E103" s="2">
        <f t="shared" si="8"/>
        <v>0</v>
      </c>
      <c r="F103" s="2">
        <f t="shared" si="8"/>
        <v>0</v>
      </c>
      <c r="G103" s="2">
        <f t="shared" si="8"/>
        <v>0</v>
      </c>
      <c r="H103" s="2">
        <f t="shared" si="8"/>
        <v>0</v>
      </c>
      <c r="I103" s="2">
        <f t="shared" si="8"/>
        <v>0</v>
      </c>
      <c r="J103" s="2">
        <f t="shared" si="8"/>
        <v>0</v>
      </c>
      <c r="K103" s="2">
        <f t="shared" si="8"/>
        <v>0</v>
      </c>
      <c r="L103" s="2">
        <f t="shared" si="8"/>
        <v>0</v>
      </c>
      <c r="M103" s="77">
        <f t="shared" si="8"/>
        <v>0</v>
      </c>
      <c r="N103" s="78">
        <f t="shared" si="8"/>
        <v>0</v>
      </c>
      <c r="O103" s="78">
        <f t="shared" si="8"/>
        <v>0</v>
      </c>
      <c r="P103" s="78">
        <f t="shared" si="8"/>
        <v>0</v>
      </c>
      <c r="Q103" s="78">
        <f t="shared" si="8"/>
        <v>0</v>
      </c>
      <c r="R103" s="78">
        <f t="shared" si="8"/>
        <v>0</v>
      </c>
      <c r="S103" s="78">
        <f t="shared" si="8"/>
        <v>0</v>
      </c>
      <c r="T103" s="78">
        <f t="shared" si="8"/>
        <v>0</v>
      </c>
      <c r="U103" s="78">
        <f t="shared" si="8"/>
        <v>0</v>
      </c>
      <c r="V103" s="78">
        <f t="shared" si="8"/>
        <v>0</v>
      </c>
      <c r="W103" s="78">
        <f t="shared" si="8"/>
        <v>0</v>
      </c>
    </row>
    <row r="104" spans="1:24">
      <c r="A104" s="65" t="s">
        <v>206</v>
      </c>
      <c r="B104" s="2">
        <f t="shared" ref="B104:W104" si="9">SUMIF($X$71:$X$89,200,B$71:B$89)</f>
        <v>0</v>
      </c>
      <c r="C104" s="2">
        <f t="shared" si="9"/>
        <v>0</v>
      </c>
      <c r="D104" s="2">
        <f t="shared" si="9"/>
        <v>0</v>
      </c>
      <c r="E104" s="2">
        <f t="shared" si="9"/>
        <v>0</v>
      </c>
      <c r="F104" s="2">
        <f t="shared" si="9"/>
        <v>0</v>
      </c>
      <c r="G104" s="2">
        <f t="shared" si="9"/>
        <v>0</v>
      </c>
      <c r="H104" s="2">
        <f t="shared" si="9"/>
        <v>0</v>
      </c>
      <c r="I104" s="2">
        <f t="shared" si="9"/>
        <v>0</v>
      </c>
      <c r="J104" s="2">
        <f t="shared" si="9"/>
        <v>0</v>
      </c>
      <c r="K104" s="2">
        <f t="shared" si="9"/>
        <v>0</v>
      </c>
      <c r="L104" s="2">
        <f t="shared" si="9"/>
        <v>0</v>
      </c>
      <c r="M104" s="79">
        <f t="shared" si="9"/>
        <v>0</v>
      </c>
      <c r="N104" s="80">
        <f t="shared" si="9"/>
        <v>0</v>
      </c>
      <c r="O104" s="80">
        <f t="shared" si="9"/>
        <v>0</v>
      </c>
      <c r="P104" s="80">
        <f t="shared" si="9"/>
        <v>0</v>
      </c>
      <c r="Q104" s="80">
        <f t="shared" si="9"/>
        <v>0</v>
      </c>
      <c r="R104" s="80">
        <f t="shared" si="9"/>
        <v>0</v>
      </c>
      <c r="S104" s="80">
        <f t="shared" si="9"/>
        <v>0</v>
      </c>
      <c r="T104" s="80">
        <f t="shared" si="9"/>
        <v>0</v>
      </c>
      <c r="U104" s="80">
        <f t="shared" si="9"/>
        <v>0</v>
      </c>
      <c r="V104" s="80">
        <f t="shared" si="9"/>
        <v>0</v>
      </c>
      <c r="W104" s="80">
        <f t="shared" si="9"/>
        <v>0</v>
      </c>
    </row>
    <row r="105" spans="1:24">
      <c r="A105" s="65" t="s">
        <v>207</v>
      </c>
      <c r="B105" s="2">
        <f t="shared" ref="B105:W105" si="10">SUMIF($X$71:$X$89,400,B$71:B$89)</f>
        <v>0</v>
      </c>
      <c r="C105" s="2">
        <f t="shared" si="10"/>
        <v>0</v>
      </c>
      <c r="D105" s="2">
        <f t="shared" si="10"/>
        <v>0</v>
      </c>
      <c r="E105" s="2">
        <f t="shared" si="10"/>
        <v>0</v>
      </c>
      <c r="F105" s="2">
        <f t="shared" si="10"/>
        <v>0</v>
      </c>
      <c r="G105" s="2">
        <f t="shared" si="10"/>
        <v>0</v>
      </c>
      <c r="H105" s="2">
        <f t="shared" si="10"/>
        <v>0</v>
      </c>
      <c r="I105" s="2">
        <f t="shared" si="10"/>
        <v>0</v>
      </c>
      <c r="J105" s="2">
        <f t="shared" si="10"/>
        <v>0</v>
      </c>
      <c r="K105" s="2">
        <f t="shared" si="10"/>
        <v>0</v>
      </c>
      <c r="L105" s="2">
        <f t="shared" si="10"/>
        <v>0</v>
      </c>
      <c r="M105" s="79">
        <f t="shared" si="10"/>
        <v>0</v>
      </c>
      <c r="N105" s="80">
        <f t="shared" si="10"/>
        <v>0</v>
      </c>
      <c r="O105" s="80">
        <f t="shared" si="10"/>
        <v>0</v>
      </c>
      <c r="P105" s="80">
        <f t="shared" si="10"/>
        <v>0</v>
      </c>
      <c r="Q105" s="80">
        <f t="shared" si="10"/>
        <v>0</v>
      </c>
      <c r="R105" s="80">
        <f t="shared" si="10"/>
        <v>0</v>
      </c>
      <c r="S105" s="80">
        <f t="shared" si="10"/>
        <v>0</v>
      </c>
      <c r="T105" s="80">
        <f t="shared" si="10"/>
        <v>0</v>
      </c>
      <c r="U105" s="80">
        <f t="shared" si="10"/>
        <v>0</v>
      </c>
      <c r="V105" s="80">
        <f t="shared" si="10"/>
        <v>0</v>
      </c>
      <c r="W105" s="80">
        <f t="shared" si="10"/>
        <v>0</v>
      </c>
    </row>
    <row r="106" spans="1:24">
      <c r="A106" s="65" t="s">
        <v>429</v>
      </c>
      <c r="B106" s="2">
        <f t="shared" ref="B106:W106" si="11">SUMIF($X$71:$X$89,600,B$71:B$89)+SUMIF($X$71:$X$89,800,B$71:B$89)</f>
        <v>0</v>
      </c>
      <c r="C106" s="2">
        <f t="shared" si="11"/>
        <v>0</v>
      </c>
      <c r="D106" s="2">
        <f t="shared" si="11"/>
        <v>0</v>
      </c>
      <c r="E106" s="2">
        <f t="shared" si="11"/>
        <v>0</v>
      </c>
      <c r="F106" s="2">
        <f t="shared" si="11"/>
        <v>0</v>
      </c>
      <c r="G106" s="2">
        <f t="shared" si="11"/>
        <v>0</v>
      </c>
      <c r="H106" s="2">
        <f t="shared" si="11"/>
        <v>0</v>
      </c>
      <c r="I106" s="2">
        <f t="shared" si="11"/>
        <v>0</v>
      </c>
      <c r="J106" s="2">
        <f t="shared" si="11"/>
        <v>0</v>
      </c>
      <c r="K106" s="2">
        <f t="shared" si="11"/>
        <v>0</v>
      </c>
      <c r="L106" s="2">
        <f t="shared" si="11"/>
        <v>0</v>
      </c>
      <c r="M106" s="79">
        <f t="shared" si="11"/>
        <v>0</v>
      </c>
      <c r="N106" s="80">
        <f t="shared" si="11"/>
        <v>0</v>
      </c>
      <c r="O106" s="80">
        <f t="shared" si="11"/>
        <v>0</v>
      </c>
      <c r="P106" s="80">
        <f t="shared" si="11"/>
        <v>0</v>
      </c>
      <c r="Q106" s="80">
        <f t="shared" si="11"/>
        <v>0</v>
      </c>
      <c r="R106" s="80">
        <f t="shared" si="11"/>
        <v>0</v>
      </c>
      <c r="S106" s="80">
        <f t="shared" si="11"/>
        <v>0</v>
      </c>
      <c r="T106" s="80">
        <f t="shared" si="11"/>
        <v>0</v>
      </c>
      <c r="U106" s="80">
        <f t="shared" si="11"/>
        <v>0</v>
      </c>
      <c r="V106" s="80">
        <f t="shared" si="11"/>
        <v>0</v>
      </c>
      <c r="W106" s="80">
        <f t="shared" si="11"/>
        <v>0</v>
      </c>
    </row>
    <row r="107" spans="1:24">
      <c r="A107" s="65" t="s">
        <v>430</v>
      </c>
      <c r="B107" s="2">
        <f t="shared" ref="B107:W107" si="12">SUMIF($X$71:$X$89,1200,B$71:B$89)+SUMIF($X$71:$X$89,1600,B$71:B$89)</f>
        <v>0</v>
      </c>
      <c r="C107" s="2">
        <f t="shared" si="12"/>
        <v>0</v>
      </c>
      <c r="D107" s="2">
        <f t="shared" si="12"/>
        <v>0</v>
      </c>
      <c r="E107" s="2">
        <f t="shared" si="12"/>
        <v>0</v>
      </c>
      <c r="F107" s="2">
        <f t="shared" si="12"/>
        <v>0</v>
      </c>
      <c r="G107" s="2">
        <f t="shared" si="12"/>
        <v>0</v>
      </c>
      <c r="H107" s="2">
        <f t="shared" si="12"/>
        <v>0</v>
      </c>
      <c r="I107" s="2">
        <f t="shared" si="12"/>
        <v>0</v>
      </c>
      <c r="J107" s="2">
        <f t="shared" si="12"/>
        <v>0</v>
      </c>
      <c r="K107" s="2">
        <f t="shared" si="12"/>
        <v>0</v>
      </c>
      <c r="L107" s="2">
        <f t="shared" si="12"/>
        <v>0</v>
      </c>
      <c r="M107" s="79">
        <f t="shared" si="12"/>
        <v>0</v>
      </c>
      <c r="N107" s="80">
        <f t="shared" si="12"/>
        <v>0</v>
      </c>
      <c r="O107" s="80">
        <f t="shared" si="12"/>
        <v>0</v>
      </c>
      <c r="P107" s="80">
        <f t="shared" si="12"/>
        <v>0</v>
      </c>
      <c r="Q107" s="80">
        <f t="shared" si="12"/>
        <v>0</v>
      </c>
      <c r="R107" s="80">
        <f t="shared" si="12"/>
        <v>0</v>
      </c>
      <c r="S107" s="80">
        <f t="shared" si="12"/>
        <v>0</v>
      </c>
      <c r="T107" s="80">
        <f t="shared" si="12"/>
        <v>0</v>
      </c>
      <c r="U107" s="80">
        <f t="shared" si="12"/>
        <v>0</v>
      </c>
      <c r="V107" s="80">
        <f t="shared" si="12"/>
        <v>0</v>
      </c>
      <c r="W107" s="80">
        <f t="shared" si="12"/>
        <v>0</v>
      </c>
    </row>
    <row r="108" spans="1:24">
      <c r="A108" s="65" t="s">
        <v>277</v>
      </c>
      <c r="B108" s="2">
        <f>SUM(B71:B89)</f>
        <v>0</v>
      </c>
      <c r="C108" s="2">
        <f t="shared" ref="C108:W108" si="13">SUM(C71:C89)</f>
        <v>0</v>
      </c>
      <c r="D108" s="2">
        <f t="shared" si="13"/>
        <v>0</v>
      </c>
      <c r="E108" s="2">
        <f t="shared" si="13"/>
        <v>0</v>
      </c>
      <c r="F108" s="2">
        <f t="shared" si="13"/>
        <v>0</v>
      </c>
      <c r="G108" s="2">
        <f t="shared" si="13"/>
        <v>0</v>
      </c>
      <c r="H108" s="2">
        <f t="shared" si="13"/>
        <v>0</v>
      </c>
      <c r="I108" s="2">
        <f t="shared" si="13"/>
        <v>0</v>
      </c>
      <c r="J108" s="2">
        <f t="shared" si="13"/>
        <v>0</v>
      </c>
      <c r="K108" s="2">
        <f t="shared" si="13"/>
        <v>0</v>
      </c>
      <c r="L108" s="2">
        <f t="shared" si="13"/>
        <v>0</v>
      </c>
      <c r="M108" s="79">
        <f t="shared" si="13"/>
        <v>0</v>
      </c>
      <c r="N108" s="80">
        <f t="shared" si="13"/>
        <v>0</v>
      </c>
      <c r="O108" s="80">
        <f t="shared" si="13"/>
        <v>0</v>
      </c>
      <c r="P108" s="80">
        <f t="shared" si="13"/>
        <v>0</v>
      </c>
      <c r="Q108" s="80">
        <f t="shared" si="13"/>
        <v>0</v>
      </c>
      <c r="R108" s="80">
        <f t="shared" si="13"/>
        <v>0</v>
      </c>
      <c r="S108" s="80">
        <f t="shared" si="13"/>
        <v>0</v>
      </c>
      <c r="T108" s="80">
        <f t="shared" si="13"/>
        <v>0</v>
      </c>
      <c r="U108" s="80">
        <f t="shared" si="13"/>
        <v>0</v>
      </c>
      <c r="V108" s="80">
        <f t="shared" si="13"/>
        <v>0</v>
      </c>
      <c r="W108" s="80">
        <f t="shared" si="13"/>
        <v>0</v>
      </c>
    </row>
    <row r="109" spans="1:24">
      <c r="A109" s="67"/>
    </row>
    <row r="112" spans="1:24">
      <c r="A112" t="s">
        <v>275</v>
      </c>
    </row>
    <row r="113" spans="1:12">
      <c r="A113" s="40" t="s">
        <v>213</v>
      </c>
      <c r="B113" s="17">
        <v>2018</v>
      </c>
      <c r="C113" s="17">
        <v>2019</v>
      </c>
      <c r="D113" s="17">
        <v>2020</v>
      </c>
      <c r="E113" s="17">
        <v>2021</v>
      </c>
      <c r="F113" s="17">
        <v>2022</v>
      </c>
      <c r="G113" s="17">
        <v>2023</v>
      </c>
      <c r="H113" s="17">
        <v>2024</v>
      </c>
      <c r="I113" s="17">
        <v>2025</v>
      </c>
      <c r="J113" s="17">
        <v>2026</v>
      </c>
      <c r="K113" s="17">
        <v>2027</v>
      </c>
      <c r="L113" s="17">
        <v>2028</v>
      </c>
    </row>
    <row r="114" spans="1:12">
      <c r="A114" s="25" t="s">
        <v>250</v>
      </c>
      <c r="B114" s="32">
        <f t="shared" ref="B114:L114" si="14">SUMPRODUCT(B41:B70,$X$41:$X$70)/10^6</f>
        <v>4.1111289446436281</v>
      </c>
      <c r="C114" s="32">
        <f t="shared" si="14"/>
        <v>9.4852216841000008</v>
      </c>
      <c r="D114" s="32">
        <f t="shared" si="14"/>
        <v>0</v>
      </c>
      <c r="E114" s="32">
        <f t="shared" si="14"/>
        <v>0</v>
      </c>
      <c r="F114" s="32">
        <f t="shared" si="14"/>
        <v>0</v>
      </c>
      <c r="G114" s="32">
        <f t="shared" si="14"/>
        <v>0</v>
      </c>
      <c r="H114" s="32">
        <f t="shared" si="14"/>
        <v>0</v>
      </c>
      <c r="I114" s="32">
        <f t="shared" si="14"/>
        <v>0</v>
      </c>
      <c r="J114" s="32">
        <f t="shared" si="14"/>
        <v>0</v>
      </c>
      <c r="K114" s="32">
        <f t="shared" si="14"/>
        <v>0</v>
      </c>
      <c r="L114" s="32">
        <f t="shared" si="14"/>
        <v>0</v>
      </c>
    </row>
    <row r="115" spans="1:12">
      <c r="A115" s="25" t="s">
        <v>251</v>
      </c>
      <c r="B115" s="54">
        <f>B114+2</f>
        <v>6.1111289446436281</v>
      </c>
      <c r="C115" s="29">
        <f>B115+C114</f>
        <v>15.596350628743629</v>
      </c>
      <c r="D115" s="29">
        <f>C115+D114</f>
        <v>15.596350628743629</v>
      </c>
      <c r="E115" s="29">
        <f t="shared" ref="E115:L115" si="15">D115+E114</f>
        <v>15.596350628743629</v>
      </c>
      <c r="F115" s="29">
        <f t="shared" si="15"/>
        <v>15.596350628743629</v>
      </c>
      <c r="G115" s="29">
        <f t="shared" si="15"/>
        <v>15.596350628743629</v>
      </c>
      <c r="H115" s="29">
        <f t="shared" si="15"/>
        <v>15.596350628743629</v>
      </c>
      <c r="I115" s="29">
        <f t="shared" si="15"/>
        <v>15.596350628743629</v>
      </c>
      <c r="J115" s="29">
        <f t="shared" si="15"/>
        <v>15.596350628743629</v>
      </c>
      <c r="K115" s="29">
        <f t="shared" si="15"/>
        <v>15.596350628743629</v>
      </c>
      <c r="L115" s="29">
        <f t="shared" si="15"/>
        <v>15.596350628743629</v>
      </c>
    </row>
    <row r="116" spans="1:12">
      <c r="A116" s="25" t="s">
        <v>252</v>
      </c>
      <c r="B116" s="26"/>
      <c r="C116" s="31">
        <f>C115/B115-1</f>
        <v>1.5521226552442076</v>
      </c>
      <c r="D116" s="31">
        <f t="shared" ref="D116:L116" si="16">D115/C115-1</f>
        <v>0</v>
      </c>
      <c r="E116" s="31">
        <f t="shared" si="16"/>
        <v>0</v>
      </c>
      <c r="F116" s="31">
        <f t="shared" si="16"/>
        <v>0</v>
      </c>
      <c r="G116" s="31">
        <f t="shared" si="16"/>
        <v>0</v>
      </c>
      <c r="H116" s="31">
        <f t="shared" si="16"/>
        <v>0</v>
      </c>
      <c r="I116" s="31">
        <f t="shared" si="16"/>
        <v>0</v>
      </c>
      <c r="J116" s="31">
        <f t="shared" si="16"/>
        <v>0</v>
      </c>
      <c r="K116" s="31">
        <f t="shared" si="16"/>
        <v>0</v>
      </c>
      <c r="L116" s="31">
        <f t="shared" si="16"/>
        <v>0</v>
      </c>
    </row>
  </sheetData>
  <mergeCells count="2">
    <mergeCell ref="B39:L39"/>
    <mergeCell ref="M39:W39"/>
  </mergeCells>
  <dataValidations count="1">
    <dataValidation type="list" allowBlank="1" showInputMessage="1" showErrorMessage="1" sqref="A41:A89" xr:uid="{00000000-0002-0000-0A00-000000000000}">
      <formula1>INDIRECT("Products[LookupCodes]")</formula1>
    </dataValidation>
  </dataValidations>
  <pageMargins left="0.7" right="0.7" top="0.75" bottom="0.75" header="0.3" footer="0.3"/>
  <pageSetup paperSize="9" orientation="portrait" horizontalDpi="0" verticalDpi="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J127"/>
  <sheetViews>
    <sheetView zoomScale="50" zoomScaleNormal="50" workbookViewId="0">
      <pane xSplit="1" topLeftCell="B1" activePane="topRight" state="frozen"/>
      <selection activeCell="D2" sqref="D2:F5"/>
      <selection pane="topRight" activeCell="A5" sqref="A5"/>
    </sheetView>
  </sheetViews>
  <sheetFormatPr defaultColWidth="8.5" defaultRowHeight="15.75"/>
  <cols>
    <col min="1" max="1" width="35.5" bestFit="1" customWidth="1"/>
    <col min="6" max="6" width="10.8125"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Tencent</v>
      </c>
    </row>
    <row r="5" spans="1:36" s="1" customFormat="1" ht="14.25">
      <c r="A5" s="19"/>
    </row>
    <row r="8" spans="1:36">
      <c r="B8" s="163" t="str">
        <f>"Ethernet transceivers consumed annually by "&amp;A39</f>
        <v>Ethernet transceivers consumed annually by Tencent</v>
      </c>
      <c r="C8" s="163"/>
      <c r="D8" s="163"/>
      <c r="E8" s="163"/>
      <c r="F8" s="163"/>
      <c r="G8" s="163"/>
      <c r="H8" s="163"/>
      <c r="I8" s="163"/>
      <c r="J8" s="163" t="str">
        <f>"DWDM transceivers consumed annually by "&amp;A39</f>
        <v>DWDM transceivers consumed annually by Tencent</v>
      </c>
      <c r="L8" s="163"/>
      <c r="M8" s="163"/>
      <c r="N8" s="163"/>
      <c r="O8" s="163"/>
      <c r="P8" s="163"/>
      <c r="R8" s="163"/>
      <c r="S8" s="163" t="str">
        <f>"Annual spending on Ethernet transceivers by "&amp;A39</f>
        <v>Annual spending on Ethernet transceivers by Tencent</v>
      </c>
      <c r="T8" s="163"/>
      <c r="U8" s="163"/>
      <c r="V8" s="163"/>
      <c r="W8" s="163"/>
      <c r="X8" s="163"/>
      <c r="Z8" s="163"/>
      <c r="AA8" s="163" t="str">
        <f>"Annual spending on DWDM transceivers by "&amp;A39</f>
        <v>Annual spending on DWDM transceivers by Tencent</v>
      </c>
      <c r="AB8" s="163"/>
      <c r="AC8" s="163"/>
      <c r="AD8" s="163"/>
      <c r="AE8" s="163"/>
      <c r="AF8" s="163"/>
      <c r="AG8" s="163"/>
      <c r="AH8" s="163"/>
      <c r="AI8" s="163"/>
      <c r="AJ8" s="163"/>
    </row>
    <row r="39" spans="1:24">
      <c r="A39" s="12" t="s">
        <v>217</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0</v>
      </c>
      <c r="C41" s="8">
        <v>0</v>
      </c>
      <c r="D41" s="8"/>
      <c r="E41" s="8"/>
      <c r="F41" s="8"/>
      <c r="G41" s="8"/>
      <c r="H41" s="8"/>
      <c r="I41" s="8"/>
      <c r="J41" s="8"/>
      <c r="K41" s="8"/>
      <c r="L41" s="8"/>
      <c r="M41" s="62" cm="1">
        <f t="array" ref="M41">INDEX(tblPrices[cv_2018], MATCH(tblTencentUnits[[#This Row],[Products]],tblPrices[Products],0), 0)* tblTencentUnits[[#This Row],[cv_2018]]/10^6</f>
        <v>0</v>
      </c>
      <c r="N41" s="62" cm="1">
        <f t="array" ref="N41">INDEX(tblPrices[cv_2019], MATCH(tblTencentUnits[[#This Row],[Products]],tblPrices[Products],0), 0)* tblTencentUnits[[#This Row],[cv_2019]]/10^6</f>
        <v>0</v>
      </c>
      <c r="O41" s="62" cm="1">
        <f t="array" ref="O41">INDEX(tblPrices[cv_2020], MATCH(tblTencentUnits[[#This Row],[Products]],tblPrices[Products],0), 0)* tblTencentUnits[[#This Row],[cv_2020]]/10^6</f>
        <v>0</v>
      </c>
      <c r="P41" s="62" cm="1">
        <f t="array" ref="P41">INDEX(tblPrices[cv_2021], MATCH(tblTencentUnits[[#This Row],[Products]],tblPrices[Products],0), 0)* tblTencentUnits[[#This Row],[cv_2021]]/10^6</f>
        <v>0</v>
      </c>
      <c r="Q41" s="62" cm="1">
        <f t="array" ref="Q41">INDEX(tblPrices[cv_2022], MATCH(tblTencentUnits[[#This Row],[Products]],tblPrices[Products],0), 0)* tblTencentUnits[[#This Row],[cv_2022]]/10^6</f>
        <v>0</v>
      </c>
      <c r="R41" s="62" cm="1">
        <f t="array" ref="R41">INDEX(tblPrices[cv_2023], MATCH(tblTencentUnits[[#This Row],[Products]],tblPrices[Products],0), 0)* tblTencentUnits[[#This Row],[cv_2023]]/10^6</f>
        <v>0</v>
      </c>
      <c r="S41" s="62" cm="1">
        <f t="array" ref="S41">INDEX(tblPrices[cv_2024], MATCH(tblTencentUnits[[#This Row],[Products]],tblPrices[Products],0), 0)* tblTencentUnits[[#This Row],[cv_2024]]/10^6</f>
        <v>0</v>
      </c>
      <c r="T41" s="62" cm="1">
        <f t="array" ref="T41">INDEX(tblPrices[cv_2025], MATCH(tblTencentUnits[[#This Row],[Products]],tblPrices[Products],0), 0)* tblTencentUnits[[#This Row],[cv_2025]]/10^6</f>
        <v>0</v>
      </c>
      <c r="U41" s="62" cm="1">
        <f t="array" ref="U41">INDEX(tblPrices[cv_2026], MATCH(tblTencentUnits[[#This Row],[Products]],tblPrices[Products],0), 0)* tblTencentUnits[[#This Row],[cv_2026]]/10^6</f>
        <v>0</v>
      </c>
      <c r="V41" s="62" cm="1">
        <f t="array" ref="V41">INDEX(tblPrices[cv_2027], MATCH(tblTencentUnits[[#This Row],[Products]],tblPrices[Products],0), 0)* tblTencentUnits[[#This Row],[cv_2027]]/10^6</f>
        <v>0</v>
      </c>
      <c r="W41" s="62" cm="1">
        <f t="array" ref="W41">INDEX(tblPrices[cv_2028], MATCH(tblTencentUnits[[#This Row],[Products]],tblPrices[Products],0), 0)* tblTencentUnits[[#This Row],[cv_2028]]/10^6</f>
        <v>0</v>
      </c>
      <c r="X41" s="1">
        <f>VLOOKUP(A41,Products!$A$11:$F$110,6,FALSE)</f>
        <v>10</v>
      </c>
    </row>
    <row r="42" spans="1:24" s="1" customFormat="1" ht="13.15">
      <c r="A42" s="16" t="s">
        <v>158</v>
      </c>
      <c r="B42" s="36">
        <v>0</v>
      </c>
      <c r="C42" s="36">
        <v>0</v>
      </c>
      <c r="D42" s="36"/>
      <c r="E42" s="36"/>
      <c r="F42" s="36"/>
      <c r="G42" s="36"/>
      <c r="H42" s="36"/>
      <c r="I42" s="36"/>
      <c r="J42" s="36"/>
      <c r="K42" s="36"/>
      <c r="L42" s="36"/>
      <c r="M42" s="62" cm="1">
        <f t="array" ref="M42">INDEX(tblPrices[cv_2018], MATCH(tblTencentUnits[[#This Row],[Products]],tblPrices[Products],0), 0)* tblTencentUnits[[#This Row],[cv_2018]]/10^6</f>
        <v>0</v>
      </c>
      <c r="N42" s="62" cm="1">
        <f t="array" ref="N42">INDEX(tblPrices[cv_2019], MATCH(tblTencentUnits[[#This Row],[Products]],tblPrices[Products],0), 0)* tblTencentUnits[[#This Row],[cv_2019]]/10^6</f>
        <v>0</v>
      </c>
      <c r="O42" s="62" cm="1">
        <f t="array" ref="O42">INDEX(tblPrices[cv_2020], MATCH(tblTencentUnits[[#This Row],[Products]],tblPrices[Products],0), 0)* tblTencentUnits[[#This Row],[cv_2020]]/10^6</f>
        <v>0</v>
      </c>
      <c r="P42" s="62" cm="1">
        <f t="array" ref="P42">INDEX(tblPrices[cv_2021], MATCH(tblTencentUnits[[#This Row],[Products]],tblPrices[Products],0), 0)* tblTencentUnits[[#This Row],[cv_2021]]/10^6</f>
        <v>0</v>
      </c>
      <c r="Q42" s="62" cm="1">
        <f t="array" ref="Q42">INDEX(tblPrices[cv_2022], MATCH(tblTencentUnits[[#This Row],[Products]],tblPrices[Products],0), 0)* tblTencentUnits[[#This Row],[cv_2022]]/10^6</f>
        <v>0</v>
      </c>
      <c r="R42" s="62" cm="1">
        <f t="array" ref="R42">INDEX(tblPrices[cv_2023], MATCH(tblTencentUnits[[#This Row],[Products]],tblPrices[Products],0), 0)* tblTencentUnits[[#This Row],[cv_2023]]/10^6</f>
        <v>0</v>
      </c>
      <c r="S42" s="62" cm="1">
        <f t="array" ref="S42">INDEX(tblPrices[cv_2024], MATCH(tblTencentUnits[[#This Row],[Products]],tblPrices[Products],0), 0)* tblTencentUnits[[#This Row],[cv_2024]]/10^6</f>
        <v>0</v>
      </c>
      <c r="T42" s="62" cm="1">
        <f t="array" ref="T42">INDEX(tblPrices[cv_2025], MATCH(tblTencentUnits[[#This Row],[Products]],tblPrices[Products],0), 0)* tblTencentUnits[[#This Row],[cv_2025]]/10^6</f>
        <v>0</v>
      </c>
      <c r="U42" s="62" cm="1">
        <f t="array" ref="U42">INDEX(tblPrices[cv_2026], MATCH(tblTencentUnits[[#This Row],[Products]],tblPrices[Products],0), 0)* tblTencentUnits[[#This Row],[cv_2026]]/10^6</f>
        <v>0</v>
      </c>
      <c r="V42" s="62" cm="1">
        <f t="array" ref="V42">INDEX(tblPrices[cv_2027], MATCH(tblTencentUnits[[#This Row],[Products]],tblPrices[Products],0), 0)* tblTencentUnits[[#This Row],[cv_2027]]/10^6</f>
        <v>0</v>
      </c>
      <c r="W42" s="62" cm="1">
        <f t="array" ref="W42">INDEX(tblPrices[cv_2028], MATCH(tblTencentUnits[[#This Row],[Products]],tblPrices[Products],0), 0)* tblTencentUnits[[#This Row],[cv_2028]]/10^6</f>
        <v>0</v>
      </c>
      <c r="X42" s="1">
        <f>VLOOKUP(A42,Products!$A$11:$F$110,6,FALSE)</f>
        <v>10</v>
      </c>
    </row>
    <row r="43" spans="1:24" s="1" customFormat="1" ht="13.15">
      <c r="A43" s="16" t="s">
        <v>159</v>
      </c>
      <c r="B43" s="36">
        <v>0</v>
      </c>
      <c r="C43" s="36">
        <v>0</v>
      </c>
      <c r="D43" s="36"/>
      <c r="E43" s="36"/>
      <c r="F43" s="36"/>
      <c r="G43" s="36"/>
      <c r="H43" s="36"/>
      <c r="I43" s="36"/>
      <c r="J43" s="36"/>
      <c r="K43" s="36"/>
      <c r="L43" s="36"/>
      <c r="M43" s="62" cm="1">
        <f t="array" ref="M43">INDEX(tblPrices[cv_2018], MATCH(tblTencentUnits[[#This Row],[Products]],tblPrices[Products],0), 0)* tblTencentUnits[[#This Row],[cv_2018]]/10^6</f>
        <v>0</v>
      </c>
      <c r="N43" s="62" cm="1">
        <f t="array" ref="N43">INDEX(tblPrices[cv_2019], MATCH(tblTencentUnits[[#This Row],[Products]],tblPrices[Products],0), 0)* tblTencentUnits[[#This Row],[cv_2019]]/10^6</f>
        <v>0</v>
      </c>
      <c r="O43" s="62" cm="1">
        <f t="array" ref="O43">INDEX(tblPrices[cv_2020], MATCH(tblTencentUnits[[#This Row],[Products]],tblPrices[Products],0), 0)* tblTencentUnits[[#This Row],[cv_2020]]/10^6</f>
        <v>0</v>
      </c>
      <c r="P43" s="62" cm="1">
        <f t="array" ref="P43">INDEX(tblPrices[cv_2021], MATCH(tblTencentUnits[[#This Row],[Products]],tblPrices[Products],0), 0)* tblTencentUnits[[#This Row],[cv_2021]]/10^6</f>
        <v>0</v>
      </c>
      <c r="Q43" s="62" cm="1">
        <f t="array" ref="Q43">INDEX(tblPrices[cv_2022], MATCH(tblTencentUnits[[#This Row],[Products]],tblPrices[Products],0), 0)* tblTencentUnits[[#This Row],[cv_2022]]/10^6</f>
        <v>0</v>
      </c>
      <c r="R43" s="62" cm="1">
        <f t="array" ref="R43">INDEX(tblPrices[cv_2023], MATCH(tblTencentUnits[[#This Row],[Products]],tblPrices[Products],0), 0)* tblTencentUnits[[#This Row],[cv_2023]]/10^6</f>
        <v>0</v>
      </c>
      <c r="S43" s="62" cm="1">
        <f t="array" ref="S43">INDEX(tblPrices[cv_2024], MATCH(tblTencentUnits[[#This Row],[Products]],tblPrices[Products],0), 0)* tblTencentUnits[[#This Row],[cv_2024]]/10^6</f>
        <v>0</v>
      </c>
      <c r="T43" s="62" cm="1">
        <f t="array" ref="T43">INDEX(tblPrices[cv_2025], MATCH(tblTencentUnits[[#This Row],[Products]],tblPrices[Products],0), 0)* tblTencentUnits[[#This Row],[cv_2025]]/10^6</f>
        <v>0</v>
      </c>
      <c r="U43" s="62" cm="1">
        <f t="array" ref="U43">INDEX(tblPrices[cv_2026], MATCH(tblTencentUnits[[#This Row],[Products]],tblPrices[Products],0), 0)* tblTencentUnits[[#This Row],[cv_2026]]/10^6</f>
        <v>0</v>
      </c>
      <c r="V43" s="62" cm="1">
        <f t="array" ref="V43">INDEX(tblPrices[cv_2027], MATCH(tblTencentUnits[[#This Row],[Products]],tblPrices[Products],0), 0)* tblTencentUnits[[#This Row],[cv_2027]]/10^6</f>
        <v>0</v>
      </c>
      <c r="W43" s="62" cm="1">
        <f t="array" ref="W43">INDEX(tblPrices[cv_2028], MATCH(tblTencentUnits[[#This Row],[Products]],tblPrices[Products],0), 0)* tblTencentUnits[[#This Row],[cv_2028]]/10^6</f>
        <v>0</v>
      </c>
      <c r="X43" s="1">
        <f>VLOOKUP(A43,Products!$A$11:$F$110,6,FALSE)</f>
        <v>10</v>
      </c>
    </row>
    <row r="44" spans="1:24" s="1" customFormat="1" ht="13.15">
      <c r="A44" s="9" t="s">
        <v>0</v>
      </c>
      <c r="B44" s="8">
        <v>210668.24234999999</v>
      </c>
      <c r="C44" s="8">
        <v>157898.30009999996</v>
      </c>
      <c r="D44" s="8"/>
      <c r="E44" s="8"/>
      <c r="F44" s="8"/>
      <c r="G44" s="8"/>
      <c r="H44" s="8"/>
      <c r="I44" s="8"/>
      <c r="J44" s="8"/>
      <c r="K44" s="8"/>
      <c r="L44" s="8"/>
      <c r="M44" s="62" cm="1">
        <f t="array" ref="M44">INDEX(tblPrices[cv_2018], MATCH(tblTencentUnits[[#This Row],[Products]],tblPrices[Products],0), 0)* tblTencentUnits[[#This Row],[cv_2018]]/10^6</f>
        <v>12.357854826558874</v>
      </c>
      <c r="N44" s="62" cm="1">
        <f t="array" ref="N44">INDEX(tblPrices[cv_2019], MATCH(tblTencentUnits[[#This Row],[Products]],tblPrices[Products],0), 0)* tblTencentUnits[[#This Row],[cv_2019]]/10^6</f>
        <v>7.2826033239642829</v>
      </c>
      <c r="O44" s="62" cm="1">
        <f t="array" ref="O44">INDEX(tblPrices[cv_2020], MATCH(tblTencentUnits[[#This Row],[Products]],tblPrices[Products],0), 0)* tblTencentUnits[[#This Row],[cv_2020]]/10^6</f>
        <v>0</v>
      </c>
      <c r="P44" s="62" cm="1">
        <f t="array" ref="P44">INDEX(tblPrices[cv_2021], MATCH(tblTencentUnits[[#This Row],[Products]],tblPrices[Products],0), 0)* tblTencentUnits[[#This Row],[cv_2021]]/10^6</f>
        <v>0</v>
      </c>
      <c r="Q44" s="62" cm="1">
        <f t="array" ref="Q44">INDEX(tblPrices[cv_2022], MATCH(tblTencentUnits[[#This Row],[Products]],tblPrices[Products],0), 0)* tblTencentUnits[[#This Row],[cv_2022]]/10^6</f>
        <v>0</v>
      </c>
      <c r="R44" s="62" cm="1">
        <f t="array" ref="R44">INDEX(tblPrices[cv_2023], MATCH(tblTencentUnits[[#This Row],[Products]],tblPrices[Products],0), 0)* tblTencentUnits[[#This Row],[cv_2023]]/10^6</f>
        <v>0</v>
      </c>
      <c r="S44" s="62" cm="1">
        <f t="array" ref="S44">INDEX(tblPrices[cv_2024], MATCH(tblTencentUnits[[#This Row],[Products]],tblPrices[Products],0), 0)* tblTencentUnits[[#This Row],[cv_2024]]/10^6</f>
        <v>0</v>
      </c>
      <c r="T44" s="62" cm="1">
        <f t="array" ref="T44">INDEX(tblPrices[cv_2025], MATCH(tblTencentUnits[[#This Row],[Products]],tblPrices[Products],0), 0)* tblTencentUnits[[#This Row],[cv_2025]]/10^6</f>
        <v>0</v>
      </c>
      <c r="U44" s="62" cm="1">
        <f t="array" ref="U44">INDEX(tblPrices[cv_2026], MATCH(tblTencentUnits[[#This Row],[Products]],tblPrices[Products],0), 0)* tblTencentUnits[[#This Row],[cv_2026]]/10^6</f>
        <v>0</v>
      </c>
      <c r="V44" s="62" cm="1">
        <f t="array" ref="V44">INDEX(tblPrices[cv_2027], MATCH(tblTencentUnits[[#This Row],[Products]],tblPrices[Products],0), 0)* tblTencentUnits[[#This Row],[cv_2027]]/10^6</f>
        <v>0</v>
      </c>
      <c r="W44" s="62" cm="1">
        <f t="array" ref="W44">INDEX(tblPrices[cv_2028], MATCH(tblTencentUnits[[#This Row],[Products]],tblPrices[Products],0), 0)* tblTencentUnits[[#This Row],[cv_2028]]/10^6</f>
        <v>0</v>
      </c>
      <c r="X44" s="1">
        <f>VLOOKUP(A44,Products!$A$29:$F$110,6,FALSE)</f>
        <v>40</v>
      </c>
    </row>
    <row r="45" spans="1:24" s="1" customFormat="1" ht="13.15">
      <c r="A45" s="9" t="s">
        <v>1</v>
      </c>
      <c r="B45" s="8">
        <v>35896.9977</v>
      </c>
      <c r="C45" s="8">
        <v>23459.758600000001</v>
      </c>
      <c r="D45" s="8"/>
      <c r="E45" s="8"/>
      <c r="F45" s="8"/>
      <c r="G45" s="8"/>
      <c r="H45" s="8"/>
      <c r="I45" s="8"/>
      <c r="J45" s="8"/>
      <c r="K45" s="8"/>
      <c r="L45" s="8"/>
      <c r="M45" s="62" cm="1">
        <f t="array" ref="M45">INDEX(tblPrices[cv_2018], MATCH(tblTencentUnits[[#This Row],[Products]],tblPrices[Products],0), 0)* tblTencentUnits[[#This Row],[cv_2018]]/10^6</f>
        <v>2.2920563473810511</v>
      </c>
      <c r="N45" s="62" cm="1">
        <f t="array" ref="N45">INDEX(tblPrices[cv_2019], MATCH(tblTencentUnits[[#This Row],[Products]],tblPrices[Products],0), 0)* tblTencentUnits[[#This Row],[cv_2019]]/10^6</f>
        <v>1.4555973460999998</v>
      </c>
      <c r="O45" s="62" cm="1">
        <f t="array" ref="O45">INDEX(tblPrices[cv_2020], MATCH(tblTencentUnits[[#This Row],[Products]],tblPrices[Products],0), 0)* tblTencentUnits[[#This Row],[cv_2020]]/10^6</f>
        <v>0</v>
      </c>
      <c r="P45" s="62" cm="1">
        <f t="array" ref="P45">INDEX(tblPrices[cv_2021], MATCH(tblTencentUnits[[#This Row],[Products]],tblPrices[Products],0), 0)* tblTencentUnits[[#This Row],[cv_2021]]/10^6</f>
        <v>0</v>
      </c>
      <c r="Q45" s="62" cm="1">
        <f t="array" ref="Q45">INDEX(tblPrices[cv_2022], MATCH(tblTencentUnits[[#This Row],[Products]],tblPrices[Products],0), 0)* tblTencentUnits[[#This Row],[cv_2022]]/10^6</f>
        <v>0</v>
      </c>
      <c r="R45" s="62" cm="1">
        <f t="array" ref="R45">INDEX(tblPrices[cv_2023], MATCH(tblTencentUnits[[#This Row],[Products]],tblPrices[Products],0), 0)* tblTencentUnits[[#This Row],[cv_2023]]/10^6</f>
        <v>0</v>
      </c>
      <c r="S45" s="62" cm="1">
        <f t="array" ref="S45">INDEX(tblPrices[cv_2024], MATCH(tblTencentUnits[[#This Row],[Products]],tblPrices[Products],0), 0)* tblTencentUnits[[#This Row],[cv_2024]]/10^6</f>
        <v>0</v>
      </c>
      <c r="T45" s="62" cm="1">
        <f t="array" ref="T45">INDEX(tblPrices[cv_2025], MATCH(tblTencentUnits[[#This Row],[Products]],tblPrices[Products],0), 0)* tblTencentUnits[[#This Row],[cv_2025]]/10^6</f>
        <v>0</v>
      </c>
      <c r="U45" s="62" cm="1">
        <f t="array" ref="U45">INDEX(tblPrices[cv_2026], MATCH(tblTencentUnits[[#This Row],[Products]],tblPrices[Products],0), 0)* tblTencentUnits[[#This Row],[cv_2026]]/10^6</f>
        <v>0</v>
      </c>
      <c r="V45" s="62" cm="1">
        <f t="array" ref="V45">INDEX(tblPrices[cv_2027], MATCH(tblTencentUnits[[#This Row],[Products]],tblPrices[Products],0), 0)* tblTencentUnits[[#This Row],[cv_2027]]/10^6</f>
        <v>0</v>
      </c>
      <c r="W45" s="62" cm="1">
        <f t="array" ref="W45">INDEX(tblPrices[cv_2028], MATCH(tblTencentUnits[[#This Row],[Products]],tblPrices[Products],0), 0)* tblTencentUnits[[#This Row],[cv_2028]]/10^6</f>
        <v>0</v>
      </c>
      <c r="X45" s="1">
        <f>VLOOKUP(A45,Products!$A$29:$F$110,6,FALSE)</f>
        <v>40</v>
      </c>
    </row>
    <row r="46" spans="1:24" s="1" customFormat="1" ht="13.15">
      <c r="A46" s="9" t="s">
        <v>2</v>
      </c>
      <c r="B46" s="8">
        <v>3995.7686999999992</v>
      </c>
      <c r="C46" s="8">
        <v>9628.1564999999991</v>
      </c>
      <c r="D46" s="8"/>
      <c r="E46" s="8"/>
      <c r="F46" s="8"/>
      <c r="G46" s="8"/>
      <c r="H46" s="8"/>
      <c r="I46" s="8"/>
      <c r="J46" s="8"/>
      <c r="K46" s="8"/>
      <c r="L46" s="8"/>
      <c r="M46" s="62" cm="1">
        <f t="array" ref="M46">INDEX(tblPrices[cv_2018], MATCH(tblTencentUnits[[#This Row],[Products]],tblPrices[Products],0), 0)* tblTencentUnits[[#This Row],[cv_2018]]/10^6</f>
        <v>1.2134597198219998</v>
      </c>
      <c r="N46" s="62" cm="1">
        <f t="array" ref="N46">INDEX(tblPrices[cv_2019], MATCH(tblTencentUnits[[#This Row],[Products]],tblPrices[Products],0), 0)* tblTencentUnits[[#This Row],[cv_2019]]/10^6</f>
        <v>2.4400779205494914</v>
      </c>
      <c r="O46" s="62" cm="1">
        <f t="array" ref="O46">INDEX(tblPrices[cv_2020], MATCH(tblTencentUnits[[#This Row],[Products]],tblPrices[Products],0), 0)* tblTencentUnits[[#This Row],[cv_2020]]/10^6</f>
        <v>0</v>
      </c>
      <c r="P46" s="62" cm="1">
        <f t="array" ref="P46">INDEX(tblPrices[cv_2021], MATCH(tblTencentUnits[[#This Row],[Products]],tblPrices[Products],0), 0)* tblTencentUnits[[#This Row],[cv_2021]]/10^6</f>
        <v>0</v>
      </c>
      <c r="Q46" s="62" cm="1">
        <f t="array" ref="Q46">INDEX(tblPrices[cv_2022], MATCH(tblTencentUnits[[#This Row],[Products]],tblPrices[Products],0), 0)* tblTencentUnits[[#This Row],[cv_2022]]/10^6</f>
        <v>0</v>
      </c>
      <c r="R46" s="62" cm="1">
        <f t="array" ref="R46">INDEX(tblPrices[cv_2023], MATCH(tblTencentUnits[[#This Row],[Products]],tblPrices[Products],0), 0)* tblTencentUnits[[#This Row],[cv_2023]]/10^6</f>
        <v>0</v>
      </c>
      <c r="S46" s="62" cm="1">
        <f t="array" ref="S46">INDEX(tblPrices[cv_2024], MATCH(tblTencentUnits[[#This Row],[Products]],tblPrices[Products],0), 0)* tblTencentUnits[[#This Row],[cv_2024]]/10^6</f>
        <v>0</v>
      </c>
      <c r="T46" s="62" cm="1">
        <f t="array" ref="T46">INDEX(tblPrices[cv_2025], MATCH(tblTencentUnits[[#This Row],[Products]],tblPrices[Products],0), 0)* tblTencentUnits[[#This Row],[cv_2025]]/10^6</f>
        <v>0</v>
      </c>
      <c r="U46" s="62" cm="1">
        <f t="array" ref="U46">INDEX(tblPrices[cv_2026], MATCH(tblTencentUnits[[#This Row],[Products]],tblPrices[Products],0), 0)* tblTencentUnits[[#This Row],[cv_2026]]/10^6</f>
        <v>0</v>
      </c>
      <c r="V46" s="62" cm="1">
        <f t="array" ref="V46">INDEX(tblPrices[cv_2027], MATCH(tblTencentUnits[[#This Row],[Products]],tblPrices[Products],0), 0)* tblTencentUnits[[#This Row],[cv_2027]]/10^6</f>
        <v>0</v>
      </c>
      <c r="W46" s="62" cm="1">
        <f t="array" ref="W46">INDEX(tblPrices[cv_2028], MATCH(tblTencentUnits[[#This Row],[Products]],tblPrices[Products],0), 0)* tblTencentUnits[[#This Row],[cv_2028]]/10^6</f>
        <v>0</v>
      </c>
      <c r="X46" s="1">
        <f>VLOOKUP(A46,Products!$A$29:$F$110,6,FALSE)</f>
        <v>40</v>
      </c>
    </row>
    <row r="47" spans="1:24" s="1" customFormat="1" ht="13.15">
      <c r="A47" s="9" t="s">
        <v>3</v>
      </c>
      <c r="B47" s="8">
        <v>175176.65908000001</v>
      </c>
      <c r="C47" s="8">
        <v>264013.46632000001</v>
      </c>
      <c r="D47" s="8"/>
      <c r="E47" s="8"/>
      <c r="F47" s="8"/>
      <c r="G47" s="8"/>
      <c r="H47" s="8"/>
      <c r="I47" s="8"/>
      <c r="J47" s="8"/>
      <c r="K47" s="8"/>
      <c r="L47" s="8"/>
      <c r="M47" s="62" cm="1">
        <f t="array" ref="M47">INDEX(tblPrices[cv_2018], MATCH(tblTencentUnits[[#This Row],[Products]],tblPrices[Products],0), 0)* tblTencentUnits[[#This Row],[cv_2018]]/10^6</f>
        <v>19.89075429714206</v>
      </c>
      <c r="N47" s="62" cm="1">
        <f t="array" ref="N47">INDEX(tblPrices[cv_2019], MATCH(tblTencentUnits[[#This Row],[Products]],tblPrices[Products],0), 0)* tblTencentUnits[[#This Row],[cv_2019]]/10^6</f>
        <v>22.438668511331151</v>
      </c>
      <c r="O47" s="62" cm="1">
        <f t="array" ref="O47">INDEX(tblPrices[cv_2020], MATCH(tblTencentUnits[[#This Row],[Products]],tblPrices[Products],0), 0)* tblTencentUnits[[#This Row],[cv_2020]]/10^6</f>
        <v>0</v>
      </c>
      <c r="P47" s="62" cm="1">
        <f t="array" ref="P47">INDEX(tblPrices[cv_2021], MATCH(tblTencentUnits[[#This Row],[Products]],tblPrices[Products],0), 0)* tblTencentUnits[[#This Row],[cv_2021]]/10^6</f>
        <v>0</v>
      </c>
      <c r="Q47" s="62" cm="1">
        <f t="array" ref="Q47">INDEX(tblPrices[cv_2022], MATCH(tblTencentUnits[[#This Row],[Products]],tblPrices[Products],0), 0)* tblTencentUnits[[#This Row],[cv_2022]]/10^6</f>
        <v>0</v>
      </c>
      <c r="R47" s="62" cm="1">
        <f t="array" ref="R47">INDEX(tblPrices[cv_2023], MATCH(tblTencentUnits[[#This Row],[Products]],tblPrices[Products],0), 0)* tblTencentUnits[[#This Row],[cv_2023]]/10^6</f>
        <v>0</v>
      </c>
      <c r="S47" s="62" cm="1">
        <f t="array" ref="S47">INDEX(tblPrices[cv_2024], MATCH(tblTencentUnits[[#This Row],[Products]],tblPrices[Products],0), 0)* tblTencentUnits[[#This Row],[cv_2024]]/10^6</f>
        <v>0</v>
      </c>
      <c r="T47" s="62" cm="1">
        <f t="array" ref="T47">INDEX(tblPrices[cv_2025], MATCH(tblTencentUnits[[#This Row],[Products]],tblPrices[Products],0), 0)* tblTencentUnits[[#This Row],[cv_2025]]/10^6</f>
        <v>0</v>
      </c>
      <c r="U47" s="62" cm="1">
        <f t="array" ref="U47">INDEX(tblPrices[cv_2026], MATCH(tblTencentUnits[[#This Row],[Products]],tblPrices[Products],0), 0)* tblTencentUnits[[#This Row],[cv_2026]]/10^6</f>
        <v>0</v>
      </c>
      <c r="V47" s="62" cm="1">
        <f t="array" ref="V47">INDEX(tblPrices[cv_2027], MATCH(tblTencentUnits[[#This Row],[Products]],tblPrices[Products],0), 0)* tblTencentUnits[[#This Row],[cv_2027]]/10^6</f>
        <v>0</v>
      </c>
      <c r="W47" s="62" cm="1">
        <f t="array" ref="W47">INDEX(tblPrices[cv_2028], MATCH(tblTencentUnits[[#This Row],[Products]],tblPrices[Products],0), 0)* tblTencentUnits[[#This Row],[cv_2028]]/10^6</f>
        <v>0</v>
      </c>
      <c r="X47" s="1">
        <f>VLOOKUP(A47,Products!$A$29:$F$110,6,FALSE)</f>
        <v>100</v>
      </c>
    </row>
    <row r="48" spans="1:24" s="1" customFormat="1" ht="13.15">
      <c r="A48" s="9" t="s">
        <v>4</v>
      </c>
      <c r="B48" s="8">
        <v>162.26999999999998</v>
      </c>
      <c r="C48" s="8">
        <v>957.21600000000012</v>
      </c>
      <c r="D48" s="8"/>
      <c r="E48" s="8"/>
      <c r="F48" s="8"/>
      <c r="G48" s="8"/>
      <c r="H48" s="8"/>
      <c r="I48" s="8"/>
      <c r="J48" s="8"/>
      <c r="K48" s="8"/>
      <c r="L48" s="8"/>
      <c r="M48" s="62" cm="1">
        <f t="array" ref="M48">INDEX(tblPrices[cv_2018], MATCH(tblTencentUnits[[#This Row],[Products]],tblPrices[Products],0), 0)* tblTencentUnits[[#This Row],[cv_2018]]/10^6</f>
        <v>2.7585899999999997E-2</v>
      </c>
      <c r="N48" s="62" cm="1">
        <f t="array" ref="N48">INDEX(tblPrices[cv_2019], MATCH(tblTencentUnits[[#This Row],[Products]],tblPrices[Products],0), 0)* tblTencentUnits[[#This Row],[cv_2019]]/10^6</f>
        <v>0.11965200000000001</v>
      </c>
      <c r="O48" s="62" cm="1">
        <f t="array" ref="O48">INDEX(tblPrices[cv_2020], MATCH(tblTencentUnits[[#This Row],[Products]],tblPrices[Products],0), 0)* tblTencentUnits[[#This Row],[cv_2020]]/10^6</f>
        <v>0</v>
      </c>
      <c r="P48" s="62" cm="1">
        <f t="array" ref="P48">INDEX(tblPrices[cv_2021], MATCH(tblTencentUnits[[#This Row],[Products]],tblPrices[Products],0), 0)* tblTencentUnits[[#This Row],[cv_2021]]/10^6</f>
        <v>0</v>
      </c>
      <c r="Q48" s="62" cm="1">
        <f t="array" ref="Q48">INDEX(tblPrices[cv_2022], MATCH(tblTencentUnits[[#This Row],[Products]],tblPrices[Products],0), 0)* tblTencentUnits[[#This Row],[cv_2022]]/10^6</f>
        <v>0</v>
      </c>
      <c r="R48" s="62" cm="1">
        <f t="array" ref="R48">INDEX(tblPrices[cv_2023], MATCH(tblTencentUnits[[#This Row],[Products]],tblPrices[Products],0), 0)* tblTencentUnits[[#This Row],[cv_2023]]/10^6</f>
        <v>0</v>
      </c>
      <c r="S48" s="62" cm="1">
        <f t="array" ref="S48">INDEX(tblPrices[cv_2024], MATCH(tblTencentUnits[[#This Row],[Products]],tblPrices[Products],0), 0)* tblTencentUnits[[#This Row],[cv_2024]]/10^6</f>
        <v>0</v>
      </c>
      <c r="T48" s="62" cm="1">
        <f t="array" ref="T48">INDEX(tblPrices[cv_2025], MATCH(tblTencentUnits[[#This Row],[Products]],tblPrices[Products],0), 0)* tblTencentUnits[[#This Row],[cv_2025]]/10^6</f>
        <v>0</v>
      </c>
      <c r="U48" s="62" cm="1">
        <f t="array" ref="U48">INDEX(tblPrices[cv_2026], MATCH(tblTencentUnits[[#This Row],[Products]],tblPrices[Products],0), 0)* tblTencentUnits[[#This Row],[cv_2026]]/10^6</f>
        <v>0</v>
      </c>
      <c r="V48" s="62" cm="1">
        <f t="array" ref="V48">INDEX(tblPrices[cv_2027], MATCH(tblTencentUnits[[#This Row],[Products]],tblPrices[Products],0), 0)* tblTencentUnits[[#This Row],[cv_2027]]/10^6</f>
        <v>0</v>
      </c>
      <c r="W48" s="62" cm="1">
        <f t="array" ref="W48">INDEX(tblPrices[cv_2028], MATCH(tblTencentUnits[[#This Row],[Products]],tblPrices[Products],0), 0)* tblTencentUnits[[#This Row],[cv_2028]]/10^6</f>
        <v>0</v>
      </c>
      <c r="X48" s="1">
        <f>VLOOKUP(A48,Products!$A$29:$F$110,6,FALSE)</f>
        <v>100</v>
      </c>
    </row>
    <row r="49" spans="1:24" s="1" customFormat="1" ht="13.15">
      <c r="A49" s="9" t="s">
        <v>5</v>
      </c>
      <c r="B49" s="8">
        <v>5813.5015083333337</v>
      </c>
      <c r="C49" s="8">
        <v>41278.542749999993</v>
      </c>
      <c r="D49" s="8"/>
      <c r="E49" s="8"/>
      <c r="F49" s="8"/>
      <c r="G49" s="8"/>
      <c r="H49" s="8"/>
      <c r="I49" s="8"/>
      <c r="J49" s="8"/>
      <c r="K49" s="8"/>
      <c r="L49" s="8"/>
      <c r="M49" s="62" cm="1">
        <f t="array" ref="M49">INDEX(tblPrices[cv_2018], MATCH(tblTencentUnits[[#This Row],[Products]],tblPrices[Products],0), 0)* tblTencentUnits[[#This Row],[cv_2018]]/10^6</f>
        <v>2.8486157390833333</v>
      </c>
      <c r="N49" s="62" cm="1">
        <f t="array" ref="N49">INDEX(tblPrices[cv_2019], MATCH(tblTencentUnits[[#This Row],[Products]],tblPrices[Products],0), 0)* tblTencentUnits[[#This Row],[cv_2019]]/10^6</f>
        <v>9.9068502599999988</v>
      </c>
      <c r="O49" s="62" cm="1">
        <f t="array" ref="O49">INDEX(tblPrices[cv_2020], MATCH(tblTencentUnits[[#This Row],[Products]],tblPrices[Products],0), 0)* tblTencentUnits[[#This Row],[cv_2020]]/10^6</f>
        <v>0</v>
      </c>
      <c r="P49" s="62" cm="1">
        <f t="array" ref="P49">INDEX(tblPrices[cv_2021], MATCH(tblTencentUnits[[#This Row],[Products]],tblPrices[Products],0), 0)* tblTencentUnits[[#This Row],[cv_2021]]/10^6</f>
        <v>0</v>
      </c>
      <c r="Q49" s="62" cm="1">
        <f t="array" ref="Q49">INDEX(tblPrices[cv_2022], MATCH(tblTencentUnits[[#This Row],[Products]],tblPrices[Products],0), 0)* tblTencentUnits[[#This Row],[cv_2022]]/10^6</f>
        <v>0</v>
      </c>
      <c r="R49" s="62" cm="1">
        <f t="array" ref="R49">INDEX(tblPrices[cv_2023], MATCH(tblTencentUnits[[#This Row],[Products]],tblPrices[Products],0), 0)* tblTencentUnits[[#This Row],[cv_2023]]/10^6</f>
        <v>0</v>
      </c>
      <c r="S49" s="62" cm="1">
        <f t="array" ref="S49">INDEX(tblPrices[cv_2024], MATCH(tblTencentUnits[[#This Row],[Products]],tblPrices[Products],0), 0)* tblTencentUnits[[#This Row],[cv_2024]]/10^6</f>
        <v>0</v>
      </c>
      <c r="T49" s="62" cm="1">
        <f t="array" ref="T49">INDEX(tblPrices[cv_2025], MATCH(tblTencentUnits[[#This Row],[Products]],tblPrices[Products],0), 0)* tblTencentUnits[[#This Row],[cv_2025]]/10^6</f>
        <v>0</v>
      </c>
      <c r="U49" s="62" cm="1">
        <f t="array" ref="U49">INDEX(tblPrices[cv_2026], MATCH(tblTencentUnits[[#This Row],[Products]],tblPrices[Products],0), 0)* tblTencentUnits[[#This Row],[cv_2026]]/10^6</f>
        <v>0</v>
      </c>
      <c r="V49" s="62" cm="1">
        <f t="array" ref="V49">INDEX(tblPrices[cv_2027], MATCH(tblTencentUnits[[#This Row],[Products]],tblPrices[Products],0), 0)* tblTencentUnits[[#This Row],[cv_2027]]/10^6</f>
        <v>0</v>
      </c>
      <c r="W49" s="62" cm="1">
        <f t="array" ref="W49">INDEX(tblPrices[cv_2028], MATCH(tblTencentUnits[[#This Row],[Products]],tblPrices[Products],0), 0)* tblTencentUnits[[#This Row],[cv_2028]]/10^6</f>
        <v>0</v>
      </c>
      <c r="X49" s="1">
        <f>VLOOKUP(A49,Products!$A$29:$F$110,6,FALSE)</f>
        <v>100</v>
      </c>
    </row>
    <row r="50" spans="1:24" s="1" customFormat="1" ht="13.15">
      <c r="A50" s="9" t="s">
        <v>6</v>
      </c>
      <c r="B50" s="8">
        <v>12591.36389072059</v>
      </c>
      <c r="C50" s="8">
        <v>18847.849504999998</v>
      </c>
      <c r="D50" s="8"/>
      <c r="E50" s="8"/>
      <c r="F50" s="8"/>
      <c r="G50" s="8"/>
      <c r="H50" s="8"/>
      <c r="I50" s="8"/>
      <c r="J50" s="8"/>
      <c r="K50" s="8"/>
      <c r="L50" s="8"/>
      <c r="M50" s="62" cm="1">
        <f t="array" ref="M50">INDEX(tblPrices[cv_2018], MATCH(tblTencentUnits[[#This Row],[Products]],tblPrices[Products],0), 0)* tblTencentUnits[[#This Row],[cv_2018]]/10^6</f>
        <v>10.499092371016978</v>
      </c>
      <c r="N50" s="62" cm="1">
        <f t="array" ref="N50">INDEX(tblPrices[cv_2019], MATCH(tblTencentUnits[[#This Row],[Products]],tblPrices[Products],0), 0)* tblTencentUnits[[#This Row],[cv_2019]]/10^6</f>
        <v>9.9344599217647467</v>
      </c>
      <c r="O50" s="62" cm="1">
        <f t="array" ref="O50">INDEX(tblPrices[cv_2020], MATCH(tblTencentUnits[[#This Row],[Products]],tblPrices[Products],0), 0)* tblTencentUnits[[#This Row],[cv_2020]]/10^6</f>
        <v>0</v>
      </c>
      <c r="P50" s="62" cm="1">
        <f t="array" ref="P50">INDEX(tblPrices[cv_2021], MATCH(tblTencentUnits[[#This Row],[Products]],tblPrices[Products],0), 0)* tblTencentUnits[[#This Row],[cv_2021]]/10^6</f>
        <v>0</v>
      </c>
      <c r="Q50" s="62" cm="1">
        <f t="array" ref="Q50">INDEX(tblPrices[cv_2022], MATCH(tblTencentUnits[[#This Row],[Products]],tblPrices[Products],0), 0)* tblTencentUnits[[#This Row],[cv_2022]]/10^6</f>
        <v>0</v>
      </c>
      <c r="R50" s="62" cm="1">
        <f t="array" ref="R50">INDEX(tblPrices[cv_2023], MATCH(tblTencentUnits[[#This Row],[Products]],tblPrices[Products],0), 0)* tblTencentUnits[[#This Row],[cv_2023]]/10^6</f>
        <v>0</v>
      </c>
      <c r="S50" s="62" cm="1">
        <f t="array" ref="S50">INDEX(tblPrices[cv_2024], MATCH(tblTencentUnits[[#This Row],[Products]],tblPrices[Products],0), 0)* tblTencentUnits[[#This Row],[cv_2024]]/10^6</f>
        <v>0</v>
      </c>
      <c r="T50" s="62" cm="1">
        <f t="array" ref="T50">INDEX(tblPrices[cv_2025], MATCH(tblTencentUnits[[#This Row],[Products]],tblPrices[Products],0), 0)* tblTencentUnits[[#This Row],[cv_2025]]/10^6</f>
        <v>0</v>
      </c>
      <c r="U50" s="62" cm="1">
        <f t="array" ref="U50">INDEX(tblPrices[cv_2026], MATCH(tblTencentUnits[[#This Row],[Products]],tblPrices[Products],0), 0)* tblTencentUnits[[#This Row],[cv_2026]]/10^6</f>
        <v>0</v>
      </c>
      <c r="V50" s="62" cm="1">
        <f t="array" ref="V50">INDEX(tblPrices[cv_2027], MATCH(tblTencentUnits[[#This Row],[Products]],tblPrices[Products],0), 0)* tblTencentUnits[[#This Row],[cv_2027]]/10^6</f>
        <v>0</v>
      </c>
      <c r="W50" s="62" cm="1">
        <f t="array" ref="W50">INDEX(tblPrices[cv_2028], MATCH(tblTencentUnits[[#This Row],[Products]],tblPrices[Products],0), 0)* tblTencentUnits[[#This Row],[cv_2028]]/10^6</f>
        <v>0</v>
      </c>
      <c r="X50" s="1">
        <f>VLOOKUP(A50,Products!$A$29:$F$110,6,FALSE)</f>
        <v>100</v>
      </c>
    </row>
    <row r="51" spans="1:24" s="1" customFormat="1" ht="13.15">
      <c r="A51" s="9" t="s">
        <v>7</v>
      </c>
      <c r="B51" s="8">
        <v>264.00000000000006</v>
      </c>
      <c r="C51" s="8">
        <v>344.54352000000006</v>
      </c>
      <c r="D51" s="8"/>
      <c r="E51" s="8"/>
      <c r="F51" s="8"/>
      <c r="G51" s="8"/>
      <c r="H51" s="8"/>
      <c r="I51" s="8"/>
      <c r="J51" s="8"/>
      <c r="K51" s="8"/>
      <c r="L51" s="8"/>
      <c r="M51" s="62" cm="1">
        <f t="array" ref="M51">INDEX(tblPrices[cv_2018], MATCH(tblTencentUnits[[#This Row],[Products]],tblPrices[Products],0), 0)* tblTencentUnits[[#This Row],[cv_2018]]/10^6</f>
        <v>7.920000000000002E-2</v>
      </c>
      <c r="N51" s="62" cm="1">
        <f t="array" ref="N51">INDEX(tblPrices[cv_2019], MATCH(tblTencentUnits[[#This Row],[Products]],tblPrices[Products],0), 0)* tblTencentUnits[[#This Row],[cv_2019]]/10^6</f>
        <v>7.1051262854126163E-2</v>
      </c>
      <c r="O51" s="62" cm="1">
        <f t="array" ref="O51">INDEX(tblPrices[cv_2020], MATCH(tblTencentUnits[[#This Row],[Products]],tblPrices[Products],0), 0)* tblTencentUnits[[#This Row],[cv_2020]]/10^6</f>
        <v>0</v>
      </c>
      <c r="P51" s="62" cm="1">
        <f t="array" ref="P51">INDEX(tblPrices[cv_2021], MATCH(tblTencentUnits[[#This Row],[Products]],tblPrices[Products],0), 0)* tblTencentUnits[[#This Row],[cv_2021]]/10^6</f>
        <v>0</v>
      </c>
      <c r="Q51" s="62" cm="1">
        <f t="array" ref="Q51">INDEX(tblPrices[cv_2022], MATCH(tblTencentUnits[[#This Row],[Products]],tblPrices[Products],0), 0)* tblTencentUnits[[#This Row],[cv_2022]]/10^6</f>
        <v>0</v>
      </c>
      <c r="R51" s="62" cm="1">
        <f t="array" ref="R51">INDEX(tblPrices[cv_2023], MATCH(tblTencentUnits[[#This Row],[Products]],tblPrices[Products],0), 0)* tblTencentUnits[[#This Row],[cv_2023]]/10^6</f>
        <v>0</v>
      </c>
      <c r="S51" s="62" cm="1">
        <f t="array" ref="S51">INDEX(tblPrices[cv_2024], MATCH(tblTencentUnits[[#This Row],[Products]],tblPrices[Products],0), 0)* tblTencentUnits[[#This Row],[cv_2024]]/10^6</f>
        <v>0</v>
      </c>
      <c r="T51" s="62" cm="1">
        <f t="array" ref="T51">INDEX(tblPrices[cv_2025], MATCH(tblTencentUnits[[#This Row],[Products]],tblPrices[Products],0), 0)* tblTencentUnits[[#This Row],[cv_2025]]/10^6</f>
        <v>0</v>
      </c>
      <c r="U51" s="62" cm="1">
        <f t="array" ref="U51">INDEX(tblPrices[cv_2026], MATCH(tblTencentUnits[[#This Row],[Products]],tblPrices[Products],0), 0)* tblTencentUnits[[#This Row],[cv_2026]]/10^6</f>
        <v>0</v>
      </c>
      <c r="V51" s="62" cm="1">
        <f t="array" ref="V51">INDEX(tblPrices[cv_2027], MATCH(tblTencentUnits[[#This Row],[Products]],tblPrices[Products],0), 0)* tblTencentUnits[[#This Row],[cv_2027]]/10^6</f>
        <v>0</v>
      </c>
      <c r="W51" s="62" cm="1">
        <f t="array" ref="W51">INDEX(tblPrices[cv_2028], MATCH(tblTencentUnits[[#This Row],[Products]],tblPrices[Products],0), 0)* tblTencentUnits[[#This Row],[cv_2028]]/10^6</f>
        <v>0</v>
      </c>
      <c r="X51" s="1">
        <f>VLOOKUP(A51,Products!$A$29:$F$110,6,FALSE)</f>
        <v>100</v>
      </c>
    </row>
    <row r="52" spans="1:24" s="1" customFormat="1" ht="13.15">
      <c r="A52" s="9" t="s">
        <v>8</v>
      </c>
      <c r="B52" s="8">
        <v>0</v>
      </c>
      <c r="C52" s="8">
        <v>32.711999999999996</v>
      </c>
      <c r="D52" s="8"/>
      <c r="E52" s="8"/>
      <c r="F52" s="8"/>
      <c r="G52" s="8"/>
      <c r="H52" s="8"/>
      <c r="I52" s="8"/>
      <c r="J52" s="8"/>
      <c r="K52" s="8"/>
      <c r="L52" s="8"/>
      <c r="M52" s="62" cm="1">
        <f t="array" ref="M52">INDEX(tblPrices[cv_2018], MATCH(tblTencentUnits[[#This Row],[Products]],tblPrices[Products],0), 0)* tblTencentUnits[[#This Row],[cv_2018]]/10^6</f>
        <v>0</v>
      </c>
      <c r="N52" s="62" cm="1">
        <f t="array" ref="N52">INDEX(tblPrices[cv_2019], MATCH(tblTencentUnits[[#This Row],[Products]],tblPrices[Products],0), 0)* tblTencentUnits[[#This Row],[cv_2019]]/10^6</f>
        <v>5.5860487998590266E-2</v>
      </c>
      <c r="O52" s="62" cm="1">
        <f t="array" ref="O52">INDEX(tblPrices[cv_2020], MATCH(tblTencentUnits[[#This Row],[Products]],tblPrices[Products],0), 0)* tblTencentUnits[[#This Row],[cv_2020]]/10^6</f>
        <v>0</v>
      </c>
      <c r="P52" s="62" cm="1">
        <f t="array" ref="P52">INDEX(tblPrices[cv_2021], MATCH(tblTencentUnits[[#This Row],[Products]],tblPrices[Products],0), 0)* tblTencentUnits[[#This Row],[cv_2021]]/10^6</f>
        <v>0</v>
      </c>
      <c r="Q52" s="62" cm="1">
        <f t="array" ref="Q52">INDEX(tblPrices[cv_2022], MATCH(tblTencentUnits[[#This Row],[Products]],tblPrices[Products],0), 0)* tblTencentUnits[[#This Row],[cv_2022]]/10^6</f>
        <v>0</v>
      </c>
      <c r="R52" s="62" cm="1">
        <f t="array" ref="R52">INDEX(tblPrices[cv_2023], MATCH(tblTencentUnits[[#This Row],[Products]],tblPrices[Products],0), 0)* tblTencentUnits[[#This Row],[cv_2023]]/10^6</f>
        <v>0</v>
      </c>
      <c r="S52" s="62" cm="1">
        <f t="array" ref="S52">INDEX(tblPrices[cv_2024], MATCH(tblTencentUnits[[#This Row],[Products]],tblPrices[Products],0), 0)* tblTencentUnits[[#This Row],[cv_2024]]/10^6</f>
        <v>0</v>
      </c>
      <c r="T52" s="62" cm="1">
        <f t="array" ref="T52">INDEX(tblPrices[cv_2025], MATCH(tblTencentUnits[[#This Row],[Products]],tblPrices[Products],0), 0)* tblTencentUnits[[#This Row],[cv_2025]]/10^6</f>
        <v>0</v>
      </c>
      <c r="U52" s="62" cm="1">
        <f t="array" ref="U52">INDEX(tblPrices[cv_2026], MATCH(tblTencentUnits[[#This Row],[Products]],tblPrices[Products],0), 0)* tblTencentUnits[[#This Row],[cv_2026]]/10^6</f>
        <v>0</v>
      </c>
      <c r="V52" s="62" cm="1">
        <f t="array" ref="V52">INDEX(tblPrices[cv_2027], MATCH(tblTencentUnits[[#This Row],[Products]],tblPrices[Products],0), 0)* tblTencentUnits[[#This Row],[cv_2027]]/10^6</f>
        <v>0</v>
      </c>
      <c r="W52" s="62" cm="1">
        <f t="array" ref="W52">INDEX(tblPrices[cv_2028], MATCH(tblTencentUnits[[#This Row],[Products]],tblPrices[Products],0), 0)* tblTencentUnits[[#This Row],[cv_2028]]/10^6</f>
        <v>0</v>
      </c>
      <c r="X52" s="1">
        <f>VLOOKUP(A52,Products!$A$29:$F$110,6,FALSE)</f>
        <v>100</v>
      </c>
    </row>
    <row r="53" spans="1:24" s="1" customFormat="1" ht="13.15">
      <c r="A53" s="9" t="s">
        <v>44</v>
      </c>
      <c r="B53" s="8">
        <v>0</v>
      </c>
      <c r="C53" s="8">
        <v>0</v>
      </c>
      <c r="D53" s="8"/>
      <c r="E53" s="8"/>
      <c r="F53" s="8"/>
      <c r="G53" s="8"/>
      <c r="H53" s="8"/>
      <c r="I53" s="8"/>
      <c r="J53" s="8"/>
      <c r="K53" s="8"/>
      <c r="L53" s="8"/>
      <c r="M53" s="62" cm="1">
        <f t="array" ref="M53">INDEX(tblPrices[cv_2018], MATCH(tblTencentUnits[[#This Row],[Products]],tblPrices[Products],0), 0)* tblTencentUnits[[#This Row],[cv_2018]]/10^6</f>
        <v>0</v>
      </c>
      <c r="N53" s="62" cm="1">
        <f t="array" ref="N53">INDEX(tblPrices[cv_2019], MATCH(tblTencentUnits[[#This Row],[Products]],tblPrices[Products],0), 0)* tblTencentUnits[[#This Row],[cv_2019]]/10^6</f>
        <v>0</v>
      </c>
      <c r="O53" s="62" cm="1">
        <f t="array" ref="O53">INDEX(tblPrices[cv_2020], MATCH(tblTencentUnits[[#This Row],[Products]],tblPrices[Products],0), 0)* tblTencentUnits[[#This Row],[cv_2020]]/10^6</f>
        <v>0</v>
      </c>
      <c r="P53" s="62" cm="1">
        <f t="array" ref="P53">INDEX(tblPrices[cv_2021], MATCH(tblTencentUnits[[#This Row],[Products]],tblPrices[Products],0), 0)* tblTencentUnits[[#This Row],[cv_2021]]/10^6</f>
        <v>0</v>
      </c>
      <c r="Q53" s="62" cm="1">
        <f t="array" ref="Q53">INDEX(tblPrices[cv_2022], MATCH(tblTencentUnits[[#This Row],[Products]],tblPrices[Products],0), 0)* tblTencentUnits[[#This Row],[cv_2022]]/10^6</f>
        <v>0</v>
      </c>
      <c r="R53" s="62" cm="1">
        <f t="array" ref="R53">INDEX(tblPrices[cv_2023], MATCH(tblTencentUnits[[#This Row],[Products]],tblPrices[Products],0), 0)* tblTencentUnits[[#This Row],[cv_2023]]/10^6</f>
        <v>0</v>
      </c>
      <c r="S53" s="62" cm="1">
        <f t="array" ref="S53">INDEX(tblPrices[cv_2024], MATCH(tblTencentUnits[[#This Row],[Products]],tblPrices[Products],0), 0)* tblTencentUnits[[#This Row],[cv_2024]]/10^6</f>
        <v>0</v>
      </c>
      <c r="T53" s="62" cm="1">
        <f t="array" ref="T53">INDEX(tblPrices[cv_2025], MATCH(tblTencentUnits[[#This Row],[Products]],tblPrices[Products],0), 0)* tblTencentUnits[[#This Row],[cv_2025]]/10^6</f>
        <v>0</v>
      </c>
      <c r="U53" s="62" cm="1">
        <f t="array" ref="U53">INDEX(tblPrices[cv_2026], MATCH(tblTencentUnits[[#This Row],[Products]],tblPrices[Products],0), 0)* tblTencentUnits[[#This Row],[cv_2026]]/10^6</f>
        <v>0</v>
      </c>
      <c r="V53" s="62" cm="1">
        <f t="array" ref="V53">INDEX(tblPrices[cv_2027], MATCH(tblTencentUnits[[#This Row],[Products]],tblPrices[Products],0), 0)* tblTencentUnits[[#This Row],[cv_2027]]/10^6</f>
        <v>0</v>
      </c>
      <c r="W53" s="62" cm="1">
        <f t="array" ref="W53">INDEX(tblPrices[cv_2028], MATCH(tblTencentUnits[[#This Row],[Products]],tblPrices[Products],0), 0)* tblTencentUnits[[#This Row],[cv_2028]]/10^6</f>
        <v>0</v>
      </c>
      <c r="X53" s="1">
        <f>VLOOKUP(A53,Products!$A$29:$F$110,6,FALSE)</f>
        <v>100</v>
      </c>
    </row>
    <row r="54" spans="1:24" s="1" customFormat="1" ht="13.15">
      <c r="A54" s="9" t="s">
        <v>45</v>
      </c>
      <c r="B54" s="8">
        <v>0</v>
      </c>
      <c r="C54" s="8">
        <v>0</v>
      </c>
      <c r="D54" s="8"/>
      <c r="E54" s="8"/>
      <c r="F54" s="8"/>
      <c r="G54" s="8"/>
      <c r="H54" s="8"/>
      <c r="I54" s="8"/>
      <c r="J54" s="8"/>
      <c r="K54" s="8"/>
      <c r="L54" s="8"/>
      <c r="M54" s="62" cm="1">
        <f t="array" ref="M54">INDEX(tblPrices[cv_2018], MATCH(tblTencentUnits[[#This Row],[Products]],tblPrices[Products],0), 0)* tblTencentUnits[[#This Row],[cv_2018]]/10^6</f>
        <v>0</v>
      </c>
      <c r="N54" s="62" cm="1">
        <f t="array" ref="N54">INDEX(tblPrices[cv_2019], MATCH(tblTencentUnits[[#This Row],[Products]],tblPrices[Products],0), 0)* tblTencentUnits[[#This Row],[cv_2019]]/10^6</f>
        <v>0</v>
      </c>
      <c r="O54" s="62" cm="1">
        <f t="array" ref="O54">INDEX(tblPrices[cv_2020], MATCH(tblTencentUnits[[#This Row],[Products]],tblPrices[Products],0), 0)* tblTencentUnits[[#This Row],[cv_2020]]/10^6</f>
        <v>0</v>
      </c>
      <c r="P54" s="62" cm="1">
        <f t="array" ref="P54">INDEX(tblPrices[cv_2021], MATCH(tblTencentUnits[[#This Row],[Products]],tblPrices[Products],0), 0)* tblTencentUnits[[#This Row],[cv_2021]]/10^6</f>
        <v>0</v>
      </c>
      <c r="Q54" s="62" cm="1">
        <f t="array" ref="Q54">INDEX(tblPrices[cv_2022], MATCH(tblTencentUnits[[#This Row],[Products]],tblPrices[Products],0), 0)* tblTencentUnits[[#This Row],[cv_2022]]/10^6</f>
        <v>0</v>
      </c>
      <c r="R54" s="62" cm="1">
        <f t="array" ref="R54">INDEX(tblPrices[cv_2023], MATCH(tblTencentUnits[[#This Row],[Products]],tblPrices[Products],0), 0)* tblTencentUnits[[#This Row],[cv_2023]]/10^6</f>
        <v>0</v>
      </c>
      <c r="S54" s="62" cm="1">
        <f t="array" ref="S54">INDEX(tblPrices[cv_2024], MATCH(tblTencentUnits[[#This Row],[Products]],tblPrices[Products],0), 0)* tblTencentUnits[[#This Row],[cv_2024]]/10^6</f>
        <v>0</v>
      </c>
      <c r="T54" s="62" cm="1">
        <f t="array" ref="T54">INDEX(tblPrices[cv_2025], MATCH(tblTencentUnits[[#This Row],[Products]],tblPrices[Products],0), 0)* tblTencentUnits[[#This Row],[cv_2025]]/10^6</f>
        <v>0</v>
      </c>
      <c r="U54" s="62" cm="1">
        <f t="array" ref="U54">INDEX(tblPrices[cv_2026], MATCH(tblTencentUnits[[#This Row],[Products]],tblPrices[Products],0), 0)* tblTencentUnits[[#This Row],[cv_2026]]/10^6</f>
        <v>0</v>
      </c>
      <c r="V54" s="62" cm="1">
        <f t="array" ref="V54">INDEX(tblPrices[cv_2027], MATCH(tblTencentUnits[[#This Row],[Products]],tblPrices[Products],0), 0)* tblTencentUnits[[#This Row],[cv_2027]]/10^6</f>
        <v>0</v>
      </c>
      <c r="W54" s="62" cm="1">
        <f t="array" ref="W54">INDEX(tblPrices[cv_2028], MATCH(tblTencentUnits[[#This Row],[Products]],tblPrices[Products],0), 0)* tblTencentUnits[[#This Row],[cv_2028]]/10^6</f>
        <v>0</v>
      </c>
      <c r="X54" s="1">
        <f>VLOOKUP(A54,Products!$A$29:$F$110,6,FALSE)</f>
        <v>100</v>
      </c>
    </row>
    <row r="55" spans="1:24" s="1" customFormat="1" ht="13.05" customHeight="1">
      <c r="A55" s="9" t="s">
        <v>47</v>
      </c>
      <c r="B55" s="8">
        <v>200</v>
      </c>
      <c r="C55" s="8">
        <v>2000</v>
      </c>
      <c r="D55" s="8"/>
      <c r="E55" s="8"/>
      <c r="F55" s="8"/>
      <c r="G55" s="8"/>
      <c r="H55" s="8"/>
      <c r="I55" s="8"/>
      <c r="J55" s="8"/>
      <c r="K55" s="8"/>
      <c r="L55" s="8"/>
      <c r="M55" s="62" cm="1">
        <f t="array" ref="M55">INDEX(tblPrices[cv_2018], MATCH(tblTencentUnits[[#This Row],[Products]],tblPrices[Products],0), 0)* tblTencentUnits[[#This Row],[cv_2018]]/10^6</f>
        <v>0.14000000000000001</v>
      </c>
      <c r="N55" s="62" cm="1">
        <f t="array" ref="N55">INDEX(tblPrices[cv_2019], MATCH(tblTencentUnits[[#This Row],[Products]],tblPrices[Products],0), 0)* tblTencentUnits[[#This Row],[cv_2019]]/10^6</f>
        <v>1.2</v>
      </c>
      <c r="O55" s="62" cm="1">
        <f t="array" ref="O55">INDEX(tblPrices[cv_2020], MATCH(tblTencentUnits[[#This Row],[Products]],tblPrices[Products],0), 0)* tblTencentUnits[[#This Row],[cv_2020]]/10^6</f>
        <v>0</v>
      </c>
      <c r="P55" s="62" cm="1">
        <f t="array" ref="P55">INDEX(tblPrices[cv_2021], MATCH(tblTencentUnits[[#This Row],[Products]],tblPrices[Products],0), 0)* tblTencentUnits[[#This Row],[cv_2021]]/10^6</f>
        <v>0</v>
      </c>
      <c r="Q55" s="62" cm="1">
        <f t="array" ref="Q55">INDEX(tblPrices[cv_2022], MATCH(tblTencentUnits[[#This Row],[Products]],tblPrices[Products],0), 0)* tblTencentUnits[[#This Row],[cv_2022]]/10^6</f>
        <v>0</v>
      </c>
      <c r="R55" s="62" cm="1">
        <f t="array" ref="R55">INDEX(tblPrices[cv_2023], MATCH(tblTencentUnits[[#This Row],[Products]],tblPrices[Products],0), 0)* tblTencentUnits[[#This Row],[cv_2023]]/10^6</f>
        <v>0</v>
      </c>
      <c r="S55" s="62" cm="1">
        <f t="array" ref="S55">INDEX(tblPrices[cv_2024], MATCH(tblTencentUnits[[#This Row],[Products]],tblPrices[Products],0), 0)* tblTencentUnits[[#This Row],[cv_2024]]/10^6</f>
        <v>0</v>
      </c>
      <c r="T55" s="62" cm="1">
        <f t="array" ref="T55">INDEX(tblPrices[cv_2025], MATCH(tblTencentUnits[[#This Row],[Products]],tblPrices[Products],0), 0)* tblTencentUnits[[#This Row],[cv_2025]]/10^6</f>
        <v>0</v>
      </c>
      <c r="U55" s="62" cm="1">
        <f t="array" ref="U55">INDEX(tblPrices[cv_2026], MATCH(tblTencentUnits[[#This Row],[Products]],tblPrices[Products],0), 0)* tblTencentUnits[[#This Row],[cv_2026]]/10^6</f>
        <v>0</v>
      </c>
      <c r="V55" s="62" cm="1">
        <f t="array" ref="V55">INDEX(tblPrices[cv_2027], MATCH(tblTencentUnits[[#This Row],[Products]],tblPrices[Products],0), 0)* tblTencentUnits[[#This Row],[cv_2027]]/10^6</f>
        <v>0</v>
      </c>
      <c r="W55" s="62" cm="1">
        <f t="array" ref="W55">INDEX(tblPrices[cv_2028], MATCH(tblTencentUnits[[#This Row],[Products]],tblPrices[Products],0), 0)* tblTencentUnits[[#This Row],[cv_2028]]/10^6</f>
        <v>0</v>
      </c>
      <c r="X55" s="1">
        <f>VLOOKUP(A55,Products!$A$29:$F$110,6,FALSE)</f>
        <v>200</v>
      </c>
    </row>
    <row r="56" spans="1:24" s="1" customFormat="1" ht="13.15">
      <c r="A56" s="9" t="s">
        <v>41</v>
      </c>
      <c r="B56" s="8">
        <v>0</v>
      </c>
      <c r="C56" s="8">
        <v>0</v>
      </c>
      <c r="D56" s="8"/>
      <c r="E56" s="8"/>
      <c r="F56" s="8"/>
      <c r="G56" s="8"/>
      <c r="H56" s="8"/>
      <c r="I56" s="8"/>
      <c r="J56" s="8"/>
      <c r="K56" s="8"/>
      <c r="L56" s="8"/>
      <c r="M56" s="62" cm="1">
        <f t="array" ref="M56">INDEX(tblPrices[cv_2018], MATCH(tblTencentUnits[[#This Row],[Products]],tblPrices[Products],0), 0)* tblTencentUnits[[#This Row],[cv_2018]]/10^6</f>
        <v>0</v>
      </c>
      <c r="N56" s="62" cm="1">
        <f t="array" ref="N56">INDEX(tblPrices[cv_2019], MATCH(tblTencentUnits[[#This Row],[Products]],tblPrices[Products],0), 0)* tblTencentUnits[[#This Row],[cv_2019]]/10^6</f>
        <v>0</v>
      </c>
      <c r="O56" s="62" cm="1">
        <f t="array" ref="O56">INDEX(tblPrices[cv_2020], MATCH(tblTencentUnits[[#This Row],[Products]],tblPrices[Products],0), 0)* tblTencentUnits[[#This Row],[cv_2020]]/10^6</f>
        <v>0</v>
      </c>
      <c r="P56" s="62" cm="1">
        <f t="array" ref="P56">INDEX(tblPrices[cv_2021], MATCH(tblTencentUnits[[#This Row],[Products]],tblPrices[Products],0), 0)* tblTencentUnits[[#This Row],[cv_2021]]/10^6</f>
        <v>0</v>
      </c>
      <c r="Q56" s="62" cm="1">
        <f t="array" ref="Q56">INDEX(tblPrices[cv_2022], MATCH(tblTencentUnits[[#This Row],[Products]],tblPrices[Products],0), 0)* tblTencentUnits[[#This Row],[cv_2022]]/10^6</f>
        <v>0</v>
      </c>
      <c r="R56" s="62" cm="1">
        <f t="array" ref="R56">INDEX(tblPrices[cv_2023], MATCH(tblTencentUnits[[#This Row],[Products]],tblPrices[Products],0), 0)* tblTencentUnits[[#This Row],[cv_2023]]/10^6</f>
        <v>0</v>
      </c>
      <c r="S56" s="62" cm="1">
        <f t="array" ref="S56">INDEX(tblPrices[cv_2024], MATCH(tblTencentUnits[[#This Row],[Products]],tblPrices[Products],0), 0)* tblTencentUnits[[#This Row],[cv_2024]]/10^6</f>
        <v>0</v>
      </c>
      <c r="T56" s="62" cm="1">
        <f t="array" ref="T56">INDEX(tblPrices[cv_2025], MATCH(tblTencentUnits[[#This Row],[Products]],tblPrices[Products],0), 0)* tblTencentUnits[[#This Row],[cv_2025]]/10^6</f>
        <v>0</v>
      </c>
      <c r="U56" s="62" cm="1">
        <f t="array" ref="U56">INDEX(tblPrices[cv_2026], MATCH(tblTencentUnits[[#This Row],[Products]],tblPrices[Products],0), 0)* tblTencentUnits[[#This Row],[cv_2026]]/10^6</f>
        <v>0</v>
      </c>
      <c r="V56" s="62" cm="1">
        <f t="array" ref="V56">INDEX(tblPrices[cv_2027], MATCH(tblTencentUnits[[#This Row],[Products]],tblPrices[Products],0), 0)* tblTencentUnits[[#This Row],[cv_2027]]/10^6</f>
        <v>0</v>
      </c>
      <c r="W56" s="62" cm="1">
        <f t="array" ref="W56">INDEX(tblPrices[cv_2028], MATCH(tblTencentUnits[[#This Row],[Products]],tblPrices[Products],0), 0)* tblTencentUnits[[#This Row],[cv_2028]]/10^6</f>
        <v>0</v>
      </c>
      <c r="X56" s="1">
        <f>VLOOKUP(A56,Products!$A$29:$F$110,6,FALSE)</f>
        <v>200</v>
      </c>
    </row>
    <row r="57" spans="1:24" s="1" customFormat="1" ht="13.15">
      <c r="A57" s="9" t="s">
        <v>9</v>
      </c>
      <c r="B57" s="8">
        <v>0</v>
      </c>
      <c r="C57" s="8">
        <v>0</v>
      </c>
      <c r="D57" s="8"/>
      <c r="E57" s="8"/>
      <c r="F57" s="8"/>
      <c r="G57" s="8"/>
      <c r="H57" s="8"/>
      <c r="I57" s="8"/>
      <c r="J57" s="8"/>
      <c r="K57" s="8"/>
      <c r="L57" s="8"/>
      <c r="M57" s="62" cm="1">
        <f t="array" ref="M57">INDEX(tblPrices[cv_2018], MATCH(tblTencentUnits[[#This Row],[Products]],tblPrices[Products],0), 0)* tblTencentUnits[[#This Row],[cv_2018]]/10^6</f>
        <v>0</v>
      </c>
      <c r="N57" s="62" cm="1">
        <f t="array" ref="N57">INDEX(tblPrices[cv_2019], MATCH(tblTencentUnits[[#This Row],[Products]],tblPrices[Products],0), 0)* tblTencentUnits[[#This Row],[cv_2019]]/10^6</f>
        <v>0</v>
      </c>
      <c r="O57" s="62" cm="1">
        <f t="array" ref="O57">INDEX(tblPrices[cv_2020], MATCH(tblTencentUnits[[#This Row],[Products]],tblPrices[Products],0), 0)* tblTencentUnits[[#This Row],[cv_2020]]/10^6</f>
        <v>0</v>
      </c>
      <c r="P57" s="62" cm="1">
        <f t="array" ref="P57">INDEX(tblPrices[cv_2021], MATCH(tblTencentUnits[[#This Row],[Products]],tblPrices[Products],0), 0)* tblTencentUnits[[#This Row],[cv_2021]]/10^6</f>
        <v>0</v>
      </c>
      <c r="Q57" s="62" cm="1">
        <f t="array" ref="Q57">INDEX(tblPrices[cv_2022], MATCH(tblTencentUnits[[#This Row],[Products]],tblPrices[Products],0), 0)* tblTencentUnits[[#This Row],[cv_2022]]/10^6</f>
        <v>0</v>
      </c>
      <c r="R57" s="62" cm="1">
        <f t="array" ref="R57">INDEX(tblPrices[cv_2023], MATCH(tblTencentUnits[[#This Row],[Products]],tblPrices[Products],0), 0)* tblTencentUnits[[#This Row],[cv_2023]]/10^6</f>
        <v>0</v>
      </c>
      <c r="S57" s="62" cm="1">
        <f t="array" ref="S57">INDEX(tblPrices[cv_2024], MATCH(tblTencentUnits[[#This Row],[Products]],tblPrices[Products],0), 0)* tblTencentUnits[[#This Row],[cv_2024]]/10^6</f>
        <v>0</v>
      </c>
      <c r="T57" s="62" cm="1">
        <f t="array" ref="T57">INDEX(tblPrices[cv_2025], MATCH(tblTencentUnits[[#This Row],[Products]],tblPrices[Products],0), 0)* tblTencentUnits[[#This Row],[cv_2025]]/10^6</f>
        <v>0</v>
      </c>
      <c r="U57" s="62" cm="1">
        <f t="array" ref="U57">INDEX(tblPrices[cv_2026], MATCH(tblTencentUnits[[#This Row],[Products]],tblPrices[Products],0), 0)* tblTencentUnits[[#This Row],[cv_2026]]/10^6</f>
        <v>0</v>
      </c>
      <c r="V57" s="62" cm="1">
        <f t="array" ref="V57">INDEX(tblPrices[cv_2027], MATCH(tblTencentUnits[[#This Row],[Products]],tblPrices[Products],0), 0)* tblTencentUnits[[#This Row],[cv_2027]]/10^6</f>
        <v>0</v>
      </c>
      <c r="W57" s="62" cm="1">
        <f t="array" ref="W57">INDEX(tblPrices[cv_2028], MATCH(tblTencentUnits[[#This Row],[Products]],tblPrices[Products],0), 0)* tblTencentUnits[[#This Row],[cv_2028]]/10^6</f>
        <v>0</v>
      </c>
      <c r="X57" s="1">
        <f>VLOOKUP(A57,Products!$A$29:$F$110,6,FALSE)</f>
        <v>400</v>
      </c>
    </row>
    <row r="58" spans="1:24" s="1" customFormat="1" ht="13.15">
      <c r="A58" s="9" t="s">
        <v>339</v>
      </c>
      <c r="B58" s="8">
        <v>0</v>
      </c>
      <c r="C58" s="8">
        <v>0</v>
      </c>
      <c r="D58" s="8"/>
      <c r="E58" s="8"/>
      <c r="F58" s="8"/>
      <c r="G58" s="8"/>
      <c r="H58" s="8"/>
      <c r="I58" s="8"/>
      <c r="J58" s="8"/>
      <c r="K58" s="8"/>
      <c r="L58" s="8"/>
      <c r="M58" s="62" cm="1">
        <f t="array" ref="M58">INDEX(tblPrices[cv_2018], MATCH(tblTencentUnits[[#This Row],[Products]],tblPrices[Products],0), 0)* tblTencentUnits[[#This Row],[cv_2018]]/10^6</f>
        <v>0</v>
      </c>
      <c r="N58" s="62" cm="1">
        <f t="array" ref="N58">INDEX(tblPrices[cv_2019], MATCH(tblTencentUnits[[#This Row],[Products]],tblPrices[Products],0), 0)* tblTencentUnits[[#This Row],[cv_2019]]/10^6</f>
        <v>0</v>
      </c>
      <c r="O58" s="62" cm="1">
        <f t="array" ref="O58">INDEX(tblPrices[cv_2020], MATCH(tblTencentUnits[[#This Row],[Products]],tblPrices[Products],0), 0)* tblTencentUnits[[#This Row],[cv_2020]]/10^6</f>
        <v>0</v>
      </c>
      <c r="P58" s="62" cm="1">
        <f t="array" ref="P58">INDEX(tblPrices[cv_2021], MATCH(tblTencentUnits[[#This Row],[Products]],tblPrices[Products],0), 0)* tblTencentUnits[[#This Row],[cv_2021]]/10^6</f>
        <v>0</v>
      </c>
      <c r="Q58" s="62" cm="1">
        <f t="array" ref="Q58">INDEX(tblPrices[cv_2022], MATCH(tblTencentUnits[[#This Row],[Products]],tblPrices[Products],0), 0)* tblTencentUnits[[#This Row],[cv_2022]]/10^6</f>
        <v>0</v>
      </c>
      <c r="R58" s="62" cm="1">
        <f t="array" ref="R58">INDEX(tblPrices[cv_2023], MATCH(tblTencentUnits[[#This Row],[Products]],tblPrices[Products],0), 0)* tblTencentUnits[[#This Row],[cv_2023]]/10^6</f>
        <v>0</v>
      </c>
      <c r="S58" s="62" cm="1">
        <f t="array" ref="S58">INDEX(tblPrices[cv_2024], MATCH(tblTencentUnits[[#This Row],[Products]],tblPrices[Products],0), 0)* tblTencentUnits[[#This Row],[cv_2024]]/10^6</f>
        <v>0</v>
      </c>
      <c r="T58" s="62" cm="1">
        <f t="array" ref="T58">INDEX(tblPrices[cv_2025], MATCH(tblTencentUnits[[#This Row],[Products]],tblPrices[Products],0), 0)* tblTencentUnits[[#This Row],[cv_2025]]/10^6</f>
        <v>0</v>
      </c>
      <c r="U58" s="62" cm="1">
        <f t="array" ref="U58">INDEX(tblPrices[cv_2026], MATCH(tblTencentUnits[[#This Row],[Products]],tblPrices[Products],0), 0)* tblTencentUnits[[#This Row],[cv_2026]]/10^6</f>
        <v>0</v>
      </c>
      <c r="V58" s="62" cm="1">
        <f t="array" ref="V58">INDEX(tblPrices[cv_2027], MATCH(tblTencentUnits[[#This Row],[Products]],tblPrices[Products],0), 0)* tblTencentUnits[[#This Row],[cv_2027]]/10^6</f>
        <v>0</v>
      </c>
      <c r="W58" s="62" cm="1">
        <f t="array" ref="W58">INDEX(tblPrices[cv_2028], MATCH(tblTencentUnits[[#This Row],[Products]],tblPrices[Products],0), 0)* tblTencentUnits[[#This Row],[cv_2028]]/10^6</f>
        <v>0</v>
      </c>
      <c r="X58" s="1">
        <f>VLOOKUP(A58,Products!$A$29:$F$110,6,FALSE)</f>
        <v>400</v>
      </c>
    </row>
    <row r="59" spans="1:24" s="1" customFormat="1" ht="13.15">
      <c r="A59" s="9" t="s">
        <v>11</v>
      </c>
      <c r="B59" s="8">
        <v>0</v>
      </c>
      <c r="C59" s="8">
        <v>0</v>
      </c>
      <c r="D59" s="8"/>
      <c r="E59" s="8"/>
      <c r="F59" s="8"/>
      <c r="G59" s="8"/>
      <c r="H59" s="8"/>
      <c r="I59" s="8"/>
      <c r="J59" s="8"/>
      <c r="K59" s="8"/>
      <c r="L59" s="8"/>
      <c r="M59" s="62" cm="1">
        <f t="array" ref="M59">INDEX(tblPrices[cv_2018], MATCH(tblTencentUnits[[#This Row],[Products]],tblPrices[Products],0), 0)* tblTencentUnits[[#This Row],[cv_2018]]/10^6</f>
        <v>0</v>
      </c>
      <c r="N59" s="62" cm="1">
        <f t="array" ref="N59">INDEX(tblPrices[cv_2019], MATCH(tblTencentUnits[[#This Row],[Products]],tblPrices[Products],0), 0)* tblTencentUnits[[#This Row],[cv_2019]]/10^6</f>
        <v>0</v>
      </c>
      <c r="O59" s="62" cm="1">
        <f t="array" ref="O59">INDEX(tblPrices[cv_2020], MATCH(tblTencentUnits[[#This Row],[Products]],tblPrices[Products],0), 0)* tblTencentUnits[[#This Row],[cv_2020]]/10^6</f>
        <v>0</v>
      </c>
      <c r="P59" s="62" cm="1">
        <f t="array" ref="P59">INDEX(tblPrices[cv_2021], MATCH(tblTencentUnits[[#This Row],[Products]],tblPrices[Products],0), 0)* tblTencentUnits[[#This Row],[cv_2021]]/10^6</f>
        <v>0</v>
      </c>
      <c r="Q59" s="62" cm="1">
        <f t="array" ref="Q59">INDEX(tblPrices[cv_2022], MATCH(tblTencentUnits[[#This Row],[Products]],tblPrices[Products],0), 0)* tblTencentUnits[[#This Row],[cv_2022]]/10^6</f>
        <v>0</v>
      </c>
      <c r="R59" s="62" cm="1">
        <f t="array" ref="R59">INDEX(tblPrices[cv_2023], MATCH(tblTencentUnits[[#This Row],[Products]],tblPrices[Products],0), 0)* tblTencentUnits[[#This Row],[cv_2023]]/10^6</f>
        <v>0</v>
      </c>
      <c r="S59" s="62" cm="1">
        <f t="array" ref="S59">INDEX(tblPrices[cv_2024], MATCH(tblTencentUnits[[#This Row],[Products]],tblPrices[Products],0), 0)* tblTencentUnits[[#This Row],[cv_2024]]/10^6</f>
        <v>0</v>
      </c>
      <c r="T59" s="62" cm="1">
        <f t="array" ref="T59">INDEX(tblPrices[cv_2025], MATCH(tblTencentUnits[[#This Row],[Products]],tblPrices[Products],0), 0)* tblTencentUnits[[#This Row],[cv_2025]]/10^6</f>
        <v>0</v>
      </c>
      <c r="U59" s="62" cm="1">
        <f t="array" ref="U59">INDEX(tblPrices[cv_2026], MATCH(tblTencentUnits[[#This Row],[Products]],tblPrices[Products],0), 0)* tblTencentUnits[[#This Row],[cv_2026]]/10^6</f>
        <v>0</v>
      </c>
      <c r="V59" s="62" cm="1">
        <f t="array" ref="V59">INDEX(tblPrices[cv_2027], MATCH(tblTencentUnits[[#This Row],[Products]],tblPrices[Products],0), 0)* tblTencentUnits[[#This Row],[cv_2027]]/10^6</f>
        <v>0</v>
      </c>
      <c r="W59" s="62" cm="1">
        <f t="array" ref="W59">INDEX(tblPrices[cv_2028], MATCH(tblTencentUnits[[#This Row],[Products]],tblPrices[Products],0), 0)* tblTencentUnits[[#This Row],[cv_2028]]/10^6</f>
        <v>0</v>
      </c>
      <c r="X59" s="1">
        <f>VLOOKUP(A59,Products!$A$29:$F$110,6,FALSE)</f>
        <v>400</v>
      </c>
    </row>
    <row r="60" spans="1:24" s="1" customFormat="1" ht="13.15">
      <c r="A60" s="9" t="s">
        <v>42</v>
      </c>
      <c r="B60" s="8">
        <v>0</v>
      </c>
      <c r="C60" s="8">
        <v>0</v>
      </c>
      <c r="D60" s="8"/>
      <c r="E60" s="8"/>
      <c r="F60" s="8"/>
      <c r="G60" s="8"/>
      <c r="H60" s="8"/>
      <c r="I60" s="8"/>
      <c r="J60" s="8"/>
      <c r="K60" s="8"/>
      <c r="L60" s="8"/>
      <c r="M60" s="62" cm="1">
        <f t="array" ref="M60">INDEX(tblPrices[cv_2018], MATCH(tblTencentUnits[[#This Row],[Products]],tblPrices[Products],0), 0)* tblTencentUnits[[#This Row],[cv_2018]]/10^6</f>
        <v>0</v>
      </c>
      <c r="N60" s="62" cm="1">
        <f t="array" ref="N60">INDEX(tblPrices[cv_2019], MATCH(tblTencentUnits[[#This Row],[Products]],tblPrices[Products],0), 0)* tblTencentUnits[[#This Row],[cv_2019]]/10^6</f>
        <v>0</v>
      </c>
      <c r="O60" s="62" cm="1">
        <f t="array" ref="O60">INDEX(tblPrices[cv_2020], MATCH(tblTencentUnits[[#This Row],[Products]],tblPrices[Products],0), 0)* tblTencentUnits[[#This Row],[cv_2020]]/10^6</f>
        <v>0</v>
      </c>
      <c r="P60" s="62" cm="1">
        <f t="array" ref="P60">INDEX(tblPrices[cv_2021], MATCH(tblTencentUnits[[#This Row],[Products]],tblPrices[Products],0), 0)* tblTencentUnits[[#This Row],[cv_2021]]/10^6</f>
        <v>0</v>
      </c>
      <c r="Q60" s="62" cm="1">
        <f t="array" ref="Q60">INDEX(tblPrices[cv_2022], MATCH(tblTencentUnits[[#This Row],[Products]],tblPrices[Products],0), 0)* tblTencentUnits[[#This Row],[cv_2022]]/10^6</f>
        <v>0</v>
      </c>
      <c r="R60" s="62" cm="1">
        <f t="array" ref="R60">INDEX(tblPrices[cv_2023], MATCH(tblTencentUnits[[#This Row],[Products]],tblPrices[Products],0), 0)* tblTencentUnits[[#This Row],[cv_2023]]/10^6</f>
        <v>0</v>
      </c>
      <c r="S60" s="62" cm="1">
        <f t="array" ref="S60">INDEX(tblPrices[cv_2024], MATCH(tblTencentUnits[[#This Row],[Products]],tblPrices[Products],0), 0)* tblTencentUnits[[#This Row],[cv_2024]]/10^6</f>
        <v>0</v>
      </c>
      <c r="T60" s="62" cm="1">
        <f t="array" ref="T60">INDEX(tblPrices[cv_2025], MATCH(tblTencentUnits[[#This Row],[Products]],tblPrices[Products],0), 0)* tblTencentUnits[[#This Row],[cv_2025]]/10^6</f>
        <v>0</v>
      </c>
      <c r="U60" s="62" cm="1">
        <f t="array" ref="U60">INDEX(tblPrices[cv_2026], MATCH(tblTencentUnits[[#This Row],[Products]],tblPrices[Products],0), 0)* tblTencentUnits[[#This Row],[cv_2026]]/10^6</f>
        <v>0</v>
      </c>
      <c r="V60" s="62" cm="1">
        <f t="array" ref="V60">INDEX(tblPrices[cv_2027], MATCH(tblTencentUnits[[#This Row],[Products]],tblPrices[Products],0), 0)* tblTencentUnits[[#This Row],[cv_2027]]/10^6</f>
        <v>0</v>
      </c>
      <c r="W60" s="62" cm="1">
        <f t="array" ref="W60">INDEX(tblPrices[cv_2028], MATCH(tblTencentUnits[[#This Row],[Products]],tblPrices[Products],0), 0)* tblTencentUnits[[#This Row],[cv_2028]]/10^6</f>
        <v>0</v>
      </c>
      <c r="X60" s="1">
        <f>VLOOKUP(A60,Products!$A$29:$F$110,6,FALSE)</f>
        <v>400</v>
      </c>
    </row>
    <row r="61" spans="1:24" s="1" customFormat="1" ht="13.15">
      <c r="A61" s="9" t="s">
        <v>48</v>
      </c>
      <c r="B61" s="8">
        <v>0</v>
      </c>
      <c r="C61" s="8">
        <v>0</v>
      </c>
      <c r="D61" s="8"/>
      <c r="E61" s="8"/>
      <c r="F61" s="8"/>
      <c r="G61" s="8"/>
      <c r="H61" s="8"/>
      <c r="I61" s="8"/>
      <c r="J61" s="8"/>
      <c r="K61" s="8"/>
      <c r="L61" s="8"/>
      <c r="M61" s="62" cm="1">
        <f t="array" ref="M61">INDEX(tblPrices[cv_2018], MATCH(tblTencentUnits[[#This Row],[Products]],tblPrices[Products],0), 0)* tblTencentUnits[[#This Row],[cv_2018]]/10^6</f>
        <v>0</v>
      </c>
      <c r="N61" s="62" cm="1">
        <f t="array" ref="N61">INDEX(tblPrices[cv_2019], MATCH(tblTencentUnits[[#This Row],[Products]],tblPrices[Products],0), 0)* tblTencentUnits[[#This Row],[cv_2019]]/10^6</f>
        <v>0</v>
      </c>
      <c r="O61" s="62" cm="1">
        <f t="array" ref="O61">INDEX(tblPrices[cv_2020], MATCH(tblTencentUnits[[#This Row],[Products]],tblPrices[Products],0), 0)* tblTencentUnits[[#This Row],[cv_2020]]/10^6</f>
        <v>0</v>
      </c>
      <c r="P61" s="62" cm="1">
        <f t="array" ref="P61">INDEX(tblPrices[cv_2021], MATCH(tblTencentUnits[[#This Row],[Products]],tblPrices[Products],0), 0)* tblTencentUnits[[#This Row],[cv_2021]]/10^6</f>
        <v>0</v>
      </c>
      <c r="Q61" s="62" cm="1">
        <f t="array" ref="Q61">INDEX(tblPrices[cv_2022], MATCH(tblTencentUnits[[#This Row],[Products]],tblPrices[Products],0), 0)* tblTencentUnits[[#This Row],[cv_2022]]/10^6</f>
        <v>0</v>
      </c>
      <c r="R61" s="62" cm="1">
        <f t="array" ref="R61">INDEX(tblPrices[cv_2023], MATCH(tblTencentUnits[[#This Row],[Products]],tblPrices[Products],0), 0)* tblTencentUnits[[#This Row],[cv_2023]]/10^6</f>
        <v>0</v>
      </c>
      <c r="S61" s="62" cm="1">
        <f t="array" ref="S61">INDEX(tblPrices[cv_2024], MATCH(tblTencentUnits[[#This Row],[Products]],tblPrices[Products],0), 0)* tblTencentUnits[[#This Row],[cv_2024]]/10^6</f>
        <v>0</v>
      </c>
      <c r="T61" s="62" cm="1">
        <f t="array" ref="T61">INDEX(tblPrices[cv_2025], MATCH(tblTencentUnits[[#This Row],[Products]],tblPrices[Products],0), 0)* tblTencentUnits[[#This Row],[cv_2025]]/10^6</f>
        <v>0</v>
      </c>
      <c r="U61" s="62" cm="1">
        <f t="array" ref="U61">INDEX(tblPrices[cv_2026], MATCH(tblTencentUnits[[#This Row],[Products]],tblPrices[Products],0), 0)* tblTencentUnits[[#This Row],[cv_2026]]/10^6</f>
        <v>0</v>
      </c>
      <c r="V61" s="62" cm="1">
        <f t="array" ref="V61">INDEX(tblPrices[cv_2027], MATCH(tblTencentUnits[[#This Row],[Products]],tblPrices[Products],0), 0)* tblTencentUnits[[#This Row],[cv_2027]]/10^6</f>
        <v>0</v>
      </c>
      <c r="W61" s="62" cm="1">
        <f t="array" ref="W61">INDEX(tblPrices[cv_2028], MATCH(tblTencentUnits[[#This Row],[Products]],tblPrices[Products],0), 0)* tblTencentUnits[[#This Row],[cv_2028]]/10^6</f>
        <v>0</v>
      </c>
      <c r="X61" s="1">
        <f>VLOOKUP(A61,Products!$A$29:$F$110,6,FALSE)</f>
        <v>800</v>
      </c>
    </row>
    <row r="62" spans="1:24" s="1" customFormat="1" ht="13.15">
      <c r="A62" s="9" t="s">
        <v>13</v>
      </c>
      <c r="B62" s="8">
        <v>0</v>
      </c>
      <c r="C62" s="8">
        <v>0</v>
      </c>
      <c r="D62" s="8"/>
      <c r="E62" s="8"/>
      <c r="F62" s="8"/>
      <c r="G62" s="8"/>
      <c r="H62" s="8"/>
      <c r="I62" s="8"/>
      <c r="J62" s="8"/>
      <c r="K62" s="8"/>
      <c r="L62" s="8"/>
      <c r="M62" s="62" cm="1">
        <f t="array" ref="M62">INDEX(tblPrices[cv_2018], MATCH(tblTencentUnits[[#This Row],[Products]],tblPrices[Products],0), 0)* tblTencentUnits[[#This Row],[cv_2018]]/10^6</f>
        <v>0</v>
      </c>
      <c r="N62" s="62" cm="1">
        <f t="array" ref="N62">INDEX(tblPrices[cv_2019], MATCH(tblTencentUnits[[#This Row],[Products]],tblPrices[Products],0), 0)* tblTencentUnits[[#This Row],[cv_2019]]/10^6</f>
        <v>0</v>
      </c>
      <c r="O62" s="62" cm="1">
        <f t="array" ref="O62">INDEX(tblPrices[cv_2020], MATCH(tblTencentUnits[[#This Row],[Products]],tblPrices[Products],0), 0)* tblTencentUnits[[#This Row],[cv_2020]]/10^6</f>
        <v>0</v>
      </c>
      <c r="P62" s="62" cm="1">
        <f t="array" ref="P62">INDEX(tblPrices[cv_2021], MATCH(tblTencentUnits[[#This Row],[Products]],tblPrices[Products],0), 0)* tblTencentUnits[[#This Row],[cv_2021]]/10^6</f>
        <v>0</v>
      </c>
      <c r="Q62" s="62" cm="1">
        <f t="array" ref="Q62">INDEX(tblPrices[cv_2022], MATCH(tblTencentUnits[[#This Row],[Products]],tblPrices[Products],0), 0)* tblTencentUnits[[#This Row],[cv_2022]]/10^6</f>
        <v>0</v>
      </c>
      <c r="R62" s="62" cm="1">
        <f t="array" ref="R62">INDEX(tblPrices[cv_2023], MATCH(tblTencentUnits[[#This Row],[Products]],tblPrices[Products],0), 0)* tblTencentUnits[[#This Row],[cv_2023]]/10^6</f>
        <v>0</v>
      </c>
      <c r="S62" s="62" cm="1">
        <f t="array" ref="S62">INDEX(tblPrices[cv_2024], MATCH(tblTencentUnits[[#This Row],[Products]],tblPrices[Products],0), 0)* tblTencentUnits[[#This Row],[cv_2024]]/10^6</f>
        <v>0</v>
      </c>
      <c r="T62" s="62" cm="1">
        <f t="array" ref="T62">INDEX(tblPrices[cv_2025], MATCH(tblTencentUnits[[#This Row],[Products]],tblPrices[Products],0), 0)* tblTencentUnits[[#This Row],[cv_2025]]/10^6</f>
        <v>0</v>
      </c>
      <c r="U62" s="62" cm="1">
        <f t="array" ref="U62">INDEX(tblPrices[cv_2026], MATCH(tblTencentUnits[[#This Row],[Products]],tblPrices[Products],0), 0)* tblTencentUnits[[#This Row],[cv_2026]]/10^6</f>
        <v>0</v>
      </c>
      <c r="V62" s="62" cm="1">
        <f t="array" ref="V62">INDEX(tblPrices[cv_2027], MATCH(tblTencentUnits[[#This Row],[Products]],tblPrices[Products],0), 0)* tblTencentUnits[[#This Row],[cv_2027]]/10^6</f>
        <v>0</v>
      </c>
      <c r="W62" s="62" cm="1">
        <f t="array" ref="W62">INDEX(tblPrices[cv_2028], MATCH(tblTencentUnits[[#This Row],[Products]],tblPrices[Products],0), 0)* tblTencentUnits[[#This Row],[cv_2028]]/10^6</f>
        <v>0</v>
      </c>
      <c r="X62" s="1">
        <f>VLOOKUP(A62,Products!$A$29:$F$110,6,FALSE)</f>
        <v>800</v>
      </c>
    </row>
    <row r="63" spans="1:24" s="1" customFormat="1" ht="13.15">
      <c r="A63" s="9" t="s">
        <v>14</v>
      </c>
      <c r="B63" s="8">
        <v>0</v>
      </c>
      <c r="C63" s="8">
        <v>0</v>
      </c>
      <c r="D63" s="8"/>
      <c r="E63" s="8"/>
      <c r="F63" s="8"/>
      <c r="G63" s="8"/>
      <c r="H63" s="8"/>
      <c r="I63" s="8"/>
      <c r="J63" s="8"/>
      <c r="K63" s="8"/>
      <c r="L63" s="8"/>
      <c r="M63" s="62" cm="1">
        <f t="array" ref="M63">INDEX(tblPrices[cv_2018], MATCH(tblTencentUnits[[#This Row],[Products]],tblPrices[Products],0), 0)* tblTencentUnits[[#This Row],[cv_2018]]/10^6</f>
        <v>0</v>
      </c>
      <c r="N63" s="62" cm="1">
        <f t="array" ref="N63">INDEX(tblPrices[cv_2019], MATCH(tblTencentUnits[[#This Row],[Products]],tblPrices[Products],0), 0)* tblTencentUnits[[#This Row],[cv_2019]]/10^6</f>
        <v>0</v>
      </c>
      <c r="O63" s="62" cm="1">
        <f t="array" ref="O63">INDEX(tblPrices[cv_2020], MATCH(tblTencentUnits[[#This Row],[Products]],tblPrices[Products],0), 0)* tblTencentUnits[[#This Row],[cv_2020]]/10^6</f>
        <v>0</v>
      </c>
      <c r="P63" s="62" cm="1">
        <f t="array" ref="P63">INDEX(tblPrices[cv_2021], MATCH(tblTencentUnits[[#This Row],[Products]],tblPrices[Products],0), 0)* tblTencentUnits[[#This Row],[cv_2021]]/10^6</f>
        <v>0</v>
      </c>
      <c r="Q63" s="62" cm="1">
        <f t="array" ref="Q63">INDEX(tblPrices[cv_2022], MATCH(tblTencentUnits[[#This Row],[Products]],tblPrices[Products],0), 0)* tblTencentUnits[[#This Row],[cv_2022]]/10^6</f>
        <v>0</v>
      </c>
      <c r="R63" s="62" cm="1">
        <f t="array" ref="R63">INDEX(tblPrices[cv_2023], MATCH(tblTencentUnits[[#This Row],[Products]],tblPrices[Products],0), 0)* tblTencentUnits[[#This Row],[cv_2023]]/10^6</f>
        <v>0</v>
      </c>
      <c r="S63" s="62" cm="1">
        <f t="array" ref="S63">INDEX(tblPrices[cv_2024], MATCH(tblTencentUnits[[#This Row],[Products]],tblPrices[Products],0), 0)* tblTencentUnits[[#This Row],[cv_2024]]/10^6</f>
        <v>0</v>
      </c>
      <c r="T63" s="62" cm="1">
        <f t="array" ref="T63">INDEX(tblPrices[cv_2025], MATCH(tblTencentUnits[[#This Row],[Products]],tblPrices[Products],0), 0)* tblTencentUnits[[#This Row],[cv_2025]]/10^6</f>
        <v>0</v>
      </c>
      <c r="U63" s="62" cm="1">
        <f t="array" ref="U63">INDEX(tblPrices[cv_2026], MATCH(tblTencentUnits[[#This Row],[Products]],tblPrices[Products],0), 0)* tblTencentUnits[[#This Row],[cv_2026]]/10^6</f>
        <v>0</v>
      </c>
      <c r="V63" s="62" cm="1">
        <f t="array" ref="V63">INDEX(tblPrices[cv_2027], MATCH(tblTencentUnits[[#This Row],[Products]],tblPrices[Products],0), 0)* tblTencentUnits[[#This Row],[cv_2027]]/10^6</f>
        <v>0</v>
      </c>
      <c r="W63" s="62" cm="1">
        <f t="array" ref="W63">INDEX(tblPrices[cv_2028], MATCH(tblTencentUnits[[#This Row],[Products]],tblPrices[Products],0), 0)* tblTencentUnits[[#This Row],[cv_2028]]/10^6</f>
        <v>0</v>
      </c>
      <c r="X63" s="1">
        <f>VLOOKUP(A63,Products!$A$29:$F$110,6,FALSE)</f>
        <v>800</v>
      </c>
    </row>
    <row r="64" spans="1:24" s="1" customFormat="1" ht="13.15">
      <c r="A64" s="9" t="s">
        <v>15</v>
      </c>
      <c r="B64" s="8">
        <v>0</v>
      </c>
      <c r="C64" s="8">
        <v>0</v>
      </c>
      <c r="D64" s="8"/>
      <c r="E64" s="8"/>
      <c r="F64" s="8"/>
      <c r="G64" s="8"/>
      <c r="H64" s="8"/>
      <c r="I64" s="8"/>
      <c r="J64" s="8"/>
      <c r="K64" s="8"/>
      <c r="L64" s="8"/>
      <c r="M64" s="62" cm="1">
        <f t="array" ref="M64">INDEX(tblPrices[cv_2018], MATCH(tblTencentUnits[[#This Row],[Products]],tblPrices[Products],0), 0)* tblTencentUnits[[#This Row],[cv_2018]]/10^6</f>
        <v>0</v>
      </c>
      <c r="N64" s="62" cm="1">
        <f t="array" ref="N64">INDEX(tblPrices[cv_2019], MATCH(tblTencentUnits[[#This Row],[Products]],tblPrices[Products],0), 0)* tblTencentUnits[[#This Row],[cv_2019]]/10^6</f>
        <v>0</v>
      </c>
      <c r="O64" s="62" cm="1">
        <f t="array" ref="O64">INDEX(tblPrices[cv_2020], MATCH(tblTencentUnits[[#This Row],[Products]],tblPrices[Products],0), 0)* tblTencentUnits[[#This Row],[cv_2020]]/10^6</f>
        <v>0</v>
      </c>
      <c r="P64" s="62" cm="1">
        <f t="array" ref="P64">INDEX(tblPrices[cv_2021], MATCH(tblTencentUnits[[#This Row],[Products]],tblPrices[Products],0), 0)* tblTencentUnits[[#This Row],[cv_2021]]/10^6</f>
        <v>0</v>
      </c>
      <c r="Q64" s="62" cm="1">
        <f t="array" ref="Q64">INDEX(tblPrices[cv_2022], MATCH(tblTencentUnits[[#This Row],[Products]],tblPrices[Products],0), 0)* tblTencentUnits[[#This Row],[cv_2022]]/10^6</f>
        <v>0</v>
      </c>
      <c r="R64" s="62" cm="1">
        <f t="array" ref="R64">INDEX(tblPrices[cv_2023], MATCH(tblTencentUnits[[#This Row],[Products]],tblPrices[Products],0), 0)* tblTencentUnits[[#This Row],[cv_2023]]/10^6</f>
        <v>0</v>
      </c>
      <c r="S64" s="62" cm="1">
        <f t="array" ref="S64">INDEX(tblPrices[cv_2024], MATCH(tblTencentUnits[[#This Row],[Products]],tblPrices[Products],0), 0)* tblTencentUnits[[#This Row],[cv_2024]]/10^6</f>
        <v>0</v>
      </c>
      <c r="T64" s="62" cm="1">
        <f t="array" ref="T64">INDEX(tblPrices[cv_2025], MATCH(tblTencentUnits[[#This Row],[Products]],tblPrices[Products],0), 0)* tblTencentUnits[[#This Row],[cv_2025]]/10^6</f>
        <v>0</v>
      </c>
      <c r="U64" s="62" cm="1">
        <f t="array" ref="U64">INDEX(tblPrices[cv_2026], MATCH(tblTencentUnits[[#This Row],[Products]],tblPrices[Products],0), 0)* tblTencentUnits[[#This Row],[cv_2026]]/10^6</f>
        <v>0</v>
      </c>
      <c r="V64" s="62" cm="1">
        <f t="array" ref="V64">INDEX(tblPrices[cv_2027], MATCH(tblTencentUnits[[#This Row],[Products]],tblPrices[Products],0), 0)* tblTencentUnits[[#This Row],[cv_2027]]/10^6</f>
        <v>0</v>
      </c>
      <c r="W64" s="62" cm="1">
        <f t="array" ref="W64">INDEX(tblPrices[cv_2028], MATCH(tblTencentUnits[[#This Row],[Products]],tblPrices[Products],0), 0)* tblTencentUnits[[#This Row],[cv_2028]]/10^6</f>
        <v>0</v>
      </c>
      <c r="X64" s="1">
        <f>VLOOKUP(A64,Products!$A$29:$F$110,6,FALSE)</f>
        <v>800</v>
      </c>
    </row>
    <row r="65" spans="1:24" s="1" customFormat="1">
      <c r="A65" s="15" t="s">
        <v>16</v>
      </c>
      <c r="B65" s="8">
        <v>0</v>
      </c>
      <c r="C65" s="8">
        <v>0</v>
      </c>
      <c r="D65" s="8"/>
      <c r="E65" s="8"/>
      <c r="F65" s="8"/>
      <c r="G65" s="8"/>
      <c r="H65" s="8"/>
      <c r="I65" s="8"/>
      <c r="J65" s="8"/>
      <c r="K65" s="8"/>
      <c r="L65" s="8"/>
      <c r="M65" s="62" cm="1">
        <f t="array" ref="M65">INDEX(tblPrices[cv_2018], MATCH(tblTencentUnits[[#This Row],[Products]],tblPrices[Products],0), 0)* tblTencentUnits[[#This Row],[cv_2018]]/10^6</f>
        <v>0</v>
      </c>
      <c r="N65" s="62" cm="1">
        <f t="array" ref="N65">INDEX(tblPrices[cv_2019], MATCH(tblTencentUnits[[#This Row],[Products]],tblPrices[Products],0), 0)* tblTencentUnits[[#This Row],[cv_2019]]/10^6</f>
        <v>0</v>
      </c>
      <c r="O65" s="62" cm="1">
        <f t="array" ref="O65">INDEX(tblPrices[cv_2020], MATCH(tblTencentUnits[[#This Row],[Products]],tblPrices[Products],0), 0)* tblTencentUnits[[#This Row],[cv_2020]]/10^6</f>
        <v>0</v>
      </c>
      <c r="P65" s="62" cm="1">
        <f t="array" ref="P65">INDEX(tblPrices[cv_2021], MATCH(tblTencentUnits[[#This Row],[Products]],tblPrices[Products],0), 0)* tblTencentUnits[[#This Row],[cv_2021]]/10^6</f>
        <v>0</v>
      </c>
      <c r="Q65" s="62" cm="1">
        <f t="array" ref="Q65">INDEX(tblPrices[cv_2022], MATCH(tblTencentUnits[[#This Row],[Products]],tblPrices[Products],0), 0)* tblTencentUnits[[#This Row],[cv_2022]]/10^6</f>
        <v>0</v>
      </c>
      <c r="R65" s="62" cm="1">
        <f t="array" ref="R65">INDEX(tblPrices[cv_2023], MATCH(tblTencentUnits[[#This Row],[Products]],tblPrices[Products],0), 0)* tblTencentUnits[[#This Row],[cv_2023]]/10^6</f>
        <v>0</v>
      </c>
      <c r="S65" s="62" cm="1">
        <f t="array" ref="S65">INDEX(tblPrices[cv_2024], MATCH(tblTencentUnits[[#This Row],[Products]],tblPrices[Products],0), 0)* tblTencentUnits[[#This Row],[cv_2024]]/10^6</f>
        <v>0</v>
      </c>
      <c r="T65" s="62" cm="1">
        <f t="array" ref="T65">INDEX(tblPrices[cv_2025], MATCH(tblTencentUnits[[#This Row],[Products]],tblPrices[Products],0), 0)* tblTencentUnits[[#This Row],[cv_2025]]/10^6</f>
        <v>0</v>
      </c>
      <c r="U65" s="62" cm="1">
        <f t="array" ref="U65">INDEX(tblPrices[cv_2026], MATCH(tblTencentUnits[[#This Row],[Products]],tblPrices[Products],0), 0)* tblTencentUnits[[#This Row],[cv_2026]]/10^6</f>
        <v>0</v>
      </c>
      <c r="V65" s="62" cm="1">
        <f t="array" ref="V65">INDEX(tblPrices[cv_2027], MATCH(tblTencentUnits[[#This Row],[Products]],tblPrices[Products],0), 0)* tblTencentUnits[[#This Row],[cv_2027]]/10^6</f>
        <v>0</v>
      </c>
      <c r="W65" s="62" cm="1">
        <f t="array" ref="W65">INDEX(tblPrices[cv_2028], MATCH(tblTencentUnits[[#This Row],[Products]],tblPrices[Products],0), 0)* tblTencentUnits[[#This Row],[cv_2028]]/10^6</f>
        <v>0</v>
      </c>
      <c r="X65" s="1">
        <f>VLOOKUP(A65,Products!$A$29:$F$110,6,FALSE)</f>
        <v>800</v>
      </c>
    </row>
    <row r="66" spans="1:24" s="1" customFormat="1">
      <c r="A66" s="15" t="s">
        <v>17</v>
      </c>
      <c r="B66" s="8">
        <v>0</v>
      </c>
      <c r="C66" s="8">
        <v>0</v>
      </c>
      <c r="D66" s="8"/>
      <c r="E66" s="8"/>
      <c r="F66" s="8"/>
      <c r="G66" s="8"/>
      <c r="H66" s="8"/>
      <c r="I66" s="8"/>
      <c r="J66" s="8"/>
      <c r="K66" s="8"/>
      <c r="L66" s="8"/>
      <c r="M66" s="62" cm="1">
        <f t="array" ref="M66">INDEX(tblPrices[cv_2018], MATCH(tblTencentUnits[[#This Row],[Products]],tblPrices[Products],0), 0)* tblTencentUnits[[#This Row],[cv_2018]]/10^6</f>
        <v>0</v>
      </c>
      <c r="N66" s="62" cm="1">
        <f t="array" ref="N66">INDEX(tblPrices[cv_2019], MATCH(tblTencentUnits[[#This Row],[Products]],tblPrices[Products],0), 0)* tblTencentUnits[[#This Row],[cv_2019]]/10^6</f>
        <v>0</v>
      </c>
      <c r="O66" s="62" cm="1">
        <f t="array" ref="O66">INDEX(tblPrices[cv_2020], MATCH(tblTencentUnits[[#This Row],[Products]],tblPrices[Products],0), 0)* tblTencentUnits[[#This Row],[cv_2020]]/10^6</f>
        <v>0</v>
      </c>
      <c r="P66" s="62" cm="1">
        <f t="array" ref="P66">INDEX(tblPrices[cv_2021], MATCH(tblTencentUnits[[#This Row],[Products]],tblPrices[Products],0), 0)* tblTencentUnits[[#This Row],[cv_2021]]/10^6</f>
        <v>0</v>
      </c>
      <c r="Q66" s="62" cm="1">
        <f t="array" ref="Q66">INDEX(tblPrices[cv_2022], MATCH(tblTencentUnits[[#This Row],[Products]],tblPrices[Products],0), 0)* tblTencentUnits[[#This Row],[cv_2022]]/10^6</f>
        <v>0</v>
      </c>
      <c r="R66" s="62" cm="1">
        <f t="array" ref="R66">INDEX(tblPrices[cv_2023], MATCH(tblTencentUnits[[#This Row],[Products]],tblPrices[Products],0), 0)* tblTencentUnits[[#This Row],[cv_2023]]/10^6</f>
        <v>0</v>
      </c>
      <c r="S66" s="62" cm="1">
        <f t="array" ref="S66">INDEX(tblPrices[cv_2024], MATCH(tblTencentUnits[[#This Row],[Products]],tblPrices[Products],0), 0)* tblTencentUnits[[#This Row],[cv_2024]]/10^6</f>
        <v>0</v>
      </c>
      <c r="T66" s="62" cm="1">
        <f t="array" ref="T66">INDEX(tblPrices[cv_2025], MATCH(tblTencentUnits[[#This Row],[Products]],tblPrices[Products],0), 0)* tblTencentUnits[[#This Row],[cv_2025]]/10^6</f>
        <v>0</v>
      </c>
      <c r="U66" s="62" cm="1">
        <f t="array" ref="U66">INDEX(tblPrices[cv_2026], MATCH(tblTencentUnits[[#This Row],[Products]],tblPrices[Products],0), 0)* tblTencentUnits[[#This Row],[cv_2026]]/10^6</f>
        <v>0</v>
      </c>
      <c r="V66" s="62" cm="1">
        <f t="array" ref="V66">INDEX(tblPrices[cv_2027], MATCH(tblTencentUnits[[#This Row],[Products]],tblPrices[Products],0), 0)* tblTencentUnits[[#This Row],[cv_2027]]/10^6</f>
        <v>0</v>
      </c>
      <c r="W66" s="62" cm="1">
        <f t="array" ref="W66">INDEX(tblPrices[cv_2028], MATCH(tblTencentUnits[[#This Row],[Products]],tblPrices[Products],0), 0)* tblTencentUnits[[#This Row],[cv_2028]]/10^6</f>
        <v>0</v>
      </c>
      <c r="X66" s="1">
        <f>VLOOKUP(A66,Products!$A$29:$F$110,6,FALSE)</f>
        <v>800</v>
      </c>
    </row>
    <row r="67" spans="1:24" s="1" customFormat="1">
      <c r="A67" s="15" t="s">
        <v>18</v>
      </c>
      <c r="B67" s="8">
        <v>0</v>
      </c>
      <c r="C67" s="8">
        <v>0</v>
      </c>
      <c r="D67" s="8"/>
      <c r="E67" s="8"/>
      <c r="F67" s="8"/>
      <c r="G67" s="8"/>
      <c r="H67" s="8"/>
      <c r="I67" s="8"/>
      <c r="J67" s="8"/>
      <c r="K67" s="8"/>
      <c r="L67" s="8"/>
      <c r="M67" s="62" cm="1">
        <f t="array" ref="M67">INDEX(tblPrices[cv_2018], MATCH(tblTencentUnits[[#This Row],[Products]],tblPrices[Products],0), 0)* tblTencentUnits[[#This Row],[cv_2018]]/10^6</f>
        <v>0</v>
      </c>
      <c r="N67" s="62" cm="1">
        <f t="array" ref="N67">INDEX(tblPrices[cv_2019], MATCH(tblTencentUnits[[#This Row],[Products]],tblPrices[Products],0), 0)* tblTencentUnits[[#This Row],[cv_2019]]/10^6</f>
        <v>0</v>
      </c>
      <c r="O67" s="62" cm="1">
        <f t="array" ref="O67">INDEX(tblPrices[cv_2020], MATCH(tblTencentUnits[[#This Row],[Products]],tblPrices[Products],0), 0)* tblTencentUnits[[#This Row],[cv_2020]]/10^6</f>
        <v>0</v>
      </c>
      <c r="P67" s="62" cm="1">
        <f t="array" ref="P67">INDEX(tblPrices[cv_2021], MATCH(tblTencentUnits[[#This Row],[Products]],tblPrices[Products],0), 0)* tblTencentUnits[[#This Row],[cv_2021]]/10^6</f>
        <v>0</v>
      </c>
      <c r="Q67" s="62" cm="1">
        <f t="array" ref="Q67">INDEX(tblPrices[cv_2022], MATCH(tblTencentUnits[[#This Row],[Products]],tblPrices[Products],0), 0)* tblTencentUnits[[#This Row],[cv_2022]]/10^6</f>
        <v>0</v>
      </c>
      <c r="R67" s="62" cm="1">
        <f t="array" ref="R67">INDEX(tblPrices[cv_2023], MATCH(tblTencentUnits[[#This Row],[Products]],tblPrices[Products],0), 0)* tblTencentUnits[[#This Row],[cv_2023]]/10^6</f>
        <v>0</v>
      </c>
      <c r="S67" s="62" cm="1">
        <f t="array" ref="S67">INDEX(tblPrices[cv_2024], MATCH(tblTencentUnits[[#This Row],[Products]],tblPrices[Products],0), 0)* tblTencentUnits[[#This Row],[cv_2024]]/10^6</f>
        <v>0</v>
      </c>
      <c r="T67" s="62" cm="1">
        <f t="array" ref="T67">INDEX(tblPrices[cv_2025], MATCH(tblTencentUnits[[#This Row],[Products]],tblPrices[Products],0), 0)* tblTencentUnits[[#This Row],[cv_2025]]/10^6</f>
        <v>0</v>
      </c>
      <c r="U67" s="62" cm="1">
        <f t="array" ref="U67">INDEX(tblPrices[cv_2026], MATCH(tblTencentUnits[[#This Row],[Products]],tblPrices[Products],0), 0)* tblTencentUnits[[#This Row],[cv_2026]]/10^6</f>
        <v>0</v>
      </c>
      <c r="V67" s="62" cm="1">
        <f t="array" ref="V67">INDEX(tblPrices[cv_2027], MATCH(tblTencentUnits[[#This Row],[Products]],tblPrices[Products],0), 0)* tblTencentUnits[[#This Row],[cv_2027]]/10^6</f>
        <v>0</v>
      </c>
      <c r="W67" s="62" cm="1">
        <f t="array" ref="W67">INDEX(tblPrices[cv_2028], MATCH(tblTencentUnits[[#This Row],[Products]],tblPrices[Products],0), 0)* tblTencentUnits[[#This Row],[cv_2028]]/10^6</f>
        <v>0</v>
      </c>
      <c r="X67" s="1">
        <f>VLOOKUP(A67,Products!$A$29:$F$110,6,FALSE)</f>
        <v>1600</v>
      </c>
    </row>
    <row r="68" spans="1:24" s="1" customFormat="1">
      <c r="A68" s="15" t="s">
        <v>19</v>
      </c>
      <c r="B68" s="8">
        <v>0</v>
      </c>
      <c r="C68" s="8">
        <v>0</v>
      </c>
      <c r="D68" s="8"/>
      <c r="E68" s="8"/>
      <c r="F68" s="8"/>
      <c r="G68" s="8"/>
      <c r="H68" s="8"/>
      <c r="I68" s="8"/>
      <c r="J68" s="8"/>
      <c r="K68" s="8"/>
      <c r="L68" s="8"/>
      <c r="M68" s="62" cm="1">
        <f t="array" ref="M68">INDEX(tblPrices[cv_2018], MATCH(tblTencentUnits[[#This Row],[Products]],tblPrices[Products],0), 0)* tblTencentUnits[[#This Row],[cv_2018]]/10^6</f>
        <v>0</v>
      </c>
      <c r="N68" s="62" cm="1">
        <f t="array" ref="N68">INDEX(tblPrices[cv_2019], MATCH(tblTencentUnits[[#This Row],[Products]],tblPrices[Products],0), 0)* tblTencentUnits[[#This Row],[cv_2019]]/10^6</f>
        <v>0</v>
      </c>
      <c r="O68" s="62" cm="1">
        <f t="array" ref="O68">INDEX(tblPrices[cv_2020], MATCH(tblTencentUnits[[#This Row],[Products]],tblPrices[Products],0), 0)* tblTencentUnits[[#This Row],[cv_2020]]/10^6</f>
        <v>0</v>
      </c>
      <c r="P68" s="62" cm="1">
        <f t="array" ref="P68">INDEX(tblPrices[cv_2021], MATCH(tblTencentUnits[[#This Row],[Products]],tblPrices[Products],0), 0)* tblTencentUnits[[#This Row],[cv_2021]]/10^6</f>
        <v>0</v>
      </c>
      <c r="Q68" s="62" cm="1">
        <f t="array" ref="Q68">INDEX(tblPrices[cv_2022], MATCH(tblTencentUnits[[#This Row],[Products]],tblPrices[Products],0), 0)* tblTencentUnits[[#This Row],[cv_2022]]/10^6</f>
        <v>0</v>
      </c>
      <c r="R68" s="62" cm="1">
        <f t="array" ref="R68">INDEX(tblPrices[cv_2023], MATCH(tblTencentUnits[[#This Row],[Products]],tblPrices[Products],0), 0)* tblTencentUnits[[#This Row],[cv_2023]]/10^6</f>
        <v>0</v>
      </c>
      <c r="S68" s="62" cm="1">
        <f t="array" ref="S68">INDEX(tblPrices[cv_2024], MATCH(tblTencentUnits[[#This Row],[Products]],tblPrices[Products],0), 0)* tblTencentUnits[[#This Row],[cv_2024]]/10^6</f>
        <v>0</v>
      </c>
      <c r="T68" s="62" cm="1">
        <f t="array" ref="T68">INDEX(tblPrices[cv_2025], MATCH(tblTencentUnits[[#This Row],[Products]],tblPrices[Products],0), 0)* tblTencentUnits[[#This Row],[cv_2025]]/10^6</f>
        <v>0</v>
      </c>
      <c r="U68" s="62" cm="1">
        <f t="array" ref="U68">INDEX(tblPrices[cv_2026], MATCH(tblTencentUnits[[#This Row],[Products]],tblPrices[Products],0), 0)* tblTencentUnits[[#This Row],[cv_2026]]/10^6</f>
        <v>0</v>
      </c>
      <c r="V68" s="62" cm="1">
        <f t="array" ref="V68">INDEX(tblPrices[cv_2027], MATCH(tblTencentUnits[[#This Row],[Products]],tblPrices[Products],0), 0)* tblTencentUnits[[#This Row],[cv_2027]]/10^6</f>
        <v>0</v>
      </c>
      <c r="W68" s="62" cm="1">
        <f t="array" ref="W68">INDEX(tblPrices[cv_2028], MATCH(tblTencentUnits[[#This Row],[Products]],tblPrices[Products],0), 0)* tblTencentUnits[[#This Row],[cv_2028]]/10^6</f>
        <v>0</v>
      </c>
      <c r="X68" s="1">
        <f>VLOOKUP(A68,Products!$A$29:$F$110,6,FALSE)</f>
        <v>1600</v>
      </c>
    </row>
    <row r="69" spans="1:24" s="1" customFormat="1">
      <c r="A69" s="15" t="s">
        <v>20</v>
      </c>
      <c r="B69" s="8">
        <v>0</v>
      </c>
      <c r="C69" s="8">
        <v>0</v>
      </c>
      <c r="D69" s="8"/>
      <c r="E69" s="8"/>
      <c r="F69" s="8"/>
      <c r="G69" s="8"/>
      <c r="H69" s="8"/>
      <c r="I69" s="8"/>
      <c r="J69" s="8"/>
      <c r="K69" s="8"/>
      <c r="L69" s="8"/>
      <c r="M69" s="62" cm="1">
        <f t="array" ref="M69">INDEX(tblPrices[cv_2018], MATCH(tblTencentUnits[[#This Row],[Products]],tblPrices[Products],0), 0)* tblTencentUnits[[#This Row],[cv_2018]]/10^6</f>
        <v>0</v>
      </c>
      <c r="N69" s="62" cm="1">
        <f t="array" ref="N69">INDEX(tblPrices[cv_2019], MATCH(tblTencentUnits[[#This Row],[Products]],tblPrices[Products],0), 0)* tblTencentUnits[[#This Row],[cv_2019]]/10^6</f>
        <v>0</v>
      </c>
      <c r="O69" s="62" cm="1">
        <f t="array" ref="O69">INDEX(tblPrices[cv_2020], MATCH(tblTencentUnits[[#This Row],[Products]],tblPrices[Products],0), 0)* tblTencentUnits[[#This Row],[cv_2020]]/10^6</f>
        <v>0</v>
      </c>
      <c r="P69" s="62" cm="1">
        <f t="array" ref="P69">INDEX(tblPrices[cv_2021], MATCH(tblTencentUnits[[#This Row],[Products]],tblPrices[Products],0), 0)* tblTencentUnits[[#This Row],[cv_2021]]/10^6</f>
        <v>0</v>
      </c>
      <c r="Q69" s="62" cm="1">
        <f t="array" ref="Q69">INDEX(tblPrices[cv_2022], MATCH(tblTencentUnits[[#This Row],[Products]],tblPrices[Products],0), 0)* tblTencentUnits[[#This Row],[cv_2022]]/10^6</f>
        <v>0</v>
      </c>
      <c r="R69" s="62" cm="1">
        <f t="array" ref="R69">INDEX(tblPrices[cv_2023], MATCH(tblTencentUnits[[#This Row],[Products]],tblPrices[Products],0), 0)* tblTencentUnits[[#This Row],[cv_2023]]/10^6</f>
        <v>0</v>
      </c>
      <c r="S69" s="62" cm="1">
        <f t="array" ref="S69">INDEX(tblPrices[cv_2024], MATCH(tblTencentUnits[[#This Row],[Products]],tblPrices[Products],0), 0)* tblTencentUnits[[#This Row],[cv_2024]]/10^6</f>
        <v>0</v>
      </c>
      <c r="T69" s="62" cm="1">
        <f t="array" ref="T69">INDEX(tblPrices[cv_2025], MATCH(tblTencentUnits[[#This Row],[Products]],tblPrices[Products],0), 0)* tblTencentUnits[[#This Row],[cv_2025]]/10^6</f>
        <v>0</v>
      </c>
      <c r="U69" s="62" cm="1">
        <f t="array" ref="U69">INDEX(tblPrices[cv_2026], MATCH(tblTencentUnits[[#This Row],[Products]],tblPrices[Products],0), 0)* tblTencentUnits[[#This Row],[cv_2026]]/10^6</f>
        <v>0</v>
      </c>
      <c r="V69" s="62" cm="1">
        <f t="array" ref="V69">INDEX(tblPrices[cv_2027], MATCH(tblTencentUnits[[#This Row],[Products]],tblPrices[Products],0), 0)* tblTencentUnits[[#This Row],[cv_2027]]/10^6</f>
        <v>0</v>
      </c>
      <c r="W69" s="62" cm="1">
        <f t="array" ref="W69">INDEX(tblPrices[cv_2028], MATCH(tblTencentUnits[[#This Row],[Products]],tblPrices[Products],0), 0)* tblTencentUnits[[#This Row],[cv_2028]]/10^6</f>
        <v>0</v>
      </c>
      <c r="X69" s="1">
        <f>VLOOKUP(A69,Products!$A$29:$F$110,6,FALSE)</f>
        <v>1600</v>
      </c>
    </row>
    <row r="70" spans="1:24" s="4" customFormat="1">
      <c r="A70" s="113" t="s">
        <v>49</v>
      </c>
      <c r="B70" s="73">
        <v>0</v>
      </c>
      <c r="C70" s="73">
        <v>0</v>
      </c>
      <c r="D70" s="73"/>
      <c r="E70" s="73"/>
      <c r="F70" s="73"/>
      <c r="G70" s="73"/>
      <c r="H70" s="73"/>
      <c r="I70" s="73"/>
      <c r="J70" s="73"/>
      <c r="K70" s="73"/>
      <c r="L70" s="73"/>
      <c r="M70" s="115" cm="1">
        <f t="array" ref="M70">INDEX(tblPrices[cv_2018], MATCH(tblTencentUnits[[#This Row],[Products]],tblPrices[Products],0), 0)* tblTencentUnits[[#This Row],[cv_2018]]/10^6</f>
        <v>0</v>
      </c>
      <c r="N70" s="115" cm="1">
        <f t="array" ref="N70">INDEX(tblPrices[cv_2019], MATCH(tblTencentUnits[[#This Row],[Products]],tblPrices[Products],0), 0)* tblTencentUnits[[#This Row],[cv_2019]]/10^6</f>
        <v>0</v>
      </c>
      <c r="O70" s="115" cm="1">
        <f t="array" ref="O70">INDEX(tblPrices[cv_2020], MATCH(tblTencentUnits[[#This Row],[Products]],tblPrices[Products],0), 0)* tblTencentUnits[[#This Row],[cv_2020]]/10^6</f>
        <v>0</v>
      </c>
      <c r="P70" s="115" cm="1">
        <f t="array" ref="P70">INDEX(tblPrices[cv_2021], MATCH(tblTencentUnits[[#This Row],[Products]],tblPrices[Products],0), 0)* tblTencentUnits[[#This Row],[cv_2021]]/10^6</f>
        <v>0</v>
      </c>
      <c r="Q70" s="115" cm="1">
        <f t="array" ref="Q70">INDEX(tblPrices[cv_2022], MATCH(tblTencentUnits[[#This Row],[Products]],tblPrices[Products],0), 0)* tblTencentUnits[[#This Row],[cv_2022]]/10^6</f>
        <v>0</v>
      </c>
      <c r="R70" s="115" cm="1">
        <f t="array" ref="R70">INDEX(tblPrices[cv_2023], MATCH(tblTencentUnits[[#This Row],[Products]],tblPrices[Products],0), 0)* tblTencentUnits[[#This Row],[cv_2023]]/10^6</f>
        <v>0</v>
      </c>
      <c r="S70" s="115" cm="1">
        <f t="array" ref="S70">INDEX(tblPrices[cv_2024], MATCH(tblTencentUnits[[#This Row],[Products]],tblPrices[Products],0), 0)* tblTencentUnits[[#This Row],[cv_2024]]/10^6</f>
        <v>0</v>
      </c>
      <c r="T70" s="115" cm="1">
        <f t="array" ref="T70">INDEX(tblPrices[cv_2025], MATCH(tblTencentUnits[[#This Row],[Products]],tblPrices[Products],0), 0)* tblTencentUnits[[#This Row],[cv_2025]]/10^6</f>
        <v>0</v>
      </c>
      <c r="U70" s="115" cm="1">
        <f t="array" ref="U70">INDEX(tblPrices[cv_2026], MATCH(tblTencentUnits[[#This Row],[Products]],tblPrices[Products],0), 0)* tblTencentUnits[[#This Row],[cv_2026]]/10^6</f>
        <v>0</v>
      </c>
      <c r="V70" s="115" cm="1">
        <f t="array" ref="V70">INDEX(tblPrices[cv_2027], MATCH(tblTencentUnits[[#This Row],[Products]],tblPrices[Products],0), 0)* tblTencentUnits[[#This Row],[cv_2027]]/10^6</f>
        <v>0</v>
      </c>
      <c r="W70" s="115" cm="1">
        <f t="array" ref="W70">INDEX(tblPrices[cv_2028], MATCH(tblTencentUnits[[#This Row],[Products]],tblPrices[Products],0), 0)* tblTencentUnits[[#This Row],[cv_2028]]/10^6</f>
        <v>0</v>
      </c>
      <c r="X70" s="4">
        <f>VLOOKUP(A70,Products!$A$29:$F$110,6,FALSE)</f>
        <v>1600</v>
      </c>
    </row>
    <row r="71" spans="1:24">
      <c r="A71" s="15" t="s">
        <v>21</v>
      </c>
      <c r="B71" s="8">
        <v>2473.248599999999</v>
      </c>
      <c r="C71" s="8">
        <v>3269.7873147260029</v>
      </c>
      <c r="D71" s="8"/>
      <c r="E71" s="8"/>
      <c r="F71" s="8"/>
      <c r="G71" s="8"/>
      <c r="H71" s="8"/>
      <c r="I71" s="8"/>
      <c r="J71" s="8"/>
      <c r="K71" s="8"/>
      <c r="L71" s="8"/>
      <c r="M71" s="62" cm="1">
        <f t="array" ref="M71">INDEX(tblPrices[cv_2018], MATCH(tblTencentUnits[[#This Row],[Products]],tblPrices[Products],0), 0)* tblTencentUnits[[#This Row],[cv_2018]]/10^6</f>
        <v>1.184869605682807</v>
      </c>
      <c r="N71" s="62" cm="1">
        <f t="array" ref="N71">INDEX(tblPrices[cv_2019], MATCH(tblTencentUnits[[#This Row],[Products]],tblPrices[Products],0), 0)* tblTencentUnits[[#This Row],[cv_2019]]/10^6</f>
        <v>1.2805495871069628</v>
      </c>
      <c r="O71" s="62" cm="1">
        <f t="array" ref="O71">INDEX(tblPrices[cv_2020], MATCH(tblTencentUnits[[#This Row],[Products]],tblPrices[Products],0), 0)* tblTencentUnits[[#This Row],[cv_2020]]/10^6</f>
        <v>0</v>
      </c>
      <c r="P71" s="62" cm="1">
        <f t="array" ref="P71">INDEX(tblPrices[cv_2021], MATCH(tblTencentUnits[[#This Row],[Products]],tblPrices[Products],0), 0)* tblTencentUnits[[#This Row],[cv_2021]]/10^6</f>
        <v>0</v>
      </c>
      <c r="Q71" s="62" cm="1">
        <f t="array" ref="Q71">INDEX(tblPrices[cv_2022], MATCH(tblTencentUnits[[#This Row],[Products]],tblPrices[Products],0), 0)* tblTencentUnits[[#This Row],[cv_2022]]/10^6</f>
        <v>0</v>
      </c>
      <c r="R71" s="62" cm="1">
        <f t="array" ref="R71">INDEX(tblPrices[cv_2023], MATCH(tblTencentUnits[[#This Row],[Products]],tblPrices[Products],0), 0)* tblTencentUnits[[#This Row],[cv_2023]]/10^6</f>
        <v>0</v>
      </c>
      <c r="S71" s="62" cm="1">
        <f t="array" ref="S71">INDEX(tblPrices[cv_2024], MATCH(tblTencentUnits[[#This Row],[Products]],tblPrices[Products],0), 0)* tblTencentUnits[[#This Row],[cv_2024]]/10^6</f>
        <v>0</v>
      </c>
      <c r="T71" s="62" cm="1">
        <f t="array" ref="T71">INDEX(tblPrices[cv_2025], MATCH(tblTencentUnits[[#This Row],[Products]],tblPrices[Products],0), 0)* tblTencentUnits[[#This Row],[cv_2025]]/10^6</f>
        <v>0</v>
      </c>
      <c r="U71" s="62" cm="1">
        <f t="array" ref="U71">INDEX(tblPrices[cv_2026], MATCH(tblTencentUnits[[#This Row],[Products]],tblPrices[Products],0), 0)* tblTencentUnits[[#This Row],[cv_2026]]/10^6</f>
        <v>0</v>
      </c>
      <c r="V71" s="62" cm="1">
        <f t="array" ref="V71">INDEX(tblPrices[cv_2027], MATCH(tblTencentUnits[[#This Row],[Products]],tblPrices[Products],0), 0)* tblTencentUnits[[#This Row],[cv_2027]]/10^6</f>
        <v>0</v>
      </c>
      <c r="W71" s="62" cm="1">
        <f t="array" ref="W71">INDEX(tblPrices[cv_2028], MATCH(tblTencentUnits[[#This Row],[Products]],tblPrices[Products],0), 0)* tblTencentUnits[[#This Row],[cv_2028]]/10^6</f>
        <v>0</v>
      </c>
      <c r="X71" s="1">
        <f>VLOOKUP(A71,Products!$A$29:$F$110,6,FALSE)</f>
        <v>10</v>
      </c>
    </row>
    <row r="72" spans="1:24">
      <c r="A72" s="15" t="s">
        <v>22</v>
      </c>
      <c r="B72" s="8">
        <v>0</v>
      </c>
      <c r="C72" s="8">
        <v>0</v>
      </c>
      <c r="D72" s="8"/>
      <c r="E72" s="8"/>
      <c r="F72" s="8"/>
      <c r="G72" s="8"/>
      <c r="H72" s="8"/>
      <c r="I72" s="8"/>
      <c r="J72" s="8"/>
      <c r="K72" s="8"/>
      <c r="L72" s="8"/>
      <c r="M72" s="62" cm="1">
        <f t="array" ref="M72">INDEX(tblPrices[cv_2018], MATCH(tblTencentUnits[[#This Row],[Products]],tblPrices[Products],0), 0)* tblTencentUnits[[#This Row],[cv_2018]]/10^6</f>
        <v>0</v>
      </c>
      <c r="N72" s="62" cm="1">
        <f t="array" ref="N72">INDEX(tblPrices[cv_2019], MATCH(tblTencentUnits[[#This Row],[Products]],tblPrices[Products],0), 0)* tblTencentUnits[[#This Row],[cv_2019]]/10^6</f>
        <v>0</v>
      </c>
      <c r="O72" s="62" cm="1">
        <f t="array" ref="O72">INDEX(tblPrices[cv_2020], MATCH(tblTencentUnits[[#This Row],[Products]],tblPrices[Products],0), 0)* tblTencentUnits[[#This Row],[cv_2020]]/10^6</f>
        <v>0</v>
      </c>
      <c r="P72" s="62" cm="1">
        <f t="array" ref="P72">INDEX(tblPrices[cv_2021], MATCH(tblTencentUnits[[#This Row],[Products]],tblPrices[Products],0), 0)* tblTencentUnits[[#This Row],[cv_2021]]/10^6</f>
        <v>0</v>
      </c>
      <c r="Q72" s="62" cm="1">
        <f t="array" ref="Q72">INDEX(tblPrices[cv_2022], MATCH(tblTencentUnits[[#This Row],[Products]],tblPrices[Products],0), 0)* tblTencentUnits[[#This Row],[cv_2022]]/10^6</f>
        <v>0</v>
      </c>
      <c r="R72" s="62" cm="1">
        <f t="array" ref="R72">INDEX(tblPrices[cv_2023], MATCH(tblTencentUnits[[#This Row],[Products]],tblPrices[Products],0), 0)* tblTencentUnits[[#This Row],[cv_2023]]/10^6</f>
        <v>0</v>
      </c>
      <c r="S72" s="62" cm="1">
        <f t="array" ref="S72">INDEX(tblPrices[cv_2024], MATCH(tblTencentUnits[[#This Row],[Products]],tblPrices[Products],0), 0)* tblTencentUnits[[#This Row],[cv_2024]]/10^6</f>
        <v>0</v>
      </c>
      <c r="T72" s="62" cm="1">
        <f t="array" ref="T72">INDEX(tblPrices[cv_2025], MATCH(tblTencentUnits[[#This Row],[Products]],tblPrices[Products],0), 0)* tblTencentUnits[[#This Row],[cv_2025]]/10^6</f>
        <v>0</v>
      </c>
      <c r="U72" s="62" cm="1">
        <f t="array" ref="U72">INDEX(tblPrices[cv_2026], MATCH(tblTencentUnits[[#This Row],[Products]],tblPrices[Products],0), 0)* tblTencentUnits[[#This Row],[cv_2026]]/10^6</f>
        <v>0</v>
      </c>
      <c r="V72" s="62" cm="1">
        <f t="array" ref="V72">INDEX(tblPrices[cv_2027], MATCH(tblTencentUnits[[#This Row],[Products]],tblPrices[Products],0), 0)* tblTencentUnits[[#This Row],[cv_2027]]/10^6</f>
        <v>0</v>
      </c>
      <c r="W72" s="62" cm="1">
        <f t="array" ref="W72">INDEX(tblPrices[cv_2028], MATCH(tblTencentUnits[[#This Row],[Products]],tblPrices[Products],0), 0)* tblTencentUnits[[#This Row],[cv_2028]]/10^6</f>
        <v>0</v>
      </c>
      <c r="X72" s="1">
        <f>VLOOKUP(A72,Products!$A$29:$F$110,6,FALSE)</f>
        <v>40</v>
      </c>
    </row>
    <row r="73" spans="1:24">
      <c r="A73" s="15" t="s">
        <v>23</v>
      </c>
      <c r="B73" s="8">
        <v>3974.3757277310915</v>
      </c>
      <c r="C73" s="8">
        <v>3533.1232</v>
      </c>
      <c r="D73" s="8"/>
      <c r="E73" s="8"/>
      <c r="F73" s="8"/>
      <c r="G73" s="8"/>
      <c r="H73" s="8"/>
      <c r="I73" s="8"/>
      <c r="J73" s="8"/>
      <c r="K73" s="8"/>
      <c r="L73" s="8"/>
      <c r="M73" s="62" cm="1">
        <f t="array" ref="M73">INDEX(tblPrices[cv_2018], MATCH(tblTencentUnits[[#This Row],[Products]],tblPrices[Products],0), 0)* tblTencentUnits[[#This Row],[cv_2018]]/10^6</f>
        <v>31.795005821848733</v>
      </c>
      <c r="N73" s="62" cm="1">
        <f t="array" ref="N73">INDEX(tblPrices[cv_2019], MATCH(tblTencentUnits[[#This Row],[Products]],tblPrices[Products],0), 0)* tblTencentUnits[[#This Row],[cv_2019]]/10^6</f>
        <v>22.611988480000001</v>
      </c>
      <c r="O73" s="62" cm="1">
        <f t="array" ref="O73">INDEX(tblPrices[cv_2020], MATCH(tblTencentUnits[[#This Row],[Products]],tblPrices[Products],0), 0)* tblTencentUnits[[#This Row],[cv_2020]]/10^6</f>
        <v>0</v>
      </c>
      <c r="P73" s="62" cm="1">
        <f t="array" ref="P73">INDEX(tblPrices[cv_2021], MATCH(tblTencentUnits[[#This Row],[Products]],tblPrices[Products],0), 0)* tblTencentUnits[[#This Row],[cv_2021]]/10^6</f>
        <v>0</v>
      </c>
      <c r="Q73" s="62" cm="1">
        <f t="array" ref="Q73">INDEX(tblPrices[cv_2022], MATCH(tblTencentUnits[[#This Row],[Products]],tblPrices[Products],0), 0)* tblTencentUnits[[#This Row],[cv_2022]]/10^6</f>
        <v>0</v>
      </c>
      <c r="R73" s="62" cm="1">
        <f t="array" ref="R73">INDEX(tblPrices[cv_2023], MATCH(tblTencentUnits[[#This Row],[Products]],tblPrices[Products],0), 0)* tblTencentUnits[[#This Row],[cv_2023]]/10^6</f>
        <v>0</v>
      </c>
      <c r="S73" s="62" cm="1">
        <f t="array" ref="S73">INDEX(tblPrices[cv_2024], MATCH(tblTencentUnits[[#This Row],[Products]],tblPrices[Products],0), 0)* tblTencentUnits[[#This Row],[cv_2024]]/10^6</f>
        <v>0</v>
      </c>
      <c r="T73" s="62" cm="1">
        <f t="array" ref="T73">INDEX(tblPrices[cv_2025], MATCH(tblTencentUnits[[#This Row],[Products]],tblPrices[Products],0), 0)* tblTencentUnits[[#This Row],[cv_2025]]/10^6</f>
        <v>0</v>
      </c>
      <c r="U73" s="62" cm="1">
        <f t="array" ref="U73">INDEX(tblPrices[cv_2026], MATCH(tblTencentUnits[[#This Row],[Products]],tblPrices[Products],0), 0)* tblTencentUnits[[#This Row],[cv_2026]]/10^6</f>
        <v>0</v>
      </c>
      <c r="V73" s="62" cm="1">
        <f t="array" ref="V73">INDEX(tblPrices[cv_2027], MATCH(tblTencentUnits[[#This Row],[Products]],tblPrices[Products],0), 0)* tblTencentUnits[[#This Row],[cv_2027]]/10^6</f>
        <v>0</v>
      </c>
      <c r="W73" s="62" cm="1">
        <f t="array" ref="W73">INDEX(tblPrices[cv_2028], MATCH(tblTencentUnits[[#This Row],[Products]],tblPrices[Products],0), 0)* tblTencentUnits[[#This Row],[cv_2028]]/10^6</f>
        <v>0</v>
      </c>
      <c r="X73" s="1">
        <f>VLOOKUP(A73,Products!$A$29:$F$110,6,FALSE)</f>
        <v>100</v>
      </c>
    </row>
    <row r="74" spans="1:24">
      <c r="A74" s="15" t="s">
        <v>24</v>
      </c>
      <c r="B74" s="8">
        <v>0</v>
      </c>
      <c r="C74" s="8">
        <v>0</v>
      </c>
      <c r="D74" s="8"/>
      <c r="E74" s="8"/>
      <c r="F74" s="8"/>
      <c r="G74" s="8"/>
      <c r="H74" s="8"/>
      <c r="I74" s="8"/>
      <c r="J74" s="8"/>
      <c r="K74" s="8"/>
      <c r="L74" s="8"/>
      <c r="M74" s="62" cm="1">
        <f t="array" ref="M74">INDEX(tblPrices[cv_2018], MATCH(tblTencentUnits[[#This Row],[Products]],tblPrices[Products],0), 0)* tblTencentUnits[[#This Row],[cv_2018]]/10^6</f>
        <v>0</v>
      </c>
      <c r="N74" s="62" cm="1">
        <f t="array" ref="N74">INDEX(tblPrices[cv_2019], MATCH(tblTencentUnits[[#This Row],[Products]],tblPrices[Products],0), 0)* tblTencentUnits[[#This Row],[cv_2019]]/10^6</f>
        <v>0</v>
      </c>
      <c r="O74" s="62" cm="1">
        <f t="array" ref="O74">INDEX(tblPrices[cv_2020], MATCH(tblTencentUnits[[#This Row],[Products]],tblPrices[Products],0), 0)* tblTencentUnits[[#This Row],[cv_2020]]/10^6</f>
        <v>0</v>
      </c>
      <c r="P74" s="62" cm="1">
        <f t="array" ref="P74">INDEX(tblPrices[cv_2021], MATCH(tblTencentUnits[[#This Row],[Products]],tblPrices[Products],0), 0)* tblTencentUnits[[#This Row],[cv_2021]]/10^6</f>
        <v>0</v>
      </c>
      <c r="Q74" s="62" cm="1">
        <f t="array" ref="Q74">INDEX(tblPrices[cv_2022], MATCH(tblTencentUnits[[#This Row],[Products]],tblPrices[Products],0), 0)* tblTencentUnits[[#This Row],[cv_2022]]/10^6</f>
        <v>0</v>
      </c>
      <c r="R74" s="62" cm="1">
        <f t="array" ref="R74">INDEX(tblPrices[cv_2023], MATCH(tblTencentUnits[[#This Row],[Products]],tblPrices[Products],0), 0)* tblTencentUnits[[#This Row],[cv_2023]]/10^6</f>
        <v>0</v>
      </c>
      <c r="S74" s="62" cm="1">
        <f t="array" ref="S74">INDEX(tblPrices[cv_2024], MATCH(tblTencentUnits[[#This Row],[Products]],tblPrices[Products],0), 0)* tblTencentUnits[[#This Row],[cv_2024]]/10^6</f>
        <v>0</v>
      </c>
      <c r="T74" s="62" cm="1">
        <f t="array" ref="T74">INDEX(tblPrices[cv_2025], MATCH(tblTencentUnits[[#This Row],[Products]],tblPrices[Products],0), 0)* tblTencentUnits[[#This Row],[cv_2025]]/10^6</f>
        <v>0</v>
      </c>
      <c r="U74" s="62" cm="1">
        <f t="array" ref="U74">INDEX(tblPrices[cv_2026], MATCH(tblTencentUnits[[#This Row],[Products]],tblPrices[Products],0), 0)* tblTencentUnits[[#This Row],[cv_2026]]/10^6</f>
        <v>0</v>
      </c>
      <c r="V74" s="62" cm="1">
        <f t="array" ref="V74">INDEX(tblPrices[cv_2027], MATCH(tblTencentUnits[[#This Row],[Products]],tblPrices[Products],0), 0)* tblTencentUnits[[#This Row],[cv_2027]]/10^6</f>
        <v>0</v>
      </c>
      <c r="W74" s="62" cm="1">
        <f t="array" ref="W74">INDEX(tblPrices[cv_2028], MATCH(tblTencentUnits[[#This Row],[Products]],tblPrices[Products],0), 0)* tblTencentUnits[[#This Row],[cv_2028]]/10^6</f>
        <v>0</v>
      </c>
      <c r="X74" s="1">
        <f>VLOOKUP(A74,Products!$A$29:$F$110,6,FALSE)</f>
        <v>100</v>
      </c>
    </row>
    <row r="75" spans="1:24">
      <c r="A75" s="15" t="s">
        <v>25</v>
      </c>
      <c r="B75" s="8">
        <v>292.07440756302532</v>
      </c>
      <c r="C75" s="8">
        <v>617.2448000000004</v>
      </c>
      <c r="D75" s="8"/>
      <c r="E75" s="8"/>
      <c r="F75" s="8"/>
      <c r="G75" s="8"/>
      <c r="H75" s="8"/>
      <c r="I75" s="8"/>
      <c r="J75" s="8"/>
      <c r="K75" s="8"/>
      <c r="L75" s="8"/>
      <c r="M75" s="62" cm="1">
        <f t="array" ref="M75">INDEX(tblPrices[cv_2018], MATCH(tblTencentUnits[[#This Row],[Products]],tblPrices[Products],0), 0)* tblTencentUnits[[#This Row],[cv_2018]]/10^6</f>
        <v>1.6064092415966391</v>
      </c>
      <c r="N75" s="62" cm="1">
        <f t="array" ref="N75">INDEX(tblPrices[cv_2019], MATCH(tblTencentUnits[[#This Row],[Products]],tblPrices[Products],0), 0)* tblTencentUnits[[#This Row],[cv_2019]]/10^6</f>
        <v>2.7158771200000018</v>
      </c>
      <c r="O75" s="62" cm="1">
        <f t="array" ref="O75">INDEX(tblPrices[cv_2020], MATCH(tblTencentUnits[[#This Row],[Products]],tblPrices[Products],0), 0)* tblTencentUnits[[#This Row],[cv_2020]]/10^6</f>
        <v>0</v>
      </c>
      <c r="P75" s="62" cm="1">
        <f t="array" ref="P75">INDEX(tblPrices[cv_2021], MATCH(tblTencentUnits[[#This Row],[Products]],tblPrices[Products],0), 0)* tblTencentUnits[[#This Row],[cv_2021]]/10^6</f>
        <v>0</v>
      </c>
      <c r="Q75" s="62" cm="1">
        <f t="array" ref="Q75">INDEX(tblPrices[cv_2022], MATCH(tblTencentUnits[[#This Row],[Products]],tblPrices[Products],0), 0)* tblTencentUnits[[#This Row],[cv_2022]]/10^6</f>
        <v>0</v>
      </c>
      <c r="R75" s="62" cm="1">
        <f t="array" ref="R75">INDEX(tblPrices[cv_2023], MATCH(tblTencentUnits[[#This Row],[Products]],tblPrices[Products],0), 0)* tblTencentUnits[[#This Row],[cv_2023]]/10^6</f>
        <v>0</v>
      </c>
      <c r="S75" s="62" cm="1">
        <f t="array" ref="S75">INDEX(tblPrices[cv_2024], MATCH(tblTencentUnits[[#This Row],[Products]],tblPrices[Products],0), 0)* tblTencentUnits[[#This Row],[cv_2024]]/10^6</f>
        <v>0</v>
      </c>
      <c r="T75" s="62" cm="1">
        <f t="array" ref="T75">INDEX(tblPrices[cv_2025], MATCH(tblTencentUnits[[#This Row],[Products]],tblPrices[Products],0), 0)* tblTencentUnits[[#This Row],[cv_2025]]/10^6</f>
        <v>0</v>
      </c>
      <c r="U75" s="62" cm="1">
        <f t="array" ref="U75">INDEX(tblPrices[cv_2026], MATCH(tblTencentUnits[[#This Row],[Products]],tblPrices[Products],0), 0)* tblTencentUnits[[#This Row],[cv_2026]]/10^6</f>
        <v>0</v>
      </c>
      <c r="V75" s="62" cm="1">
        <f t="array" ref="V75">INDEX(tblPrices[cv_2027], MATCH(tblTencentUnits[[#This Row],[Products]],tblPrices[Products],0), 0)* tblTencentUnits[[#This Row],[cv_2027]]/10^6</f>
        <v>0</v>
      </c>
      <c r="W75" s="62" cm="1">
        <f t="array" ref="W75">INDEX(tblPrices[cv_2028], MATCH(tblTencentUnits[[#This Row],[Products]],tblPrices[Products],0), 0)* tblTencentUnits[[#This Row],[cv_2028]]/10^6</f>
        <v>0</v>
      </c>
      <c r="X75" s="1">
        <f>VLOOKUP(A75,Products!$A$29:$F$110,6,FALSE)</f>
        <v>100</v>
      </c>
    </row>
    <row r="76" spans="1:24">
      <c r="A76" s="15" t="s">
        <v>26</v>
      </c>
      <c r="B76" s="8"/>
      <c r="C76" s="8"/>
      <c r="D76" s="8"/>
      <c r="E76" s="8"/>
      <c r="F76" s="8"/>
      <c r="G76" s="8"/>
      <c r="H76" s="8"/>
      <c r="I76" s="8"/>
      <c r="J76" s="8"/>
      <c r="K76" s="8"/>
      <c r="L76" s="8"/>
      <c r="M76" s="62" cm="1">
        <f t="array" ref="M76">INDEX(tblPrices[cv_2018], MATCH(tblTencentUnits[[#This Row],[Products]],tblPrices[Products],0), 0)* tblTencentUnits[[#This Row],[cv_2018]]/10^6</f>
        <v>0</v>
      </c>
      <c r="N76" s="62" cm="1">
        <f t="array" ref="N76">INDEX(tblPrices[cv_2019], MATCH(tblTencentUnits[[#This Row],[Products]],tblPrices[Products],0), 0)* tblTencentUnits[[#This Row],[cv_2019]]/10^6</f>
        <v>0</v>
      </c>
      <c r="O76" s="62" cm="1">
        <f t="array" ref="O76">INDEX(tblPrices[cv_2020], MATCH(tblTencentUnits[[#This Row],[Products]],tblPrices[Products],0), 0)* tblTencentUnits[[#This Row],[cv_2020]]/10^6</f>
        <v>0</v>
      </c>
      <c r="P76" s="62" cm="1">
        <f t="array" ref="P76">INDEX(tblPrices[cv_2021], MATCH(tblTencentUnits[[#This Row],[Products]],tblPrices[Products],0), 0)* tblTencentUnits[[#This Row],[cv_2021]]/10^6</f>
        <v>0</v>
      </c>
      <c r="Q76" s="62" cm="1">
        <f t="array" ref="Q76">INDEX(tblPrices[cv_2022], MATCH(tblTencentUnits[[#This Row],[Products]],tblPrices[Products],0), 0)* tblTencentUnits[[#This Row],[cv_2022]]/10^6</f>
        <v>0</v>
      </c>
      <c r="R76" s="62" cm="1">
        <f t="array" ref="R76">INDEX(tblPrices[cv_2023], MATCH(tblTencentUnits[[#This Row],[Products]],tblPrices[Products],0), 0)* tblTencentUnits[[#This Row],[cv_2023]]/10^6</f>
        <v>0</v>
      </c>
      <c r="S76" s="62" cm="1">
        <f t="array" ref="S76">INDEX(tblPrices[cv_2024], MATCH(tblTencentUnits[[#This Row],[Products]],tblPrices[Products],0), 0)* tblTencentUnits[[#This Row],[cv_2024]]/10^6</f>
        <v>0</v>
      </c>
      <c r="T76" s="62" cm="1">
        <f t="array" ref="T76">INDEX(tblPrices[cv_2025], MATCH(tblTencentUnits[[#This Row],[Products]],tblPrices[Products],0), 0)* tblTencentUnits[[#This Row],[cv_2025]]/10^6</f>
        <v>0</v>
      </c>
      <c r="U76" s="62" cm="1">
        <f t="array" ref="U76">INDEX(tblPrices[cv_2026], MATCH(tblTencentUnits[[#This Row],[Products]],tblPrices[Products],0), 0)* tblTencentUnits[[#This Row],[cv_2026]]/10^6</f>
        <v>0</v>
      </c>
      <c r="V76" s="62" cm="1">
        <f t="array" ref="V76">INDEX(tblPrices[cv_2027], MATCH(tblTencentUnits[[#This Row],[Products]],tblPrices[Products],0), 0)* tblTencentUnits[[#This Row],[cv_2027]]/10^6</f>
        <v>0</v>
      </c>
      <c r="W76" s="62" cm="1">
        <f t="array" ref="W76">INDEX(tblPrices[cv_2028], MATCH(tblTencentUnits[[#This Row],[Products]],tblPrices[Products],0), 0)* tblTencentUnits[[#This Row],[cv_2028]]/10^6</f>
        <v>0</v>
      </c>
      <c r="X76" s="1">
        <f>VLOOKUP(A76,Products!$A$29:$F$110,6,FALSE)</f>
        <v>100</v>
      </c>
    </row>
    <row r="77" spans="1:24">
      <c r="A77" s="15" t="s">
        <v>27</v>
      </c>
      <c r="B77" s="8"/>
      <c r="C77" s="8"/>
      <c r="D77" s="8"/>
      <c r="E77" s="8"/>
      <c r="F77" s="8"/>
      <c r="G77" s="8"/>
      <c r="H77" s="8"/>
      <c r="I77" s="8"/>
      <c r="J77" s="8"/>
      <c r="K77" s="8"/>
      <c r="L77" s="8"/>
      <c r="M77" s="62" cm="1">
        <f t="array" ref="M77">INDEX(tblPrices[cv_2018], MATCH(tblTencentUnits[[#This Row],[Products]],tblPrices[Products],0), 0)* tblTencentUnits[[#This Row],[cv_2018]]/10^6</f>
        <v>0</v>
      </c>
      <c r="N77" s="62" cm="1">
        <f t="array" ref="N77">INDEX(tblPrices[cv_2019], MATCH(tblTencentUnits[[#This Row],[Products]],tblPrices[Products],0), 0)* tblTencentUnits[[#This Row],[cv_2019]]/10^6</f>
        <v>0</v>
      </c>
      <c r="O77" s="62" cm="1">
        <f t="array" ref="O77">INDEX(tblPrices[cv_2020], MATCH(tblTencentUnits[[#This Row],[Products]],tblPrices[Products],0), 0)* tblTencentUnits[[#This Row],[cv_2020]]/10^6</f>
        <v>0</v>
      </c>
      <c r="P77" s="62" cm="1">
        <f t="array" ref="P77">INDEX(tblPrices[cv_2021], MATCH(tblTencentUnits[[#This Row],[Products]],tblPrices[Products],0), 0)* tblTencentUnits[[#This Row],[cv_2021]]/10^6</f>
        <v>0</v>
      </c>
      <c r="Q77" s="62" cm="1">
        <f t="array" ref="Q77">INDEX(tblPrices[cv_2022], MATCH(tblTencentUnits[[#This Row],[Products]],tblPrices[Products],0), 0)* tblTencentUnits[[#This Row],[cv_2022]]/10^6</f>
        <v>0</v>
      </c>
      <c r="R77" s="62" cm="1">
        <f t="array" ref="R77">INDEX(tblPrices[cv_2023], MATCH(tblTencentUnits[[#This Row],[Products]],tblPrices[Products],0), 0)* tblTencentUnits[[#This Row],[cv_2023]]/10^6</f>
        <v>0</v>
      </c>
      <c r="S77" s="62" cm="1">
        <f t="array" ref="S77">INDEX(tblPrices[cv_2024], MATCH(tblTencentUnits[[#This Row],[Products]],tblPrices[Products],0), 0)* tblTencentUnits[[#This Row],[cv_2024]]/10^6</f>
        <v>0</v>
      </c>
      <c r="T77" s="62" cm="1">
        <f t="array" ref="T77">INDEX(tblPrices[cv_2025], MATCH(tblTencentUnits[[#This Row],[Products]],tblPrices[Products],0), 0)* tblTencentUnits[[#This Row],[cv_2025]]/10^6</f>
        <v>0</v>
      </c>
      <c r="U77" s="62" cm="1">
        <f t="array" ref="U77">INDEX(tblPrices[cv_2026], MATCH(tblTencentUnits[[#This Row],[Products]],tblPrices[Products],0), 0)* tblTencentUnits[[#This Row],[cv_2026]]/10^6</f>
        <v>0</v>
      </c>
      <c r="V77" s="62" cm="1">
        <f t="array" ref="V77">INDEX(tblPrices[cv_2027], MATCH(tblTencentUnits[[#This Row],[Products]],tblPrices[Products],0), 0)* tblTencentUnits[[#This Row],[cv_2027]]/10^6</f>
        <v>0</v>
      </c>
      <c r="W77" s="62" cm="1">
        <f t="array" ref="W77">INDEX(tblPrices[cv_2028], MATCH(tblTencentUnits[[#This Row],[Products]],tblPrices[Products],0), 0)* tblTencentUnits[[#This Row],[cv_2028]]/10^6</f>
        <v>0</v>
      </c>
      <c r="X77" s="1">
        <f>VLOOKUP(A77,Products!$A$29:$F$110,6,FALSE)</f>
        <v>100</v>
      </c>
    </row>
    <row r="78" spans="1:24">
      <c r="A78" s="15" t="s">
        <v>28</v>
      </c>
      <c r="B78" s="8">
        <v>179.63606557377045</v>
      </c>
      <c r="C78" s="8">
        <v>571.02120000000036</v>
      </c>
      <c r="D78" s="8"/>
      <c r="E78" s="8"/>
      <c r="F78" s="8"/>
      <c r="G78" s="8"/>
      <c r="H78" s="8"/>
      <c r="I78" s="8"/>
      <c r="J78" s="8"/>
      <c r="K78" s="8"/>
      <c r="L78" s="8"/>
      <c r="M78" s="62" cm="1">
        <f t="array" ref="M78">INDEX(tblPrices[cv_2018], MATCH(tblTencentUnits[[#This Row],[Products]],tblPrices[Products],0), 0)* tblTencentUnits[[#This Row],[cv_2018]]/10^6</f>
        <v>1.5677329359165424</v>
      </c>
      <c r="N78" s="62" cm="1">
        <f t="array" ref="N78">INDEX(tblPrices[cv_2019], MATCH(tblTencentUnits[[#This Row],[Products]],tblPrices[Products],0), 0)* tblTencentUnits[[#This Row],[cv_2019]]/10^6</f>
        <v>3.9867661963636389</v>
      </c>
      <c r="O78" s="62" cm="1">
        <f t="array" ref="O78">INDEX(tblPrices[cv_2020], MATCH(tblTencentUnits[[#This Row],[Products]],tblPrices[Products],0), 0)* tblTencentUnits[[#This Row],[cv_2020]]/10^6</f>
        <v>0</v>
      </c>
      <c r="P78" s="62" cm="1">
        <f t="array" ref="P78">INDEX(tblPrices[cv_2021], MATCH(tblTencentUnits[[#This Row],[Products]],tblPrices[Products],0), 0)* tblTencentUnits[[#This Row],[cv_2021]]/10^6</f>
        <v>0</v>
      </c>
      <c r="Q78" s="62" cm="1">
        <f t="array" ref="Q78">INDEX(tblPrices[cv_2022], MATCH(tblTencentUnits[[#This Row],[Products]],tblPrices[Products],0), 0)* tblTencentUnits[[#This Row],[cv_2022]]/10^6</f>
        <v>0</v>
      </c>
      <c r="R78" s="62" cm="1">
        <f t="array" ref="R78">INDEX(tblPrices[cv_2023], MATCH(tblTencentUnits[[#This Row],[Products]],tblPrices[Products],0), 0)* tblTencentUnits[[#This Row],[cv_2023]]/10^6</f>
        <v>0</v>
      </c>
      <c r="S78" s="62" cm="1">
        <f t="array" ref="S78">INDEX(tblPrices[cv_2024], MATCH(tblTencentUnits[[#This Row],[Products]],tblPrices[Products],0), 0)* tblTencentUnits[[#This Row],[cv_2024]]/10^6</f>
        <v>0</v>
      </c>
      <c r="T78" s="62" cm="1">
        <f t="array" ref="T78">INDEX(tblPrices[cv_2025], MATCH(tblTencentUnits[[#This Row],[Products]],tblPrices[Products],0), 0)* tblTencentUnits[[#This Row],[cv_2025]]/10^6</f>
        <v>0</v>
      </c>
      <c r="U78" s="62" cm="1">
        <f t="array" ref="U78">INDEX(tblPrices[cv_2026], MATCH(tblTencentUnits[[#This Row],[Products]],tblPrices[Products],0), 0)* tblTencentUnits[[#This Row],[cv_2026]]/10^6</f>
        <v>0</v>
      </c>
      <c r="V78" s="62" cm="1">
        <f t="array" ref="V78">INDEX(tblPrices[cv_2027], MATCH(tblTencentUnits[[#This Row],[Products]],tblPrices[Products],0), 0)* tblTencentUnits[[#This Row],[cv_2027]]/10^6</f>
        <v>0</v>
      </c>
      <c r="W78" s="62" cm="1">
        <f t="array" ref="W78">INDEX(tblPrices[cv_2028], MATCH(tblTencentUnits[[#This Row],[Products]],tblPrices[Products],0), 0)* tblTencentUnits[[#This Row],[cv_2028]]/10^6</f>
        <v>0</v>
      </c>
      <c r="X78" s="1">
        <f>VLOOKUP(A78,Products!$A$29:$F$110,6,FALSE)</f>
        <v>200</v>
      </c>
    </row>
    <row r="79" spans="1:24">
      <c r="A79" s="15" t="s">
        <v>29</v>
      </c>
      <c r="B79" s="8">
        <v>75.602459016393468</v>
      </c>
      <c r="C79" s="8">
        <v>514.39800000000002</v>
      </c>
      <c r="D79" s="8"/>
      <c r="E79" s="8"/>
      <c r="F79" s="8"/>
      <c r="G79" s="8"/>
      <c r="H79" s="8"/>
      <c r="I79" s="8"/>
      <c r="J79" s="8"/>
      <c r="K79" s="8"/>
      <c r="L79" s="8"/>
      <c r="M79" s="62" cm="1">
        <f t="array" ref="M79">INDEX(tblPrices[cv_2018], MATCH(tblTencentUnits[[#This Row],[Products]],tblPrices[Products],0), 0)* tblTencentUnits[[#This Row],[cv_2018]]/10^6</f>
        <v>0.45361475409836083</v>
      </c>
      <c r="N79" s="62" cm="1">
        <f t="array" ref="N79">INDEX(tblPrices[cv_2019], MATCH(tblTencentUnits[[#This Row],[Products]],tblPrices[Products],0), 0)* tblTencentUnits[[#This Row],[cv_2019]]/10^6</f>
        <v>2.4691103999999999</v>
      </c>
      <c r="O79" s="62" cm="1">
        <f t="array" ref="O79">INDEX(tblPrices[cv_2020], MATCH(tblTencentUnits[[#This Row],[Products]],tblPrices[Products],0), 0)* tblTencentUnits[[#This Row],[cv_2020]]/10^6</f>
        <v>0</v>
      </c>
      <c r="P79" s="62" cm="1">
        <f t="array" ref="P79">INDEX(tblPrices[cv_2021], MATCH(tblTencentUnits[[#This Row],[Products]],tblPrices[Products],0), 0)* tblTencentUnits[[#This Row],[cv_2021]]/10^6</f>
        <v>0</v>
      </c>
      <c r="Q79" s="62" cm="1">
        <f t="array" ref="Q79">INDEX(tblPrices[cv_2022], MATCH(tblTencentUnits[[#This Row],[Products]],tblPrices[Products],0), 0)* tblTencentUnits[[#This Row],[cv_2022]]/10^6</f>
        <v>0</v>
      </c>
      <c r="R79" s="62" cm="1">
        <f t="array" ref="R79">INDEX(tblPrices[cv_2023], MATCH(tblTencentUnits[[#This Row],[Products]],tblPrices[Products],0), 0)* tblTencentUnits[[#This Row],[cv_2023]]/10^6</f>
        <v>0</v>
      </c>
      <c r="S79" s="62" cm="1">
        <f t="array" ref="S79">INDEX(tblPrices[cv_2024], MATCH(tblTencentUnits[[#This Row],[Products]],tblPrices[Products],0), 0)* tblTencentUnits[[#This Row],[cv_2024]]/10^6</f>
        <v>0</v>
      </c>
      <c r="T79" s="62" cm="1">
        <f t="array" ref="T79">INDEX(tblPrices[cv_2025], MATCH(tblTencentUnits[[#This Row],[Products]],tblPrices[Products],0), 0)* tblTencentUnits[[#This Row],[cv_2025]]/10^6</f>
        <v>0</v>
      </c>
      <c r="U79" s="62" cm="1">
        <f t="array" ref="U79">INDEX(tblPrices[cv_2026], MATCH(tblTencentUnits[[#This Row],[Products]],tblPrices[Products],0), 0)* tblTencentUnits[[#This Row],[cv_2026]]/10^6</f>
        <v>0</v>
      </c>
      <c r="V79" s="62" cm="1">
        <f t="array" ref="V79">INDEX(tblPrices[cv_2027], MATCH(tblTencentUnits[[#This Row],[Products]],tblPrices[Products],0), 0)* tblTencentUnits[[#This Row],[cv_2027]]/10^6</f>
        <v>0</v>
      </c>
      <c r="W79" s="62" cm="1">
        <f t="array" ref="W79">INDEX(tblPrices[cv_2028], MATCH(tblTencentUnits[[#This Row],[Products]],tblPrices[Products],0), 0)* tblTencentUnits[[#This Row],[cv_2028]]/10^6</f>
        <v>0</v>
      </c>
      <c r="X79" s="1">
        <f>VLOOKUP(A79,Products!$A$29:$F$110,6,FALSE)</f>
        <v>200</v>
      </c>
    </row>
    <row r="80" spans="1:24">
      <c r="A80" s="15" t="s">
        <v>30</v>
      </c>
      <c r="B80" s="8"/>
      <c r="C80" s="8"/>
      <c r="D80" s="8"/>
      <c r="E80" s="8"/>
      <c r="F80" s="8"/>
      <c r="G80" s="8"/>
      <c r="H80" s="8"/>
      <c r="I80" s="8"/>
      <c r="J80" s="8"/>
      <c r="K80" s="8"/>
      <c r="L80" s="8"/>
      <c r="M80" s="62" cm="1">
        <f t="array" ref="M80">INDEX(tblPrices[cv_2018], MATCH(tblTencentUnits[[#This Row],[Products]],tblPrices[Products],0), 0)* tblTencentUnits[[#This Row],[cv_2018]]/10^6</f>
        <v>0</v>
      </c>
      <c r="N80" s="62" cm="1">
        <f t="array" ref="N80">INDEX(tblPrices[cv_2019], MATCH(tblTencentUnits[[#This Row],[Products]],tblPrices[Products],0), 0)* tblTencentUnits[[#This Row],[cv_2019]]/10^6</f>
        <v>0</v>
      </c>
      <c r="O80" s="62" cm="1">
        <f t="array" ref="O80">INDEX(tblPrices[cv_2020], MATCH(tblTencentUnits[[#This Row],[Products]],tblPrices[Products],0), 0)* tblTencentUnits[[#This Row],[cv_2020]]/10^6</f>
        <v>0</v>
      </c>
      <c r="P80" s="62" cm="1">
        <f t="array" ref="P80">INDEX(tblPrices[cv_2021], MATCH(tblTencentUnits[[#This Row],[Products]],tblPrices[Products],0), 0)* tblTencentUnits[[#This Row],[cv_2021]]/10^6</f>
        <v>0</v>
      </c>
      <c r="Q80" s="62" cm="1">
        <f t="array" ref="Q80">INDEX(tblPrices[cv_2022], MATCH(tblTencentUnits[[#This Row],[Products]],tblPrices[Products],0), 0)* tblTencentUnits[[#This Row],[cv_2022]]/10^6</f>
        <v>0</v>
      </c>
      <c r="R80" s="62" cm="1">
        <f t="array" ref="R80">INDEX(tblPrices[cv_2023], MATCH(tblTencentUnits[[#This Row],[Products]],tblPrices[Products],0), 0)* tblTencentUnits[[#This Row],[cv_2023]]/10^6</f>
        <v>0</v>
      </c>
      <c r="S80" s="62" cm="1">
        <f t="array" ref="S80">INDEX(tblPrices[cv_2024], MATCH(tblTencentUnits[[#This Row],[Products]],tblPrices[Products],0), 0)* tblTencentUnits[[#This Row],[cv_2024]]/10^6</f>
        <v>0</v>
      </c>
      <c r="T80" s="62" cm="1">
        <f t="array" ref="T80">INDEX(tblPrices[cv_2025], MATCH(tblTencentUnits[[#This Row],[Products]],tblPrices[Products],0), 0)* tblTencentUnits[[#This Row],[cv_2025]]/10^6</f>
        <v>0</v>
      </c>
      <c r="U80" s="62" cm="1">
        <f t="array" ref="U80">INDEX(tblPrices[cv_2026], MATCH(tblTencentUnits[[#This Row],[Products]],tblPrices[Products],0), 0)* tblTencentUnits[[#This Row],[cv_2026]]/10^6</f>
        <v>0</v>
      </c>
      <c r="V80" s="62" cm="1">
        <f t="array" ref="V80">INDEX(tblPrices[cv_2027], MATCH(tblTencentUnits[[#This Row],[Products]],tblPrices[Products],0), 0)* tblTencentUnits[[#This Row],[cv_2027]]/10^6</f>
        <v>0</v>
      </c>
      <c r="W80" s="62" cm="1">
        <f t="array" ref="W80">INDEX(tblPrices[cv_2028], MATCH(tblTencentUnits[[#This Row],[Products]],tblPrices[Products],0), 0)* tblTencentUnits[[#This Row],[cv_2028]]/10^6</f>
        <v>0</v>
      </c>
      <c r="X80" s="1">
        <f>VLOOKUP(A80,Products!$A$29:$F$110,6,FALSE)</f>
        <v>200</v>
      </c>
    </row>
    <row r="81" spans="1:24">
      <c r="A81" s="15" t="s">
        <v>31</v>
      </c>
      <c r="B81" s="8">
        <v>0</v>
      </c>
      <c r="C81" s="8">
        <v>0</v>
      </c>
      <c r="D81" s="8"/>
      <c r="E81" s="8"/>
      <c r="F81" s="8"/>
      <c r="G81" s="8"/>
      <c r="H81" s="8"/>
      <c r="I81" s="8"/>
      <c r="J81" s="8"/>
      <c r="K81" s="8"/>
      <c r="L81" s="8"/>
      <c r="M81" s="62" cm="1">
        <f t="array" ref="M81">INDEX(tblPrices[cv_2018], MATCH(tblTencentUnits[[#This Row],[Products]],tblPrices[Products],0), 0)* tblTencentUnits[[#This Row],[cv_2018]]/10^6</f>
        <v>0</v>
      </c>
      <c r="N81" s="62" cm="1">
        <f t="array" ref="N81">INDEX(tblPrices[cv_2019], MATCH(tblTencentUnits[[#This Row],[Products]],tblPrices[Products],0), 0)* tblTencentUnits[[#This Row],[cv_2019]]/10^6</f>
        <v>0</v>
      </c>
      <c r="O81" s="62" cm="1">
        <f t="array" ref="O81">INDEX(tblPrices[cv_2020], MATCH(tblTencentUnits[[#This Row],[Products]],tblPrices[Products],0), 0)* tblTencentUnits[[#This Row],[cv_2020]]/10^6</f>
        <v>0</v>
      </c>
      <c r="P81" s="62" cm="1">
        <f t="array" ref="P81">INDEX(tblPrices[cv_2021], MATCH(tblTencentUnits[[#This Row],[Products]],tblPrices[Products],0), 0)* tblTencentUnits[[#This Row],[cv_2021]]/10^6</f>
        <v>0</v>
      </c>
      <c r="Q81" s="62" cm="1">
        <f t="array" ref="Q81">INDEX(tblPrices[cv_2022], MATCH(tblTencentUnits[[#This Row],[Products]],tblPrices[Products],0), 0)* tblTencentUnits[[#This Row],[cv_2022]]/10^6</f>
        <v>0</v>
      </c>
      <c r="R81" s="62" cm="1">
        <f t="array" ref="R81">INDEX(tblPrices[cv_2023], MATCH(tblTencentUnits[[#This Row],[Products]],tblPrices[Products],0), 0)* tblTencentUnits[[#This Row],[cv_2023]]/10^6</f>
        <v>0</v>
      </c>
      <c r="S81" s="62" cm="1">
        <f t="array" ref="S81">INDEX(tblPrices[cv_2024], MATCH(tblTencentUnits[[#This Row],[Products]],tblPrices[Products],0), 0)* tblTencentUnits[[#This Row],[cv_2024]]/10^6</f>
        <v>0</v>
      </c>
      <c r="T81" s="62" cm="1">
        <f t="array" ref="T81">INDEX(tblPrices[cv_2025], MATCH(tblTencentUnits[[#This Row],[Products]],tblPrices[Products],0), 0)* tblTencentUnits[[#This Row],[cv_2025]]/10^6</f>
        <v>0</v>
      </c>
      <c r="U81" s="62" cm="1">
        <f t="array" ref="U81">INDEX(tblPrices[cv_2026], MATCH(tblTencentUnits[[#This Row],[Products]],tblPrices[Products],0), 0)* tblTencentUnits[[#This Row],[cv_2026]]/10^6</f>
        <v>0</v>
      </c>
      <c r="V81" s="62" cm="1">
        <f t="array" ref="V81">INDEX(tblPrices[cv_2027], MATCH(tblTencentUnits[[#This Row],[Products]],tblPrices[Products],0), 0)* tblTencentUnits[[#This Row],[cv_2027]]/10^6</f>
        <v>0</v>
      </c>
      <c r="W81" s="62" cm="1">
        <f t="array" ref="W81">INDEX(tblPrices[cv_2028], MATCH(tblTencentUnits[[#This Row],[Products]],tblPrices[Products],0), 0)* tblTencentUnits[[#This Row],[cv_2028]]/10^6</f>
        <v>0</v>
      </c>
      <c r="X81" s="1">
        <f>VLOOKUP(A81,Products!$A$29:$F$110,6,FALSE)</f>
        <v>400</v>
      </c>
    </row>
    <row r="82" spans="1:24">
      <c r="A82" s="15" t="s">
        <v>32</v>
      </c>
      <c r="B82" s="8">
        <v>0</v>
      </c>
      <c r="C82" s="8">
        <v>0</v>
      </c>
      <c r="D82" s="8"/>
      <c r="E82" s="8"/>
      <c r="F82" s="8"/>
      <c r="G82" s="8"/>
      <c r="H82" s="8"/>
      <c r="I82" s="8"/>
      <c r="J82" s="8"/>
      <c r="K82" s="8"/>
      <c r="L82" s="8"/>
      <c r="M82" s="62" cm="1">
        <f t="array" ref="M82">INDEX(tblPrices[cv_2018], MATCH(tblTencentUnits[[#This Row],[Products]],tblPrices[Products],0), 0)* tblTencentUnits[[#This Row],[cv_2018]]/10^6</f>
        <v>0</v>
      </c>
      <c r="N82" s="62" cm="1">
        <f t="array" ref="N82">INDEX(tblPrices[cv_2019], MATCH(tblTencentUnits[[#This Row],[Products]],tblPrices[Products],0), 0)* tblTencentUnits[[#This Row],[cv_2019]]/10^6</f>
        <v>0</v>
      </c>
      <c r="O82" s="62" cm="1">
        <f t="array" ref="O82">INDEX(tblPrices[cv_2020], MATCH(tblTencentUnits[[#This Row],[Products]],tblPrices[Products],0), 0)* tblTencentUnits[[#This Row],[cv_2020]]/10^6</f>
        <v>0</v>
      </c>
      <c r="P82" s="62" cm="1">
        <f t="array" ref="P82">INDEX(tblPrices[cv_2021], MATCH(tblTencentUnits[[#This Row],[Products]],tblPrices[Products],0), 0)* tblTencentUnits[[#This Row],[cv_2021]]/10^6</f>
        <v>0</v>
      </c>
      <c r="Q82" s="62" cm="1">
        <f t="array" ref="Q82">INDEX(tblPrices[cv_2022], MATCH(tblTencentUnits[[#This Row],[Products]],tblPrices[Products],0), 0)* tblTencentUnits[[#This Row],[cv_2022]]/10^6</f>
        <v>0</v>
      </c>
      <c r="R82" s="62" cm="1">
        <f t="array" ref="R82">INDEX(tblPrices[cv_2023], MATCH(tblTencentUnits[[#This Row],[Products]],tblPrices[Products],0), 0)* tblTencentUnits[[#This Row],[cv_2023]]/10^6</f>
        <v>0</v>
      </c>
      <c r="S82" s="62" cm="1">
        <f t="array" ref="S82">INDEX(tblPrices[cv_2024], MATCH(tblTencentUnits[[#This Row],[Products]],tblPrices[Products],0), 0)* tblTencentUnits[[#This Row],[cv_2024]]/10^6</f>
        <v>0</v>
      </c>
      <c r="T82" s="62" cm="1">
        <f t="array" ref="T82">INDEX(tblPrices[cv_2025], MATCH(tblTencentUnits[[#This Row],[Products]],tblPrices[Products],0), 0)* tblTencentUnits[[#This Row],[cv_2025]]/10^6</f>
        <v>0</v>
      </c>
      <c r="U82" s="62" cm="1">
        <f t="array" ref="U82">INDEX(tblPrices[cv_2026], MATCH(tblTencentUnits[[#This Row],[Products]],tblPrices[Products],0), 0)* tblTencentUnits[[#This Row],[cv_2026]]/10^6</f>
        <v>0</v>
      </c>
      <c r="V82" s="62" cm="1">
        <f t="array" ref="V82">INDEX(tblPrices[cv_2027], MATCH(tblTencentUnits[[#This Row],[Products]],tblPrices[Products],0), 0)* tblTencentUnits[[#This Row],[cv_2027]]/10^6</f>
        <v>0</v>
      </c>
      <c r="W82" s="62" cm="1">
        <f t="array" ref="W82">INDEX(tblPrices[cv_2028], MATCH(tblTencentUnits[[#This Row],[Products]],tblPrices[Products],0), 0)* tblTencentUnits[[#This Row],[cv_2028]]/10^6</f>
        <v>0</v>
      </c>
      <c r="X82" s="1">
        <f>VLOOKUP(A82,Products!$A$29:$F$110,6,FALSE)</f>
        <v>400</v>
      </c>
    </row>
    <row r="83" spans="1:24">
      <c r="A83" s="15" t="s">
        <v>33</v>
      </c>
      <c r="B83" s="8">
        <v>0</v>
      </c>
      <c r="C83" s="8">
        <v>0</v>
      </c>
      <c r="D83" s="8"/>
      <c r="E83" s="8"/>
      <c r="F83" s="8"/>
      <c r="G83" s="8"/>
      <c r="H83" s="8"/>
      <c r="I83" s="8"/>
      <c r="J83" s="8"/>
      <c r="K83" s="8"/>
      <c r="L83" s="8"/>
      <c r="M83" s="62" cm="1">
        <f t="array" ref="M83">INDEX(tblPrices[cv_2018], MATCH(tblTencentUnits[[#This Row],[Products]],tblPrices[Products],0), 0)* tblTencentUnits[[#This Row],[cv_2018]]/10^6</f>
        <v>0</v>
      </c>
      <c r="N83" s="62" cm="1">
        <f t="array" ref="N83">INDEX(tblPrices[cv_2019], MATCH(tblTencentUnits[[#This Row],[Products]],tblPrices[Products],0), 0)* tblTencentUnits[[#This Row],[cv_2019]]/10^6</f>
        <v>0</v>
      </c>
      <c r="O83" s="62" cm="1">
        <f t="array" ref="O83">INDEX(tblPrices[cv_2020], MATCH(tblTencentUnits[[#This Row],[Products]],tblPrices[Products],0), 0)* tblTencentUnits[[#This Row],[cv_2020]]/10^6</f>
        <v>0</v>
      </c>
      <c r="P83" s="62" cm="1">
        <f t="array" ref="P83">INDEX(tblPrices[cv_2021], MATCH(tblTencentUnits[[#This Row],[Products]],tblPrices[Products],0), 0)* tblTencentUnits[[#This Row],[cv_2021]]/10^6</f>
        <v>0</v>
      </c>
      <c r="Q83" s="62" cm="1">
        <f t="array" ref="Q83">INDEX(tblPrices[cv_2022], MATCH(tblTencentUnits[[#This Row],[Products]],tblPrices[Products],0), 0)* tblTencentUnits[[#This Row],[cv_2022]]/10^6</f>
        <v>0</v>
      </c>
      <c r="R83" s="62" cm="1">
        <f t="array" ref="R83">INDEX(tblPrices[cv_2023], MATCH(tblTencentUnits[[#This Row],[Products]],tblPrices[Products],0), 0)* tblTencentUnits[[#This Row],[cv_2023]]/10^6</f>
        <v>0</v>
      </c>
      <c r="S83" s="62" cm="1">
        <f t="array" ref="S83">INDEX(tblPrices[cv_2024], MATCH(tblTencentUnits[[#This Row],[Products]],tblPrices[Products],0), 0)* tblTencentUnits[[#This Row],[cv_2024]]/10^6</f>
        <v>0</v>
      </c>
      <c r="T83" s="62" cm="1">
        <f t="array" ref="T83">INDEX(tblPrices[cv_2025], MATCH(tblTencentUnits[[#This Row],[Products]],tblPrices[Products],0), 0)* tblTencentUnits[[#This Row],[cv_2025]]/10^6</f>
        <v>0</v>
      </c>
      <c r="U83" s="62" cm="1">
        <f t="array" ref="U83">INDEX(tblPrices[cv_2026], MATCH(tblTencentUnits[[#This Row],[Products]],tblPrices[Products],0), 0)* tblTencentUnits[[#This Row],[cv_2026]]/10^6</f>
        <v>0</v>
      </c>
      <c r="V83" s="62" cm="1">
        <f t="array" ref="V83">INDEX(tblPrices[cv_2027], MATCH(tblTencentUnits[[#This Row],[Products]],tblPrices[Products],0), 0)* tblTencentUnits[[#This Row],[cv_2027]]/10^6</f>
        <v>0</v>
      </c>
      <c r="W83" s="62" cm="1">
        <f t="array" ref="W83">INDEX(tblPrices[cv_2028], MATCH(tblTencentUnits[[#This Row],[Products]],tblPrices[Products],0), 0)* tblTencentUnits[[#This Row],[cv_2028]]/10^6</f>
        <v>0</v>
      </c>
      <c r="X83" s="1">
        <f>VLOOKUP(A83,Products!$A$29:$F$110,6,FALSE)</f>
        <v>400</v>
      </c>
    </row>
    <row r="84" spans="1:24">
      <c r="A84" s="15" t="s">
        <v>34</v>
      </c>
      <c r="B84" s="8">
        <v>0</v>
      </c>
      <c r="C84" s="8">
        <v>0</v>
      </c>
      <c r="D84" s="8"/>
      <c r="E84" s="8"/>
      <c r="F84" s="8"/>
      <c r="G84" s="8"/>
      <c r="H84" s="8"/>
      <c r="I84" s="8"/>
      <c r="J84" s="8"/>
      <c r="K84" s="8"/>
      <c r="L84" s="8"/>
      <c r="M84" s="62" cm="1">
        <f t="array" ref="M84">INDEX(tblPrices[cv_2018], MATCH(tblTencentUnits[[#This Row],[Products]],tblPrices[Products],0), 0)* tblTencentUnits[[#This Row],[cv_2018]]/10^6</f>
        <v>0</v>
      </c>
      <c r="N84" s="62" cm="1">
        <f t="array" ref="N84">INDEX(tblPrices[cv_2019], MATCH(tblTencentUnits[[#This Row],[Products]],tblPrices[Products],0), 0)* tblTencentUnits[[#This Row],[cv_2019]]/10^6</f>
        <v>0</v>
      </c>
      <c r="O84" s="62" cm="1">
        <f t="array" ref="O84">INDEX(tblPrices[cv_2020], MATCH(tblTencentUnits[[#This Row],[Products]],tblPrices[Products],0), 0)* tblTencentUnits[[#This Row],[cv_2020]]/10^6</f>
        <v>0</v>
      </c>
      <c r="P84" s="62" cm="1">
        <f t="array" ref="P84">INDEX(tblPrices[cv_2021], MATCH(tblTencentUnits[[#This Row],[Products]],tblPrices[Products],0), 0)* tblTencentUnits[[#This Row],[cv_2021]]/10^6</f>
        <v>0</v>
      </c>
      <c r="Q84" s="62" cm="1">
        <f t="array" ref="Q84">INDEX(tblPrices[cv_2022], MATCH(tblTencentUnits[[#This Row],[Products]],tblPrices[Products],0), 0)* tblTencentUnits[[#This Row],[cv_2022]]/10^6</f>
        <v>0</v>
      </c>
      <c r="R84" s="62" cm="1">
        <f t="array" ref="R84">INDEX(tblPrices[cv_2023], MATCH(tblTencentUnits[[#This Row],[Products]],tblPrices[Products],0), 0)* tblTencentUnits[[#This Row],[cv_2023]]/10^6</f>
        <v>0</v>
      </c>
      <c r="S84" s="62" cm="1">
        <f t="array" ref="S84">INDEX(tblPrices[cv_2024], MATCH(tblTencentUnits[[#This Row],[Products]],tblPrices[Products],0), 0)* tblTencentUnits[[#This Row],[cv_2024]]/10^6</f>
        <v>0</v>
      </c>
      <c r="T84" s="62" cm="1">
        <f t="array" ref="T84">INDEX(tblPrices[cv_2025], MATCH(tblTencentUnits[[#This Row],[Products]],tblPrices[Products],0), 0)* tblTencentUnits[[#This Row],[cv_2025]]/10^6</f>
        <v>0</v>
      </c>
      <c r="U84" s="62" cm="1">
        <f t="array" ref="U84">INDEX(tblPrices[cv_2026], MATCH(tblTencentUnits[[#This Row],[Products]],tblPrices[Products],0), 0)* tblTencentUnits[[#This Row],[cv_2026]]/10^6</f>
        <v>0</v>
      </c>
      <c r="V84" s="62" cm="1">
        <f t="array" ref="V84">INDEX(tblPrices[cv_2027], MATCH(tblTencentUnits[[#This Row],[Products]],tblPrices[Products],0), 0)* tblTencentUnits[[#This Row],[cv_2027]]/10^6</f>
        <v>0</v>
      </c>
      <c r="W84" s="62" cm="1">
        <f t="array" ref="W84">INDEX(tblPrices[cv_2028], MATCH(tblTencentUnits[[#This Row],[Products]],tblPrices[Products],0), 0)* tblTencentUnits[[#This Row],[cv_2028]]/10^6</f>
        <v>0</v>
      </c>
      <c r="X84" s="1">
        <f>VLOOKUP(A84,Products!$A$29:$F$110,6,FALSE)</f>
        <v>400</v>
      </c>
    </row>
    <row r="85" spans="1:24">
      <c r="A85" s="15" t="s">
        <v>35</v>
      </c>
      <c r="B85" s="8">
        <v>0</v>
      </c>
      <c r="C85" s="8">
        <v>0</v>
      </c>
      <c r="D85" s="8"/>
      <c r="E85" s="8"/>
      <c r="F85" s="8"/>
      <c r="G85" s="8"/>
      <c r="H85" s="8"/>
      <c r="I85" s="8"/>
      <c r="J85" s="8"/>
      <c r="K85" s="8"/>
      <c r="L85" s="8"/>
      <c r="M85" s="62" cm="1">
        <f t="array" ref="M85">INDEX(tblPrices[cv_2018], MATCH(tblTencentUnits[[#This Row],[Products]],tblPrices[Products],0), 0)* tblTencentUnits[[#This Row],[cv_2018]]/10^6</f>
        <v>0</v>
      </c>
      <c r="N85" s="62" cm="1">
        <f t="array" ref="N85">INDEX(tblPrices[cv_2019], MATCH(tblTencentUnits[[#This Row],[Products]],tblPrices[Products],0), 0)* tblTencentUnits[[#This Row],[cv_2019]]/10^6</f>
        <v>0</v>
      </c>
      <c r="O85" s="62" cm="1">
        <f t="array" ref="O85">INDEX(tblPrices[cv_2020], MATCH(tblTencentUnits[[#This Row],[Products]],tblPrices[Products],0), 0)* tblTencentUnits[[#This Row],[cv_2020]]/10^6</f>
        <v>0</v>
      </c>
      <c r="P85" s="62" cm="1">
        <f t="array" ref="P85">INDEX(tblPrices[cv_2021], MATCH(tblTencentUnits[[#This Row],[Products]],tblPrices[Products],0), 0)* tblTencentUnits[[#This Row],[cv_2021]]/10^6</f>
        <v>0</v>
      </c>
      <c r="Q85" s="62" cm="1">
        <f t="array" ref="Q85">INDEX(tblPrices[cv_2022], MATCH(tblTencentUnits[[#This Row],[Products]],tblPrices[Products],0), 0)* tblTencentUnits[[#This Row],[cv_2022]]/10^6</f>
        <v>0</v>
      </c>
      <c r="R85" s="62" cm="1">
        <f t="array" ref="R85">INDEX(tblPrices[cv_2023], MATCH(tblTencentUnits[[#This Row],[Products]],tblPrices[Products],0), 0)* tblTencentUnits[[#This Row],[cv_2023]]/10^6</f>
        <v>0</v>
      </c>
      <c r="S85" s="62" cm="1">
        <f t="array" ref="S85">INDEX(tblPrices[cv_2024], MATCH(tblTencentUnits[[#This Row],[Products]],tblPrices[Products],0), 0)* tblTencentUnits[[#This Row],[cv_2024]]/10^6</f>
        <v>0</v>
      </c>
      <c r="T85" s="62" cm="1">
        <f t="array" ref="T85">INDEX(tblPrices[cv_2025], MATCH(tblTencentUnits[[#This Row],[Products]],tblPrices[Products],0), 0)* tblTencentUnits[[#This Row],[cv_2025]]/10^6</f>
        <v>0</v>
      </c>
      <c r="U85" s="62" cm="1">
        <f t="array" ref="U85">INDEX(tblPrices[cv_2026], MATCH(tblTencentUnits[[#This Row],[Products]],tblPrices[Products],0), 0)* tblTencentUnits[[#This Row],[cv_2026]]/10^6</f>
        <v>0</v>
      </c>
      <c r="V85" s="62" cm="1">
        <f t="array" ref="V85">INDEX(tblPrices[cv_2027], MATCH(tblTencentUnits[[#This Row],[Products]],tblPrices[Products],0), 0)* tblTencentUnits[[#This Row],[cv_2027]]/10^6</f>
        <v>0</v>
      </c>
      <c r="W85" s="62" cm="1">
        <f t="array" ref="W85">INDEX(tblPrices[cv_2028], MATCH(tblTencentUnits[[#This Row],[Products]],tblPrices[Products],0), 0)* tblTencentUnits[[#This Row],[cv_2028]]/10^6</f>
        <v>0</v>
      </c>
      <c r="X85" s="1">
        <f>VLOOKUP(A85,Products!$A$29:$F$110,6,FALSE)</f>
        <v>600</v>
      </c>
    </row>
    <row r="86" spans="1:24">
      <c r="A86" s="15" t="s">
        <v>36</v>
      </c>
      <c r="B86" s="8">
        <v>0</v>
      </c>
      <c r="C86" s="8">
        <v>0</v>
      </c>
      <c r="D86" s="8"/>
      <c r="E86" s="8"/>
      <c r="F86" s="8"/>
      <c r="G86" s="8"/>
      <c r="H86" s="8"/>
      <c r="I86" s="8"/>
      <c r="J86" s="8"/>
      <c r="K86" s="8"/>
      <c r="L86" s="8"/>
      <c r="M86" s="62" cm="1">
        <f t="array" ref="M86">INDEX(tblPrices[cv_2018], MATCH(tblTencentUnits[[#This Row],[Products]],tblPrices[Products],0), 0)* tblTencentUnits[[#This Row],[cv_2018]]/10^6</f>
        <v>0</v>
      </c>
      <c r="N86" s="62" cm="1">
        <f t="array" ref="N86">INDEX(tblPrices[cv_2019], MATCH(tblTencentUnits[[#This Row],[Products]],tblPrices[Products],0), 0)* tblTencentUnits[[#This Row],[cv_2019]]/10^6</f>
        <v>0</v>
      </c>
      <c r="O86" s="62" cm="1">
        <f t="array" ref="O86">INDEX(tblPrices[cv_2020], MATCH(tblTencentUnits[[#This Row],[Products]],tblPrices[Products],0), 0)* tblTencentUnits[[#This Row],[cv_2020]]/10^6</f>
        <v>0</v>
      </c>
      <c r="P86" s="62" cm="1">
        <f t="array" ref="P86">INDEX(tblPrices[cv_2021], MATCH(tblTencentUnits[[#This Row],[Products]],tblPrices[Products],0), 0)* tblTencentUnits[[#This Row],[cv_2021]]/10^6</f>
        <v>0</v>
      </c>
      <c r="Q86" s="62" cm="1">
        <f t="array" ref="Q86">INDEX(tblPrices[cv_2022], MATCH(tblTencentUnits[[#This Row],[Products]],tblPrices[Products],0), 0)* tblTencentUnits[[#This Row],[cv_2022]]/10^6</f>
        <v>0</v>
      </c>
      <c r="R86" s="62" cm="1">
        <f t="array" ref="R86">INDEX(tblPrices[cv_2023], MATCH(tblTencentUnits[[#This Row],[Products]],tblPrices[Products],0), 0)* tblTencentUnits[[#This Row],[cv_2023]]/10^6</f>
        <v>0</v>
      </c>
      <c r="S86" s="62" cm="1">
        <f t="array" ref="S86">INDEX(tblPrices[cv_2024], MATCH(tblTencentUnits[[#This Row],[Products]],tblPrices[Products],0), 0)* tblTencentUnits[[#This Row],[cv_2024]]/10^6</f>
        <v>0</v>
      </c>
      <c r="T86" s="62" cm="1">
        <f t="array" ref="T86">INDEX(tblPrices[cv_2025], MATCH(tblTencentUnits[[#This Row],[Products]],tblPrices[Products],0), 0)* tblTencentUnits[[#This Row],[cv_2025]]/10^6</f>
        <v>0</v>
      </c>
      <c r="U86" s="62" cm="1">
        <f t="array" ref="U86">INDEX(tblPrices[cv_2026], MATCH(tblTencentUnits[[#This Row],[Products]],tblPrices[Products],0), 0)* tblTencentUnits[[#This Row],[cv_2026]]/10^6</f>
        <v>0</v>
      </c>
      <c r="V86" s="62" cm="1">
        <f t="array" ref="V86">INDEX(tblPrices[cv_2027], MATCH(tblTencentUnits[[#This Row],[Products]],tblPrices[Products],0), 0)* tblTencentUnits[[#This Row],[cv_2027]]/10^6</f>
        <v>0</v>
      </c>
      <c r="W86" s="62" cm="1">
        <f t="array" ref="W86">INDEX(tblPrices[cv_2028], MATCH(tblTencentUnits[[#This Row],[Products]],tblPrices[Products],0), 0)* tblTencentUnits[[#This Row],[cv_2028]]/10^6</f>
        <v>0</v>
      </c>
      <c r="X86" s="1">
        <f>VLOOKUP(A86,Products!$A$29:$F$110,6,FALSE)</f>
        <v>800</v>
      </c>
    </row>
    <row r="87" spans="1:24">
      <c r="A87" s="15" t="s">
        <v>37</v>
      </c>
      <c r="B87" s="8">
        <v>0</v>
      </c>
      <c r="C87" s="8">
        <v>0</v>
      </c>
      <c r="D87" s="8"/>
      <c r="E87" s="8"/>
      <c r="F87" s="8"/>
      <c r="G87" s="8"/>
      <c r="H87" s="8"/>
      <c r="I87" s="8"/>
      <c r="J87" s="8"/>
      <c r="K87" s="8"/>
      <c r="L87" s="8"/>
      <c r="M87" s="62" cm="1">
        <f t="array" ref="M87">INDEX(tblPrices[cv_2018], MATCH(tblTencentUnits[[#This Row],[Products]],tblPrices[Products],0), 0)* tblTencentUnits[[#This Row],[cv_2018]]/10^6</f>
        <v>0</v>
      </c>
      <c r="N87" s="62" cm="1">
        <f t="array" ref="N87">INDEX(tblPrices[cv_2019], MATCH(tblTencentUnits[[#This Row],[Products]],tblPrices[Products],0), 0)* tblTencentUnits[[#This Row],[cv_2019]]/10^6</f>
        <v>0</v>
      </c>
      <c r="O87" s="62" cm="1">
        <f t="array" ref="O87">INDEX(tblPrices[cv_2020], MATCH(tblTencentUnits[[#This Row],[Products]],tblPrices[Products],0), 0)* tblTencentUnits[[#This Row],[cv_2020]]/10^6</f>
        <v>0</v>
      </c>
      <c r="P87" s="62" cm="1">
        <f t="array" ref="P87">INDEX(tblPrices[cv_2021], MATCH(tblTencentUnits[[#This Row],[Products]],tblPrices[Products],0), 0)* tblTencentUnits[[#This Row],[cv_2021]]/10^6</f>
        <v>0</v>
      </c>
      <c r="Q87" s="62" cm="1">
        <f t="array" ref="Q87">INDEX(tblPrices[cv_2022], MATCH(tblTencentUnits[[#This Row],[Products]],tblPrices[Products],0), 0)* tblTencentUnits[[#This Row],[cv_2022]]/10^6</f>
        <v>0</v>
      </c>
      <c r="R87" s="62" cm="1">
        <f t="array" ref="R87">INDEX(tblPrices[cv_2023], MATCH(tblTencentUnits[[#This Row],[Products]],tblPrices[Products],0), 0)* tblTencentUnits[[#This Row],[cv_2023]]/10^6</f>
        <v>0</v>
      </c>
      <c r="S87" s="62" cm="1">
        <f t="array" ref="S87">INDEX(tblPrices[cv_2024], MATCH(tblTencentUnits[[#This Row],[Products]],tblPrices[Products],0), 0)* tblTencentUnits[[#This Row],[cv_2024]]/10^6</f>
        <v>0</v>
      </c>
      <c r="T87" s="62" cm="1">
        <f t="array" ref="T87">INDEX(tblPrices[cv_2025], MATCH(tblTencentUnits[[#This Row],[Products]],tblPrices[Products],0), 0)* tblTencentUnits[[#This Row],[cv_2025]]/10^6</f>
        <v>0</v>
      </c>
      <c r="U87" s="62" cm="1">
        <f t="array" ref="U87">INDEX(tblPrices[cv_2026], MATCH(tblTencentUnits[[#This Row],[Products]],tblPrices[Products],0), 0)* tblTencentUnits[[#This Row],[cv_2026]]/10^6</f>
        <v>0</v>
      </c>
      <c r="V87" s="62" cm="1">
        <f t="array" ref="V87">INDEX(tblPrices[cv_2027], MATCH(tblTencentUnits[[#This Row],[Products]],tblPrices[Products],0), 0)* tblTencentUnits[[#This Row],[cv_2027]]/10^6</f>
        <v>0</v>
      </c>
      <c r="W87" s="62" cm="1">
        <f t="array" ref="W87">INDEX(tblPrices[cv_2028], MATCH(tblTencentUnits[[#This Row],[Products]],tblPrices[Products],0), 0)* tblTencentUnits[[#This Row],[cv_2028]]/10^6</f>
        <v>0</v>
      </c>
      <c r="X87" s="1">
        <f>VLOOKUP(A87,Products!$A$29:$F$110,6,FALSE)</f>
        <v>800</v>
      </c>
    </row>
    <row r="88" spans="1:24">
      <c r="A88" s="15" t="s">
        <v>38</v>
      </c>
      <c r="B88" s="8">
        <v>0</v>
      </c>
      <c r="C88" s="8">
        <v>0</v>
      </c>
      <c r="D88" s="8"/>
      <c r="E88" s="8"/>
      <c r="F88" s="8"/>
      <c r="G88" s="8"/>
      <c r="H88" s="8"/>
      <c r="I88" s="8"/>
      <c r="J88" s="8"/>
      <c r="K88" s="8"/>
      <c r="L88" s="8"/>
      <c r="M88" s="62" cm="1">
        <f t="array" ref="M88">INDEX(tblPrices[cv_2018], MATCH(tblTencentUnits[[#This Row],[Products]],tblPrices[Products],0), 0)* tblTencentUnits[[#This Row],[cv_2018]]/10^6</f>
        <v>0</v>
      </c>
      <c r="N88" s="62" cm="1">
        <f t="array" ref="N88">INDEX(tblPrices[cv_2019], MATCH(tblTencentUnits[[#This Row],[Products]],tblPrices[Products],0), 0)* tblTencentUnits[[#This Row],[cv_2019]]/10^6</f>
        <v>0</v>
      </c>
      <c r="O88" s="62" cm="1">
        <f t="array" ref="O88">INDEX(tblPrices[cv_2020], MATCH(tblTencentUnits[[#This Row],[Products]],tblPrices[Products],0), 0)* tblTencentUnits[[#This Row],[cv_2020]]/10^6</f>
        <v>0</v>
      </c>
      <c r="P88" s="62" cm="1">
        <f t="array" ref="P88">INDEX(tblPrices[cv_2021], MATCH(tblTencentUnits[[#This Row],[Products]],tblPrices[Products],0), 0)* tblTencentUnits[[#This Row],[cv_2021]]/10^6</f>
        <v>0</v>
      </c>
      <c r="Q88" s="62" cm="1">
        <f t="array" ref="Q88">INDEX(tblPrices[cv_2022], MATCH(tblTencentUnits[[#This Row],[Products]],tblPrices[Products],0), 0)* tblTencentUnits[[#This Row],[cv_2022]]/10^6</f>
        <v>0</v>
      </c>
      <c r="R88" s="62" cm="1">
        <f t="array" ref="R88">INDEX(tblPrices[cv_2023], MATCH(tblTencentUnits[[#This Row],[Products]],tblPrices[Products],0), 0)* tblTencentUnits[[#This Row],[cv_2023]]/10^6</f>
        <v>0</v>
      </c>
      <c r="S88" s="62" cm="1">
        <f t="array" ref="S88">INDEX(tblPrices[cv_2024], MATCH(tblTencentUnits[[#This Row],[Products]],tblPrices[Products],0), 0)* tblTencentUnits[[#This Row],[cv_2024]]/10^6</f>
        <v>0</v>
      </c>
      <c r="T88" s="62" cm="1">
        <f t="array" ref="T88">INDEX(tblPrices[cv_2025], MATCH(tblTencentUnits[[#This Row],[Products]],tblPrices[Products],0), 0)* tblTencentUnits[[#This Row],[cv_2025]]/10^6</f>
        <v>0</v>
      </c>
      <c r="U88" s="62" cm="1">
        <f t="array" ref="U88">INDEX(tblPrices[cv_2026], MATCH(tblTencentUnits[[#This Row],[Products]],tblPrices[Products],0), 0)* tblTencentUnits[[#This Row],[cv_2026]]/10^6</f>
        <v>0</v>
      </c>
      <c r="V88" s="62" cm="1">
        <f t="array" ref="V88">INDEX(tblPrices[cv_2027], MATCH(tblTencentUnits[[#This Row],[Products]],tblPrices[Products],0), 0)* tblTencentUnits[[#This Row],[cv_2027]]/10^6</f>
        <v>0</v>
      </c>
      <c r="W88" s="62" cm="1">
        <f t="array" ref="W88">INDEX(tblPrices[cv_2028], MATCH(tblTencentUnits[[#This Row],[Products]],tblPrices[Products],0), 0)* tblTencentUnits[[#This Row],[cv_2028]]/10^6</f>
        <v>0</v>
      </c>
      <c r="X88" s="1">
        <f>VLOOKUP(A88,Products!$A$29:$F$110,6,FALSE)</f>
        <v>1200</v>
      </c>
    </row>
    <row r="89" spans="1:24">
      <c r="A89" s="15" t="s">
        <v>39</v>
      </c>
      <c r="B89" s="8">
        <v>0</v>
      </c>
      <c r="C89" s="8">
        <v>0</v>
      </c>
      <c r="D89" s="8"/>
      <c r="E89" s="8"/>
      <c r="F89" s="8"/>
      <c r="G89" s="8"/>
      <c r="H89" s="8"/>
      <c r="I89" s="8"/>
      <c r="J89" s="8"/>
      <c r="K89" s="8"/>
      <c r="L89" s="8"/>
      <c r="M89" s="62" cm="1">
        <f t="array" ref="M89">INDEX(tblPrices[cv_2018], MATCH(tblTencentUnits[[#This Row],[Products]],tblPrices[Products],0), 0)* tblTencentUnits[[#This Row],[cv_2018]]/10^6</f>
        <v>0</v>
      </c>
      <c r="N89" s="62" cm="1">
        <f t="array" ref="N89">INDEX(tblPrices[cv_2019], MATCH(tblTencentUnits[[#This Row],[Products]],tblPrices[Products],0), 0)* tblTencentUnits[[#This Row],[cv_2019]]/10^6</f>
        <v>0</v>
      </c>
      <c r="O89" s="62" cm="1">
        <f t="array" ref="O89">INDEX(tblPrices[cv_2020], MATCH(tblTencentUnits[[#This Row],[Products]],tblPrices[Products],0), 0)* tblTencentUnits[[#This Row],[cv_2020]]/10^6</f>
        <v>0</v>
      </c>
      <c r="P89" s="62" cm="1">
        <f t="array" ref="P89">INDEX(tblPrices[cv_2021], MATCH(tblTencentUnits[[#This Row],[Products]],tblPrices[Products],0), 0)* tblTencentUnits[[#This Row],[cv_2021]]/10^6</f>
        <v>0</v>
      </c>
      <c r="Q89" s="62" cm="1">
        <f t="array" ref="Q89">INDEX(tblPrices[cv_2022], MATCH(tblTencentUnits[[#This Row],[Products]],tblPrices[Products],0), 0)* tblTencentUnits[[#This Row],[cv_2022]]/10^6</f>
        <v>0</v>
      </c>
      <c r="R89" s="62" cm="1">
        <f t="array" ref="R89">INDEX(tblPrices[cv_2023], MATCH(tblTencentUnits[[#This Row],[Products]],tblPrices[Products],0), 0)* tblTencentUnits[[#This Row],[cv_2023]]/10^6</f>
        <v>0</v>
      </c>
      <c r="S89" s="62" cm="1">
        <f t="array" ref="S89">INDEX(tblPrices[cv_2024], MATCH(tblTencentUnits[[#This Row],[Products]],tblPrices[Products],0), 0)* tblTencentUnits[[#This Row],[cv_2024]]/10^6</f>
        <v>0</v>
      </c>
      <c r="T89" s="62" cm="1">
        <f t="array" ref="T89">INDEX(tblPrices[cv_2025], MATCH(tblTencentUnits[[#This Row],[Products]],tblPrices[Products],0), 0)* tblTencentUnits[[#This Row],[cv_2025]]/10^6</f>
        <v>0</v>
      </c>
      <c r="U89" s="62" cm="1">
        <f t="array" ref="U89">INDEX(tblPrices[cv_2026], MATCH(tblTencentUnits[[#This Row],[Products]],tblPrices[Products],0), 0)* tblTencentUnits[[#This Row],[cv_2026]]/10^6</f>
        <v>0</v>
      </c>
      <c r="V89" s="62" cm="1">
        <f t="array" ref="V89">INDEX(tblPrices[cv_2027], MATCH(tblTencentUnits[[#This Row],[Products]],tblPrices[Products],0), 0)* tblTencentUnits[[#This Row],[cv_2027]]/10^6</f>
        <v>0</v>
      </c>
      <c r="W89" s="62" cm="1">
        <f t="array" ref="W89">INDEX(tblPrices[cv_2028], MATCH(tblTencentUnits[[#This Row],[Products]],tblPrices[Products],0), 0)* tblTencentUnits[[#This Row],[cv_2028]]/10^6</f>
        <v>0</v>
      </c>
      <c r="X89" s="1">
        <f>VLOOKUP(A89,Products!$A$29:$F$110,6,FALSE)</f>
        <v>1600</v>
      </c>
    </row>
    <row r="90" spans="1:24">
      <c r="B90" s="2">
        <f t="shared" ref="B90:W90" si="0">SUM(B41:B89)</f>
        <v>451763.74048893817</v>
      </c>
      <c r="C90" s="2">
        <f t="shared" si="0"/>
        <v>526966.11980972602</v>
      </c>
      <c r="D90" s="2">
        <f t="shared" si="0"/>
        <v>0</v>
      </c>
      <c r="E90" s="2">
        <f t="shared" si="0"/>
        <v>0</v>
      </c>
      <c r="F90" s="2">
        <f t="shared" si="0"/>
        <v>0</v>
      </c>
      <c r="G90" s="2">
        <f t="shared" si="0"/>
        <v>0</v>
      </c>
      <c r="H90" s="2">
        <f t="shared" si="0"/>
        <v>0</v>
      </c>
      <c r="I90" s="2">
        <f t="shared" si="0"/>
        <v>0</v>
      </c>
      <c r="J90" s="2">
        <f t="shared" si="0"/>
        <v>0</v>
      </c>
      <c r="K90" s="2">
        <f t="shared" si="0"/>
        <v>0</v>
      </c>
      <c r="L90" s="2">
        <f t="shared" si="0"/>
        <v>0</v>
      </c>
      <c r="M90" s="63">
        <f t="shared" si="0"/>
        <v>85.956251560147379</v>
      </c>
      <c r="N90" s="63">
        <f t="shared" si="0"/>
        <v>87.969112818032997</v>
      </c>
      <c r="O90" s="63">
        <f t="shared" si="0"/>
        <v>0</v>
      </c>
      <c r="P90" s="63">
        <f t="shared" si="0"/>
        <v>0</v>
      </c>
      <c r="Q90" s="63">
        <f t="shared" si="0"/>
        <v>0</v>
      </c>
      <c r="R90" s="63">
        <f t="shared" si="0"/>
        <v>0</v>
      </c>
      <c r="S90" s="63">
        <f t="shared" si="0"/>
        <v>0</v>
      </c>
      <c r="T90" s="63">
        <f t="shared" si="0"/>
        <v>0</v>
      </c>
      <c r="U90" s="63">
        <f t="shared" si="0"/>
        <v>0</v>
      </c>
      <c r="V90" s="63">
        <f t="shared" si="0"/>
        <v>0</v>
      </c>
      <c r="W90" s="63">
        <f t="shared" si="0"/>
        <v>0</v>
      </c>
    </row>
    <row r="93" spans="1:24">
      <c r="A93" s="175" t="s">
        <v>431</v>
      </c>
      <c r="B93" s="68">
        <v>2018</v>
      </c>
      <c r="C93" s="50">
        <v>2019</v>
      </c>
      <c r="D93" s="50">
        <v>2020</v>
      </c>
      <c r="E93" s="50">
        <v>2021</v>
      </c>
      <c r="F93" s="50">
        <v>2022</v>
      </c>
      <c r="G93" s="50">
        <v>2023</v>
      </c>
      <c r="H93" s="50">
        <v>2024</v>
      </c>
      <c r="I93" s="50">
        <v>2025</v>
      </c>
      <c r="J93" s="50">
        <v>2026</v>
      </c>
      <c r="K93" s="50">
        <v>2027</v>
      </c>
      <c r="L93" s="50">
        <v>2028</v>
      </c>
      <c r="M93" s="68">
        <v>2018</v>
      </c>
      <c r="N93" s="50">
        <v>2019</v>
      </c>
      <c r="O93" s="50">
        <v>2020</v>
      </c>
      <c r="P93" s="50">
        <v>2021</v>
      </c>
      <c r="Q93" s="50">
        <v>2022</v>
      </c>
      <c r="R93" s="50">
        <v>2023</v>
      </c>
      <c r="S93" s="50">
        <v>2024</v>
      </c>
      <c r="T93" s="50">
        <v>2025</v>
      </c>
      <c r="U93" s="50">
        <v>2026</v>
      </c>
      <c r="V93" s="50">
        <v>2027</v>
      </c>
      <c r="W93" s="50">
        <v>2028</v>
      </c>
      <c r="X93" s="1"/>
    </row>
    <row r="94" spans="1:24">
      <c r="A94" s="65" t="s">
        <v>80</v>
      </c>
      <c r="B94" s="2">
        <f t="shared" ref="B94:W94" si="1">SUMIF($X$41:$X$70,40,B$41:B$70)</f>
        <v>250561.00874999998</v>
      </c>
      <c r="C94" s="2">
        <f t="shared" si="1"/>
        <v>190986.21519999998</v>
      </c>
      <c r="D94" s="2">
        <f t="shared" si="1"/>
        <v>0</v>
      </c>
      <c r="E94" s="2">
        <f t="shared" si="1"/>
        <v>0</v>
      </c>
      <c r="F94" s="2">
        <f t="shared" si="1"/>
        <v>0</v>
      </c>
      <c r="G94" s="2">
        <f t="shared" si="1"/>
        <v>0</v>
      </c>
      <c r="H94" s="2">
        <f t="shared" si="1"/>
        <v>0</v>
      </c>
      <c r="I94" s="2">
        <f t="shared" si="1"/>
        <v>0</v>
      </c>
      <c r="J94" s="2">
        <f t="shared" si="1"/>
        <v>0</v>
      </c>
      <c r="K94" s="2">
        <f t="shared" si="1"/>
        <v>0</v>
      </c>
      <c r="L94" s="2">
        <f t="shared" si="1"/>
        <v>0</v>
      </c>
      <c r="M94" s="79">
        <f t="shared" si="1"/>
        <v>15.863370893761925</v>
      </c>
      <c r="N94" s="76">
        <f t="shared" si="1"/>
        <v>11.178278590613774</v>
      </c>
      <c r="O94" s="76">
        <f t="shared" si="1"/>
        <v>0</v>
      </c>
      <c r="P94" s="76">
        <f t="shared" si="1"/>
        <v>0</v>
      </c>
      <c r="Q94" s="76">
        <f t="shared" si="1"/>
        <v>0</v>
      </c>
      <c r="R94" s="76">
        <f t="shared" si="1"/>
        <v>0</v>
      </c>
      <c r="S94" s="76">
        <f t="shared" si="1"/>
        <v>0</v>
      </c>
      <c r="T94" s="76">
        <f t="shared" si="1"/>
        <v>0</v>
      </c>
      <c r="U94" s="76">
        <f t="shared" si="1"/>
        <v>0</v>
      </c>
      <c r="V94" s="76">
        <f t="shared" si="1"/>
        <v>0</v>
      </c>
      <c r="W94" s="76">
        <f t="shared" si="1"/>
        <v>0</v>
      </c>
      <c r="X94" s="1"/>
    </row>
    <row r="95" spans="1:24">
      <c r="A95" s="65" t="s">
        <v>205</v>
      </c>
      <c r="B95" s="2">
        <f t="shared" ref="B95:W95" si="2">SUMIF($X$41:$X$70,100,B$41:B$70)</f>
        <v>194007.79447905393</v>
      </c>
      <c r="C95" s="2">
        <f t="shared" si="2"/>
        <v>325474.33009500004</v>
      </c>
      <c r="D95" s="2">
        <f t="shared" si="2"/>
        <v>0</v>
      </c>
      <c r="E95" s="2">
        <f t="shared" si="2"/>
        <v>0</v>
      </c>
      <c r="F95" s="2">
        <f t="shared" si="2"/>
        <v>0</v>
      </c>
      <c r="G95" s="2">
        <f t="shared" si="2"/>
        <v>0</v>
      </c>
      <c r="H95" s="2">
        <f t="shared" si="2"/>
        <v>0</v>
      </c>
      <c r="I95" s="2">
        <f t="shared" si="2"/>
        <v>0</v>
      </c>
      <c r="J95" s="2">
        <f t="shared" si="2"/>
        <v>0</v>
      </c>
      <c r="K95" s="2">
        <f t="shared" si="2"/>
        <v>0</v>
      </c>
      <c r="L95" s="2">
        <f t="shared" si="2"/>
        <v>0</v>
      </c>
      <c r="M95" s="79">
        <f t="shared" si="2"/>
        <v>33.345248307242372</v>
      </c>
      <c r="N95" s="76">
        <f t="shared" si="2"/>
        <v>42.526542443948614</v>
      </c>
      <c r="O95" s="76">
        <f t="shared" si="2"/>
        <v>0</v>
      </c>
      <c r="P95" s="76">
        <f t="shared" si="2"/>
        <v>0</v>
      </c>
      <c r="Q95" s="76">
        <f t="shared" si="2"/>
        <v>0</v>
      </c>
      <c r="R95" s="76">
        <f t="shared" si="2"/>
        <v>0</v>
      </c>
      <c r="S95" s="76">
        <f t="shared" si="2"/>
        <v>0</v>
      </c>
      <c r="T95" s="76">
        <f t="shared" si="2"/>
        <v>0</v>
      </c>
      <c r="U95" s="76">
        <f t="shared" si="2"/>
        <v>0</v>
      </c>
      <c r="V95" s="76">
        <f t="shared" si="2"/>
        <v>0</v>
      </c>
      <c r="W95" s="76">
        <f t="shared" si="2"/>
        <v>0</v>
      </c>
      <c r="X95" s="1"/>
    </row>
    <row r="96" spans="1:24">
      <c r="A96" s="65" t="s">
        <v>206</v>
      </c>
      <c r="B96" s="2">
        <f t="shared" ref="B96:W96" si="3">SUMIF($X$41:$X$70,200,B$41:B$70)</f>
        <v>200</v>
      </c>
      <c r="C96" s="2">
        <f t="shared" si="3"/>
        <v>2000</v>
      </c>
      <c r="D96" s="2">
        <f t="shared" si="3"/>
        <v>0</v>
      </c>
      <c r="E96" s="2">
        <f t="shared" si="3"/>
        <v>0</v>
      </c>
      <c r="F96" s="2">
        <f t="shared" si="3"/>
        <v>0</v>
      </c>
      <c r="G96" s="2">
        <f t="shared" si="3"/>
        <v>0</v>
      </c>
      <c r="H96" s="2">
        <f t="shared" si="3"/>
        <v>0</v>
      </c>
      <c r="I96" s="2">
        <f t="shared" si="3"/>
        <v>0</v>
      </c>
      <c r="J96" s="2">
        <f t="shared" si="3"/>
        <v>0</v>
      </c>
      <c r="K96" s="2">
        <f t="shared" si="3"/>
        <v>0</v>
      </c>
      <c r="L96" s="2">
        <f t="shared" si="3"/>
        <v>0</v>
      </c>
      <c r="M96" s="79">
        <f t="shared" si="3"/>
        <v>0.14000000000000001</v>
      </c>
      <c r="N96" s="76">
        <f t="shared" si="3"/>
        <v>1.2</v>
      </c>
      <c r="O96" s="76">
        <f t="shared" si="3"/>
        <v>0</v>
      </c>
      <c r="P96" s="76">
        <f t="shared" si="3"/>
        <v>0</v>
      </c>
      <c r="Q96" s="76">
        <f t="shared" si="3"/>
        <v>0</v>
      </c>
      <c r="R96" s="76">
        <f t="shared" si="3"/>
        <v>0</v>
      </c>
      <c r="S96" s="76">
        <f t="shared" si="3"/>
        <v>0</v>
      </c>
      <c r="T96" s="76">
        <f t="shared" si="3"/>
        <v>0</v>
      </c>
      <c r="U96" s="76">
        <f t="shared" si="3"/>
        <v>0</v>
      </c>
      <c r="V96" s="76">
        <f t="shared" si="3"/>
        <v>0</v>
      </c>
      <c r="W96" s="76">
        <f t="shared" si="3"/>
        <v>0</v>
      </c>
      <c r="X96" s="1"/>
    </row>
    <row r="97" spans="1:24">
      <c r="A97" s="65" t="s">
        <v>207</v>
      </c>
      <c r="B97" s="2">
        <f t="shared" ref="B97:W97" si="4">SUMIF($X$41:$X$70,400,B$41:B$70)</f>
        <v>0</v>
      </c>
      <c r="C97" s="2">
        <f t="shared" si="4"/>
        <v>0</v>
      </c>
      <c r="D97" s="2">
        <f t="shared" si="4"/>
        <v>0</v>
      </c>
      <c r="E97" s="2">
        <f t="shared" si="4"/>
        <v>0</v>
      </c>
      <c r="F97" s="2">
        <f t="shared" si="4"/>
        <v>0</v>
      </c>
      <c r="G97" s="2">
        <f t="shared" si="4"/>
        <v>0</v>
      </c>
      <c r="H97" s="2">
        <f t="shared" si="4"/>
        <v>0</v>
      </c>
      <c r="I97" s="2">
        <f t="shared" si="4"/>
        <v>0</v>
      </c>
      <c r="J97" s="2">
        <f t="shared" si="4"/>
        <v>0</v>
      </c>
      <c r="K97" s="2">
        <f t="shared" si="4"/>
        <v>0</v>
      </c>
      <c r="L97" s="2">
        <f t="shared" si="4"/>
        <v>0</v>
      </c>
      <c r="M97" s="79">
        <f t="shared" si="4"/>
        <v>0</v>
      </c>
      <c r="N97" s="76">
        <f t="shared" si="4"/>
        <v>0</v>
      </c>
      <c r="O97" s="76">
        <f t="shared" si="4"/>
        <v>0</v>
      </c>
      <c r="P97" s="76">
        <f t="shared" si="4"/>
        <v>0</v>
      </c>
      <c r="Q97" s="76">
        <f t="shared" si="4"/>
        <v>0</v>
      </c>
      <c r="R97" s="76">
        <f t="shared" si="4"/>
        <v>0</v>
      </c>
      <c r="S97" s="76">
        <f t="shared" si="4"/>
        <v>0</v>
      </c>
      <c r="T97" s="76">
        <f t="shared" si="4"/>
        <v>0</v>
      </c>
      <c r="U97" s="76">
        <f t="shared" si="4"/>
        <v>0</v>
      </c>
      <c r="V97" s="76">
        <f t="shared" si="4"/>
        <v>0</v>
      </c>
      <c r="W97" s="76">
        <f t="shared" si="4"/>
        <v>0</v>
      </c>
      <c r="X97" s="1"/>
    </row>
    <row r="98" spans="1:24">
      <c r="A98" s="65" t="s">
        <v>209</v>
      </c>
      <c r="B98" s="2">
        <f t="shared" ref="B98:W98" si="5">SUMIF($X$41:$X$70,800,B$41:B$70)</f>
        <v>0</v>
      </c>
      <c r="C98" s="2">
        <f t="shared" si="5"/>
        <v>0</v>
      </c>
      <c r="D98" s="2">
        <f t="shared" si="5"/>
        <v>0</v>
      </c>
      <c r="E98" s="2">
        <f t="shared" si="5"/>
        <v>0</v>
      </c>
      <c r="F98" s="2">
        <f t="shared" si="5"/>
        <v>0</v>
      </c>
      <c r="G98" s="2">
        <f t="shared" si="5"/>
        <v>0</v>
      </c>
      <c r="H98" s="2">
        <f t="shared" si="5"/>
        <v>0</v>
      </c>
      <c r="I98" s="2">
        <f t="shared" si="5"/>
        <v>0</v>
      </c>
      <c r="J98" s="2">
        <f t="shared" si="5"/>
        <v>0</v>
      </c>
      <c r="K98" s="2">
        <f t="shared" si="5"/>
        <v>0</v>
      </c>
      <c r="L98" s="2">
        <f t="shared" si="5"/>
        <v>0</v>
      </c>
      <c r="M98" s="79">
        <f t="shared" si="5"/>
        <v>0</v>
      </c>
      <c r="N98" s="76">
        <f t="shared" si="5"/>
        <v>0</v>
      </c>
      <c r="O98" s="76">
        <f t="shared" si="5"/>
        <v>0</v>
      </c>
      <c r="P98" s="76">
        <f t="shared" si="5"/>
        <v>0</v>
      </c>
      <c r="Q98" s="76">
        <f t="shared" si="5"/>
        <v>0</v>
      </c>
      <c r="R98" s="76">
        <f t="shared" si="5"/>
        <v>0</v>
      </c>
      <c r="S98" s="76">
        <f t="shared" si="5"/>
        <v>0</v>
      </c>
      <c r="T98" s="76">
        <f t="shared" si="5"/>
        <v>0</v>
      </c>
      <c r="U98" s="76">
        <f t="shared" si="5"/>
        <v>0</v>
      </c>
      <c r="V98" s="76">
        <f t="shared" si="5"/>
        <v>0</v>
      </c>
      <c r="W98" s="76">
        <f t="shared" si="5"/>
        <v>0</v>
      </c>
    </row>
    <row r="99" spans="1:24">
      <c r="A99" s="65" t="s">
        <v>211</v>
      </c>
      <c r="B99" s="2">
        <f t="shared" ref="B99:W99" si="6">SUMIF($X$41:$X$70,1600,B$41:B$70)</f>
        <v>0</v>
      </c>
      <c r="C99" s="2">
        <f t="shared" si="6"/>
        <v>0</v>
      </c>
      <c r="D99" s="2">
        <f t="shared" si="6"/>
        <v>0</v>
      </c>
      <c r="E99" s="2">
        <f t="shared" si="6"/>
        <v>0</v>
      </c>
      <c r="F99" s="2">
        <f t="shared" si="6"/>
        <v>0</v>
      </c>
      <c r="G99" s="2">
        <f t="shared" si="6"/>
        <v>0</v>
      </c>
      <c r="H99" s="2">
        <f t="shared" si="6"/>
        <v>0</v>
      </c>
      <c r="I99" s="2">
        <f t="shared" si="6"/>
        <v>0</v>
      </c>
      <c r="J99" s="2">
        <f t="shared" si="6"/>
        <v>0</v>
      </c>
      <c r="K99" s="2">
        <f t="shared" si="6"/>
        <v>0</v>
      </c>
      <c r="L99" s="2">
        <f t="shared" si="6"/>
        <v>0</v>
      </c>
      <c r="M99" s="79">
        <f t="shared" si="6"/>
        <v>0</v>
      </c>
      <c r="N99" s="76">
        <f t="shared" si="6"/>
        <v>0</v>
      </c>
      <c r="O99" s="76">
        <f t="shared" si="6"/>
        <v>0</v>
      </c>
      <c r="P99" s="76">
        <f t="shared" si="6"/>
        <v>0</v>
      </c>
      <c r="Q99" s="76">
        <f t="shared" si="6"/>
        <v>0</v>
      </c>
      <c r="R99" s="76">
        <f t="shared" si="6"/>
        <v>0</v>
      </c>
      <c r="S99" s="76">
        <f t="shared" si="6"/>
        <v>0</v>
      </c>
      <c r="T99" s="76">
        <f t="shared" si="6"/>
        <v>0</v>
      </c>
      <c r="U99" s="76">
        <f t="shared" si="6"/>
        <v>0</v>
      </c>
      <c r="V99" s="76">
        <f t="shared" si="6"/>
        <v>0</v>
      </c>
      <c r="W99" s="76">
        <f t="shared" si="6"/>
        <v>0</v>
      </c>
    </row>
    <row r="100" spans="1:24">
      <c r="A100" s="65" t="s">
        <v>276</v>
      </c>
      <c r="B100" s="2">
        <f>SUM(B41:B70)</f>
        <v>444768.80322905391</v>
      </c>
      <c r="C100" s="2">
        <f t="shared" ref="C100:W100" si="7">SUM(C41:C70)</f>
        <v>518460.54529500002</v>
      </c>
      <c r="D100" s="2">
        <f t="shared" si="7"/>
        <v>0</v>
      </c>
      <c r="E100" s="2">
        <f t="shared" si="7"/>
        <v>0</v>
      </c>
      <c r="F100" s="2">
        <f t="shared" si="7"/>
        <v>0</v>
      </c>
      <c r="G100" s="2">
        <f t="shared" si="7"/>
        <v>0</v>
      </c>
      <c r="H100" s="2">
        <f t="shared" si="7"/>
        <v>0</v>
      </c>
      <c r="I100" s="2">
        <f t="shared" si="7"/>
        <v>0</v>
      </c>
      <c r="J100" s="2">
        <f t="shared" si="7"/>
        <v>0</v>
      </c>
      <c r="K100" s="2">
        <f t="shared" si="7"/>
        <v>0</v>
      </c>
      <c r="L100" s="2">
        <f t="shared" si="7"/>
        <v>0</v>
      </c>
      <c r="M100" s="79">
        <f t="shared" si="7"/>
        <v>49.348619201004297</v>
      </c>
      <c r="N100" s="76">
        <f t="shared" si="7"/>
        <v>54.904821034562396</v>
      </c>
      <c r="O100" s="76">
        <f t="shared" si="7"/>
        <v>0</v>
      </c>
      <c r="P100" s="76">
        <f t="shared" si="7"/>
        <v>0</v>
      </c>
      <c r="Q100" s="76">
        <f t="shared" si="7"/>
        <v>0</v>
      </c>
      <c r="R100" s="76">
        <f t="shared" si="7"/>
        <v>0</v>
      </c>
      <c r="S100" s="76">
        <f t="shared" si="7"/>
        <v>0</v>
      </c>
      <c r="T100" s="76">
        <f t="shared" si="7"/>
        <v>0</v>
      </c>
      <c r="U100" s="76">
        <f t="shared" si="7"/>
        <v>0</v>
      </c>
      <c r="V100" s="76">
        <f t="shared" si="7"/>
        <v>0</v>
      </c>
      <c r="W100" s="76">
        <f t="shared" si="7"/>
        <v>0</v>
      </c>
    </row>
    <row r="101" spans="1:24">
      <c r="A101" s="65"/>
    </row>
    <row r="102" spans="1:24">
      <c r="A102" s="176" t="s">
        <v>428</v>
      </c>
      <c r="B102" s="68">
        <v>2018</v>
      </c>
      <c r="C102" s="50">
        <v>2019</v>
      </c>
      <c r="D102" s="50">
        <v>2020</v>
      </c>
      <c r="E102" s="50">
        <v>2021</v>
      </c>
      <c r="F102" s="50">
        <v>2022</v>
      </c>
      <c r="G102" s="50">
        <v>2023</v>
      </c>
      <c r="H102" s="50">
        <v>2024</v>
      </c>
      <c r="I102" s="50">
        <v>2025</v>
      </c>
      <c r="J102" s="50">
        <v>2026</v>
      </c>
      <c r="K102" s="50">
        <v>2027</v>
      </c>
      <c r="L102" s="50">
        <v>2028</v>
      </c>
      <c r="M102" s="68">
        <v>2018</v>
      </c>
      <c r="N102" s="50">
        <v>2019</v>
      </c>
      <c r="O102" s="50">
        <v>2020</v>
      </c>
      <c r="P102" s="50">
        <v>2021</v>
      </c>
      <c r="Q102" s="50">
        <v>2022</v>
      </c>
      <c r="R102" s="50">
        <v>2023</v>
      </c>
      <c r="S102" s="50">
        <v>2024</v>
      </c>
      <c r="T102" s="50">
        <v>2025</v>
      </c>
      <c r="U102" s="50">
        <v>2026</v>
      </c>
      <c r="V102" s="50">
        <v>2027</v>
      </c>
      <c r="W102" s="50">
        <v>2028</v>
      </c>
    </row>
    <row r="103" spans="1:24">
      <c r="A103" s="65" t="s">
        <v>205</v>
      </c>
      <c r="B103" s="2">
        <f t="shared" ref="B103:W103" si="8">SUMIF($X$71:$X$89,100,B$71:B$89)</f>
        <v>4266.450135294117</v>
      </c>
      <c r="C103" s="2">
        <f t="shared" si="8"/>
        <v>4150.3680000000004</v>
      </c>
      <c r="D103" s="2">
        <f t="shared" si="8"/>
        <v>0</v>
      </c>
      <c r="E103" s="2">
        <f t="shared" si="8"/>
        <v>0</v>
      </c>
      <c r="F103" s="2">
        <f t="shared" si="8"/>
        <v>0</v>
      </c>
      <c r="G103" s="2">
        <f t="shared" si="8"/>
        <v>0</v>
      </c>
      <c r="H103" s="2">
        <f t="shared" si="8"/>
        <v>0</v>
      </c>
      <c r="I103" s="2">
        <f t="shared" si="8"/>
        <v>0</v>
      </c>
      <c r="J103" s="2">
        <f t="shared" si="8"/>
        <v>0</v>
      </c>
      <c r="K103" s="2">
        <f t="shared" si="8"/>
        <v>0</v>
      </c>
      <c r="L103" s="2">
        <f t="shared" si="8"/>
        <v>0</v>
      </c>
      <c r="M103" s="79">
        <f t="shared" si="8"/>
        <v>33.40141506344537</v>
      </c>
      <c r="N103" s="76">
        <f t="shared" si="8"/>
        <v>25.327865600000003</v>
      </c>
      <c r="O103" s="76">
        <f t="shared" si="8"/>
        <v>0</v>
      </c>
      <c r="P103" s="76">
        <f t="shared" si="8"/>
        <v>0</v>
      </c>
      <c r="Q103" s="76">
        <f t="shared" si="8"/>
        <v>0</v>
      </c>
      <c r="R103" s="76">
        <f t="shared" si="8"/>
        <v>0</v>
      </c>
      <c r="S103" s="76">
        <f t="shared" si="8"/>
        <v>0</v>
      </c>
      <c r="T103" s="76">
        <f t="shared" si="8"/>
        <v>0</v>
      </c>
      <c r="U103" s="76">
        <f t="shared" si="8"/>
        <v>0</v>
      </c>
      <c r="V103" s="76">
        <f t="shared" si="8"/>
        <v>0</v>
      </c>
      <c r="W103" s="76">
        <f t="shared" si="8"/>
        <v>0</v>
      </c>
    </row>
    <row r="104" spans="1:24">
      <c r="A104" s="65" t="s">
        <v>206</v>
      </c>
      <c r="B104" s="2">
        <f t="shared" ref="B104:W104" si="9">SUMIF($X$71:$X$89,200,B$71:B$89)</f>
        <v>255.23852459016393</v>
      </c>
      <c r="C104" s="2">
        <f t="shared" si="9"/>
        <v>1085.4192000000003</v>
      </c>
      <c r="D104" s="2">
        <f t="shared" si="9"/>
        <v>0</v>
      </c>
      <c r="E104" s="2">
        <f t="shared" si="9"/>
        <v>0</v>
      </c>
      <c r="F104" s="2">
        <f t="shared" si="9"/>
        <v>0</v>
      </c>
      <c r="G104" s="2">
        <f t="shared" si="9"/>
        <v>0</v>
      </c>
      <c r="H104" s="2">
        <f t="shared" si="9"/>
        <v>0</v>
      </c>
      <c r="I104" s="2">
        <f t="shared" si="9"/>
        <v>0</v>
      </c>
      <c r="J104" s="2">
        <f t="shared" si="9"/>
        <v>0</v>
      </c>
      <c r="K104" s="2">
        <f t="shared" si="9"/>
        <v>0</v>
      </c>
      <c r="L104" s="2">
        <f t="shared" si="9"/>
        <v>0</v>
      </c>
      <c r="M104" s="79">
        <f t="shared" si="9"/>
        <v>2.0213476900149034</v>
      </c>
      <c r="N104" s="76">
        <f t="shared" si="9"/>
        <v>6.4558765963636393</v>
      </c>
      <c r="O104" s="76">
        <f t="shared" si="9"/>
        <v>0</v>
      </c>
      <c r="P104" s="76">
        <f t="shared" si="9"/>
        <v>0</v>
      </c>
      <c r="Q104" s="76">
        <f t="shared" si="9"/>
        <v>0</v>
      </c>
      <c r="R104" s="76">
        <f t="shared" si="9"/>
        <v>0</v>
      </c>
      <c r="S104" s="76">
        <f t="shared" si="9"/>
        <v>0</v>
      </c>
      <c r="T104" s="76">
        <f t="shared" si="9"/>
        <v>0</v>
      </c>
      <c r="U104" s="76">
        <f t="shared" si="9"/>
        <v>0</v>
      </c>
      <c r="V104" s="76">
        <f t="shared" si="9"/>
        <v>0</v>
      </c>
      <c r="W104" s="76">
        <f t="shared" si="9"/>
        <v>0</v>
      </c>
    </row>
    <row r="105" spans="1:24">
      <c r="A105" s="65" t="s">
        <v>207</v>
      </c>
      <c r="B105" s="2">
        <f t="shared" ref="B105:W105" si="10">SUMIF($X$71:$X$89,400,B$71:B$89)</f>
        <v>0</v>
      </c>
      <c r="C105" s="2">
        <f t="shared" si="10"/>
        <v>0</v>
      </c>
      <c r="D105" s="2">
        <f t="shared" si="10"/>
        <v>0</v>
      </c>
      <c r="E105" s="2">
        <f t="shared" si="10"/>
        <v>0</v>
      </c>
      <c r="F105" s="2">
        <f t="shared" si="10"/>
        <v>0</v>
      </c>
      <c r="G105" s="2">
        <f t="shared" si="10"/>
        <v>0</v>
      </c>
      <c r="H105" s="2">
        <f t="shared" si="10"/>
        <v>0</v>
      </c>
      <c r="I105" s="2">
        <f t="shared" si="10"/>
        <v>0</v>
      </c>
      <c r="J105" s="2">
        <f t="shared" si="10"/>
        <v>0</v>
      </c>
      <c r="K105" s="2">
        <f t="shared" si="10"/>
        <v>0</v>
      </c>
      <c r="L105" s="2">
        <f t="shared" si="10"/>
        <v>0</v>
      </c>
      <c r="M105" s="79">
        <f t="shared" si="10"/>
        <v>0</v>
      </c>
      <c r="N105" s="76">
        <f t="shared" si="10"/>
        <v>0</v>
      </c>
      <c r="O105" s="76">
        <f t="shared" si="10"/>
        <v>0</v>
      </c>
      <c r="P105" s="76">
        <f t="shared" si="10"/>
        <v>0</v>
      </c>
      <c r="Q105" s="76">
        <f t="shared" si="10"/>
        <v>0</v>
      </c>
      <c r="R105" s="76">
        <f t="shared" si="10"/>
        <v>0</v>
      </c>
      <c r="S105" s="76">
        <f t="shared" si="10"/>
        <v>0</v>
      </c>
      <c r="T105" s="76">
        <f t="shared" si="10"/>
        <v>0</v>
      </c>
      <c r="U105" s="76">
        <f t="shared" si="10"/>
        <v>0</v>
      </c>
      <c r="V105" s="76">
        <f t="shared" si="10"/>
        <v>0</v>
      </c>
      <c r="W105" s="76">
        <f t="shared" si="10"/>
        <v>0</v>
      </c>
    </row>
    <row r="106" spans="1:24">
      <c r="A106" s="65" t="s">
        <v>429</v>
      </c>
      <c r="B106" s="2">
        <f t="shared" ref="B106:W106" si="11">SUMIF($X$71:$X$89,600,B$71:B$89)+SUMIF($X$71:$X$89,800,B$71:B$89)</f>
        <v>0</v>
      </c>
      <c r="C106" s="2">
        <f t="shared" si="11"/>
        <v>0</v>
      </c>
      <c r="D106" s="2">
        <f t="shared" si="11"/>
        <v>0</v>
      </c>
      <c r="E106" s="2">
        <f t="shared" si="11"/>
        <v>0</v>
      </c>
      <c r="F106" s="2">
        <f t="shared" si="11"/>
        <v>0</v>
      </c>
      <c r="G106" s="2">
        <f t="shared" si="11"/>
        <v>0</v>
      </c>
      <c r="H106" s="2">
        <f t="shared" si="11"/>
        <v>0</v>
      </c>
      <c r="I106" s="2">
        <f t="shared" si="11"/>
        <v>0</v>
      </c>
      <c r="J106" s="2">
        <f t="shared" si="11"/>
        <v>0</v>
      </c>
      <c r="K106" s="2">
        <f t="shared" si="11"/>
        <v>0</v>
      </c>
      <c r="L106" s="2">
        <f t="shared" si="11"/>
        <v>0</v>
      </c>
      <c r="M106" s="79">
        <f t="shared" si="11"/>
        <v>0</v>
      </c>
      <c r="N106" s="76">
        <f t="shared" si="11"/>
        <v>0</v>
      </c>
      <c r="O106" s="76">
        <f t="shared" si="11"/>
        <v>0</v>
      </c>
      <c r="P106" s="76">
        <f t="shared" si="11"/>
        <v>0</v>
      </c>
      <c r="Q106" s="76">
        <f t="shared" si="11"/>
        <v>0</v>
      </c>
      <c r="R106" s="76">
        <f t="shared" si="11"/>
        <v>0</v>
      </c>
      <c r="S106" s="76">
        <f t="shared" si="11"/>
        <v>0</v>
      </c>
      <c r="T106" s="76">
        <f t="shared" si="11"/>
        <v>0</v>
      </c>
      <c r="U106" s="76">
        <f t="shared" si="11"/>
        <v>0</v>
      </c>
      <c r="V106" s="76">
        <f t="shared" si="11"/>
        <v>0</v>
      </c>
      <c r="W106" s="76">
        <f t="shared" si="11"/>
        <v>0</v>
      </c>
    </row>
    <row r="107" spans="1:24">
      <c r="A107" s="65" t="s">
        <v>430</v>
      </c>
      <c r="B107" s="2">
        <f t="shared" ref="B107:W107" si="12">SUMIF($X$71:$X$89,1200,B$71:B$89)+SUMIF($X$71:$X$89,1600,B$71:B$89)</f>
        <v>0</v>
      </c>
      <c r="C107" s="2">
        <f t="shared" si="12"/>
        <v>0</v>
      </c>
      <c r="D107" s="2">
        <f t="shared" si="12"/>
        <v>0</v>
      </c>
      <c r="E107" s="2">
        <f t="shared" si="12"/>
        <v>0</v>
      </c>
      <c r="F107" s="2">
        <f t="shared" si="12"/>
        <v>0</v>
      </c>
      <c r="G107" s="2">
        <f t="shared" si="12"/>
        <v>0</v>
      </c>
      <c r="H107" s="2">
        <f t="shared" si="12"/>
        <v>0</v>
      </c>
      <c r="I107" s="2">
        <f t="shared" si="12"/>
        <v>0</v>
      </c>
      <c r="J107" s="2">
        <f t="shared" si="12"/>
        <v>0</v>
      </c>
      <c r="K107" s="2">
        <f t="shared" si="12"/>
        <v>0</v>
      </c>
      <c r="L107" s="2">
        <f t="shared" si="12"/>
        <v>0</v>
      </c>
      <c r="M107" s="79">
        <f t="shared" si="12"/>
        <v>0</v>
      </c>
      <c r="N107" s="76">
        <f t="shared" si="12"/>
        <v>0</v>
      </c>
      <c r="O107" s="76">
        <f t="shared" si="12"/>
        <v>0</v>
      </c>
      <c r="P107" s="76">
        <f t="shared" si="12"/>
        <v>0</v>
      </c>
      <c r="Q107" s="76">
        <f t="shared" si="12"/>
        <v>0</v>
      </c>
      <c r="R107" s="76">
        <f t="shared" si="12"/>
        <v>0</v>
      </c>
      <c r="S107" s="76">
        <f t="shared" si="12"/>
        <v>0</v>
      </c>
      <c r="T107" s="76">
        <f t="shared" si="12"/>
        <v>0</v>
      </c>
      <c r="U107" s="76">
        <f t="shared" si="12"/>
        <v>0</v>
      </c>
      <c r="V107" s="76">
        <f t="shared" si="12"/>
        <v>0</v>
      </c>
      <c r="W107" s="76">
        <f t="shared" si="12"/>
        <v>0</v>
      </c>
    </row>
    <row r="108" spans="1:24">
      <c r="A108" s="65" t="s">
        <v>277</v>
      </c>
      <c r="B108" s="2">
        <f>SUM(B71:B89)</f>
        <v>6994.9372598842801</v>
      </c>
      <c r="C108" s="2">
        <f t="shared" ref="C108:W108" si="13">SUM(C71:C89)</f>
        <v>8505.5745147260041</v>
      </c>
      <c r="D108" s="2">
        <f t="shared" si="13"/>
        <v>0</v>
      </c>
      <c r="E108" s="2">
        <f t="shared" si="13"/>
        <v>0</v>
      </c>
      <c r="F108" s="2">
        <f t="shared" si="13"/>
        <v>0</v>
      </c>
      <c r="G108" s="2">
        <f t="shared" si="13"/>
        <v>0</v>
      </c>
      <c r="H108" s="2">
        <f t="shared" si="13"/>
        <v>0</v>
      </c>
      <c r="I108" s="2">
        <f t="shared" si="13"/>
        <v>0</v>
      </c>
      <c r="J108" s="2">
        <f t="shared" si="13"/>
        <v>0</v>
      </c>
      <c r="K108" s="2">
        <f t="shared" si="13"/>
        <v>0</v>
      </c>
      <c r="L108" s="2">
        <f t="shared" si="13"/>
        <v>0</v>
      </c>
      <c r="M108" s="79">
        <f t="shared" si="13"/>
        <v>36.607632359143082</v>
      </c>
      <c r="N108" s="76">
        <f t="shared" si="13"/>
        <v>33.064291783470601</v>
      </c>
      <c r="O108" s="76">
        <f t="shared" si="13"/>
        <v>0</v>
      </c>
      <c r="P108" s="76">
        <f t="shared" si="13"/>
        <v>0</v>
      </c>
      <c r="Q108" s="76">
        <f t="shared" si="13"/>
        <v>0</v>
      </c>
      <c r="R108" s="76">
        <f t="shared" si="13"/>
        <v>0</v>
      </c>
      <c r="S108" s="76">
        <f t="shared" si="13"/>
        <v>0</v>
      </c>
      <c r="T108" s="76">
        <f t="shared" si="13"/>
        <v>0</v>
      </c>
      <c r="U108" s="76">
        <f t="shared" si="13"/>
        <v>0</v>
      </c>
      <c r="V108" s="76">
        <f t="shared" si="13"/>
        <v>0</v>
      </c>
      <c r="W108" s="76">
        <f t="shared" si="13"/>
        <v>0</v>
      </c>
    </row>
    <row r="109" spans="1:24">
      <c r="A109" s="67" t="s">
        <v>340</v>
      </c>
    </row>
    <row r="111" spans="1:24">
      <c r="M111" s="68">
        <v>2018</v>
      </c>
      <c r="N111" s="50">
        <v>2019</v>
      </c>
      <c r="O111" s="50">
        <v>2020</v>
      </c>
      <c r="P111" s="50">
        <v>2021</v>
      </c>
      <c r="Q111" s="50">
        <v>2022</v>
      </c>
      <c r="R111" s="112">
        <v>2023</v>
      </c>
      <c r="S111" s="50">
        <v>2024</v>
      </c>
      <c r="T111" s="50">
        <v>2025</v>
      </c>
      <c r="U111" s="50">
        <v>2026</v>
      </c>
      <c r="V111" s="50">
        <v>2027</v>
      </c>
      <c r="W111" s="50">
        <v>2028</v>
      </c>
    </row>
    <row r="112" spans="1:24">
      <c r="A112" s="25" t="s">
        <v>341</v>
      </c>
      <c r="M112" s="76">
        <v>2936.7142192743613</v>
      </c>
      <c r="N112" s="76">
        <v>2960.4029713164205</v>
      </c>
      <c r="O112" s="76">
        <v>4420.794060882823</v>
      </c>
      <c r="P112" s="76">
        <v>5182.9169871871691</v>
      </c>
      <c r="Q112" s="76">
        <v>2695.4749503403045</v>
      </c>
      <c r="R112" s="76">
        <f t="shared" ref="R112:W112" si="14">Q112*$R$113</f>
        <v>2965.0224453743353</v>
      </c>
      <c r="S112" s="76">
        <f t="shared" si="14"/>
        <v>3261.5246899117692</v>
      </c>
      <c r="T112" s="76">
        <f t="shared" si="14"/>
        <v>3587.6771589029463</v>
      </c>
      <c r="U112" s="76">
        <f t="shared" si="14"/>
        <v>3946.4448747932411</v>
      </c>
      <c r="V112" s="76">
        <f t="shared" si="14"/>
        <v>4341.0893622725653</v>
      </c>
      <c r="W112" s="76">
        <f t="shared" si="14"/>
        <v>4775.1982984998222</v>
      </c>
    </row>
    <row r="113" spans="1:23">
      <c r="A113" s="25" t="s">
        <v>350</v>
      </c>
      <c r="N113" s="119">
        <f>N112/M112</f>
        <v>1.0080664137785638</v>
      </c>
      <c r="O113" s="119">
        <f>O112/N112</f>
        <v>1.4933082096310022</v>
      </c>
      <c r="P113" s="119">
        <f>P112/O112</f>
        <v>1.172395030351663</v>
      </c>
      <c r="Q113" s="119">
        <f>Q112/P112</f>
        <v>0.52006909564707715</v>
      </c>
      <c r="R113" s="120">
        <v>1.1000000000000001</v>
      </c>
    </row>
    <row r="114" spans="1:23">
      <c r="A114" s="25" t="str">
        <f>"Ethernet transceivers % of total capex: "&amp;$A$39</f>
        <v>Ethernet transceivers % of total capex: Tencent</v>
      </c>
      <c r="M114" s="111">
        <f>M100/M112</f>
        <v>1.680402501445917E-2</v>
      </c>
      <c r="N114" s="111">
        <f>N100/N112</f>
        <v>1.8546401137459857E-2</v>
      </c>
      <c r="O114" s="111">
        <f>O100/O112</f>
        <v>0</v>
      </c>
      <c r="P114" s="111">
        <f>P100/P112</f>
        <v>0</v>
      </c>
      <c r="Q114" s="111">
        <f>Q100/Q112</f>
        <v>0</v>
      </c>
      <c r="R114" s="111">
        <f t="shared" ref="R114:W114" si="15">R100/R112</f>
        <v>0</v>
      </c>
      <c r="S114" s="111">
        <f t="shared" si="15"/>
        <v>0</v>
      </c>
      <c r="T114" s="111">
        <f t="shared" si="15"/>
        <v>0</v>
      </c>
      <c r="U114" s="111">
        <f t="shared" si="15"/>
        <v>0</v>
      </c>
      <c r="V114" s="111">
        <f t="shared" si="15"/>
        <v>0</v>
      </c>
      <c r="W114" s="111">
        <f t="shared" si="15"/>
        <v>0</v>
      </c>
    </row>
    <row r="115" spans="1:23">
      <c r="A115" s="25" t="str">
        <f>"DWDM transceivers % of total capex: "&amp;$A$39</f>
        <v>DWDM transceivers % of total capex: Tencent</v>
      </c>
      <c r="M115" s="111">
        <f>M108/M112</f>
        <v>1.2465507238967413E-2</v>
      </c>
      <c r="N115" s="111">
        <f t="shared" ref="N115:W115" si="16">N108/N112</f>
        <v>1.1168848330390542E-2</v>
      </c>
      <c r="O115" s="111">
        <f t="shared" si="16"/>
        <v>0</v>
      </c>
      <c r="P115" s="111">
        <f t="shared" si="16"/>
        <v>0</v>
      </c>
      <c r="Q115" s="111">
        <f t="shared" si="16"/>
        <v>0</v>
      </c>
      <c r="R115" s="111">
        <f t="shared" si="16"/>
        <v>0</v>
      </c>
      <c r="S115" s="111">
        <f t="shared" si="16"/>
        <v>0</v>
      </c>
      <c r="T115" s="111">
        <f t="shared" si="16"/>
        <v>0</v>
      </c>
      <c r="U115" s="111">
        <f t="shared" si="16"/>
        <v>0</v>
      </c>
      <c r="V115" s="111">
        <f t="shared" si="16"/>
        <v>0</v>
      </c>
      <c r="W115" s="111">
        <f t="shared" si="16"/>
        <v>0</v>
      </c>
    </row>
    <row r="116" spans="1:23">
      <c r="A116" s="25" t="str">
        <f>"Ethernet&amp;DWDM transceivers % of total capex: "&amp;$A$39</f>
        <v>Ethernet&amp;DWDM transceivers % of total capex: Tencent</v>
      </c>
      <c r="M116" s="111">
        <f>M115+M114</f>
        <v>2.9269532253426583E-2</v>
      </c>
      <c r="N116" s="111">
        <f t="shared" ref="N116:W116" si="17">N115+N114</f>
        <v>2.9715249467850396E-2</v>
      </c>
      <c r="O116" s="111">
        <f t="shared" si="17"/>
        <v>0</v>
      </c>
      <c r="P116" s="111">
        <f t="shared" si="17"/>
        <v>0</v>
      </c>
      <c r="Q116" s="111">
        <f t="shared" si="17"/>
        <v>0</v>
      </c>
      <c r="R116" s="111">
        <f t="shared" si="17"/>
        <v>0</v>
      </c>
      <c r="S116" s="111">
        <f t="shared" si="17"/>
        <v>0</v>
      </c>
      <c r="T116" s="111">
        <f t="shared" si="17"/>
        <v>0</v>
      </c>
      <c r="U116" s="111">
        <f t="shared" si="17"/>
        <v>0</v>
      </c>
      <c r="V116" s="111">
        <f t="shared" si="17"/>
        <v>0</v>
      </c>
      <c r="W116" s="111">
        <f t="shared" si="17"/>
        <v>0</v>
      </c>
    </row>
    <row r="118" spans="1:23">
      <c r="A118" t="s">
        <v>275</v>
      </c>
    </row>
    <row r="119" spans="1:23">
      <c r="A119" s="40" t="s">
        <v>213</v>
      </c>
      <c r="B119" s="17">
        <v>2018</v>
      </c>
      <c r="C119" s="17">
        <v>2019</v>
      </c>
      <c r="D119" s="17">
        <v>2020</v>
      </c>
      <c r="E119" s="17">
        <v>2021</v>
      </c>
      <c r="F119" s="17">
        <v>2022</v>
      </c>
      <c r="G119" s="17">
        <v>2023</v>
      </c>
      <c r="H119" s="17">
        <v>2024</v>
      </c>
      <c r="I119" s="17">
        <v>2025</v>
      </c>
      <c r="J119" s="17">
        <v>2026</v>
      </c>
      <c r="K119" s="17">
        <v>2027</v>
      </c>
      <c r="L119" s="17">
        <v>2028</v>
      </c>
    </row>
    <row r="120" spans="1:23">
      <c r="A120" s="25" t="s">
        <v>250</v>
      </c>
      <c r="B120" s="32">
        <f t="shared" ref="B120:L120" si="18">SUMPRODUCT(B41:B70,$X$41:$X$70)/10^6</f>
        <v>29.463219797905396</v>
      </c>
      <c r="C120" s="32">
        <f t="shared" si="18"/>
        <v>40.586881617499991</v>
      </c>
      <c r="D120" s="32">
        <f t="shared" si="18"/>
        <v>0</v>
      </c>
      <c r="E120" s="32">
        <f t="shared" si="18"/>
        <v>0</v>
      </c>
      <c r="F120" s="32">
        <f t="shared" si="18"/>
        <v>0</v>
      </c>
      <c r="G120" s="32">
        <f t="shared" si="18"/>
        <v>0</v>
      </c>
      <c r="H120" s="32">
        <f t="shared" si="18"/>
        <v>0</v>
      </c>
      <c r="I120" s="32">
        <f t="shared" si="18"/>
        <v>0</v>
      </c>
      <c r="J120" s="32">
        <f t="shared" si="18"/>
        <v>0</v>
      </c>
      <c r="K120" s="32">
        <f t="shared" si="18"/>
        <v>0</v>
      </c>
      <c r="L120" s="32">
        <f t="shared" si="18"/>
        <v>0</v>
      </c>
    </row>
    <row r="121" spans="1:23">
      <c r="A121" s="25" t="s">
        <v>251</v>
      </c>
      <c r="B121" s="54">
        <f>B120*2</f>
        <v>58.926439595810791</v>
      </c>
      <c r="C121" s="29">
        <f>B121+C120</f>
        <v>99.513321213310775</v>
      </c>
      <c r="D121" s="29">
        <f>C121+D120</f>
        <v>99.513321213310775</v>
      </c>
      <c r="E121" s="29">
        <f t="shared" ref="E121:L121" si="19">D121+E120</f>
        <v>99.513321213310775</v>
      </c>
      <c r="F121" s="29">
        <f t="shared" si="19"/>
        <v>99.513321213310775</v>
      </c>
      <c r="G121" s="29">
        <f t="shared" si="19"/>
        <v>99.513321213310775</v>
      </c>
      <c r="H121" s="29">
        <f t="shared" si="19"/>
        <v>99.513321213310775</v>
      </c>
      <c r="I121" s="29">
        <f t="shared" si="19"/>
        <v>99.513321213310775</v>
      </c>
      <c r="J121" s="29">
        <f t="shared" si="19"/>
        <v>99.513321213310775</v>
      </c>
      <c r="K121" s="29">
        <f t="shared" si="19"/>
        <v>99.513321213310775</v>
      </c>
      <c r="L121" s="29">
        <f t="shared" si="19"/>
        <v>99.513321213310775</v>
      </c>
    </row>
    <row r="122" spans="1:23">
      <c r="A122" s="25" t="s">
        <v>252</v>
      </c>
      <c r="B122" s="26"/>
      <c r="C122" s="31">
        <f>C121/B121-1</f>
        <v>0.68877199939270373</v>
      </c>
      <c r="D122" s="31">
        <f t="shared" ref="D122:L122" si="20">D121/C121-1</f>
        <v>0</v>
      </c>
      <c r="E122" s="31">
        <f t="shared" si="20"/>
        <v>0</v>
      </c>
      <c r="F122" s="31">
        <f t="shared" si="20"/>
        <v>0</v>
      </c>
      <c r="G122" s="31">
        <f t="shared" si="20"/>
        <v>0</v>
      </c>
      <c r="H122" s="31">
        <f t="shared" si="20"/>
        <v>0</v>
      </c>
      <c r="I122" s="31">
        <f t="shared" si="20"/>
        <v>0</v>
      </c>
      <c r="J122" s="31">
        <f t="shared" si="20"/>
        <v>0</v>
      </c>
      <c r="K122" s="31">
        <f t="shared" si="20"/>
        <v>0</v>
      </c>
      <c r="L122" s="31">
        <f t="shared" si="20"/>
        <v>0</v>
      </c>
    </row>
    <row r="124" spans="1:23">
      <c r="A124" s="40" t="s">
        <v>214</v>
      </c>
      <c r="B124" s="17">
        <v>2018</v>
      </c>
      <c r="C124" s="17">
        <v>2019</v>
      </c>
      <c r="D124" s="17">
        <v>2020</v>
      </c>
      <c r="E124" s="17">
        <v>2021</v>
      </c>
      <c r="F124" s="17">
        <v>2022</v>
      </c>
      <c r="G124" s="17">
        <v>2023</v>
      </c>
      <c r="H124" s="17">
        <v>2024</v>
      </c>
      <c r="I124" s="17">
        <v>2025</v>
      </c>
      <c r="J124" s="17">
        <v>2026</v>
      </c>
      <c r="K124" s="17">
        <v>2027</v>
      </c>
      <c r="L124" s="17">
        <v>2028</v>
      </c>
    </row>
    <row r="125" spans="1:23">
      <c r="A125" s="25" t="s">
        <v>250</v>
      </c>
      <c r="B125" s="204">
        <f t="shared" ref="B125:L125" si="21">SUMPRODUCT(B71:B89,$X$71:$X$89)/10^6</f>
        <v>0.50242520444744443</v>
      </c>
      <c r="C125" s="32">
        <f t="shared" si="21"/>
        <v>0.66481851314726015</v>
      </c>
      <c r="D125" s="32">
        <f t="shared" si="21"/>
        <v>0</v>
      </c>
      <c r="E125" s="32">
        <f t="shared" si="21"/>
        <v>0</v>
      </c>
      <c r="F125" s="32">
        <f t="shared" si="21"/>
        <v>0</v>
      </c>
      <c r="G125" s="32">
        <f t="shared" si="21"/>
        <v>0</v>
      </c>
      <c r="H125" s="32">
        <f t="shared" si="21"/>
        <v>0</v>
      </c>
      <c r="I125" s="32">
        <f t="shared" si="21"/>
        <v>0</v>
      </c>
      <c r="J125" s="32">
        <f t="shared" si="21"/>
        <v>0</v>
      </c>
      <c r="K125" s="32">
        <f t="shared" si="21"/>
        <v>0</v>
      </c>
      <c r="L125" s="32">
        <f t="shared" si="21"/>
        <v>0</v>
      </c>
    </row>
    <row r="126" spans="1:23">
      <c r="A126" s="25" t="s">
        <v>251</v>
      </c>
      <c r="B126" s="55">
        <f>B125*2</f>
        <v>1.0048504088948889</v>
      </c>
      <c r="C126" s="29">
        <f>B126+C125</f>
        <v>1.669668922042149</v>
      </c>
      <c r="D126" s="29">
        <f>C126+D125</f>
        <v>1.669668922042149</v>
      </c>
      <c r="E126" s="29">
        <f t="shared" ref="E126:L126" si="22">D126+E125</f>
        <v>1.669668922042149</v>
      </c>
      <c r="F126" s="29">
        <f t="shared" si="22"/>
        <v>1.669668922042149</v>
      </c>
      <c r="G126" s="29">
        <f t="shared" si="22"/>
        <v>1.669668922042149</v>
      </c>
      <c r="H126" s="29">
        <f t="shared" si="22"/>
        <v>1.669668922042149</v>
      </c>
      <c r="I126" s="29">
        <f t="shared" si="22"/>
        <v>1.669668922042149</v>
      </c>
      <c r="J126" s="29">
        <f t="shared" si="22"/>
        <v>1.669668922042149</v>
      </c>
      <c r="K126" s="29">
        <f t="shared" si="22"/>
        <v>1.669668922042149</v>
      </c>
      <c r="L126" s="29">
        <f t="shared" si="22"/>
        <v>1.669668922042149</v>
      </c>
    </row>
    <row r="127" spans="1:23">
      <c r="A127" s="25" t="s">
        <v>252</v>
      </c>
      <c r="B127" s="26"/>
      <c r="C127" s="31">
        <f>C126/B126-1</f>
        <v>0.66160943684982132</v>
      </c>
      <c r="D127" s="31">
        <f t="shared" ref="D127:L127" si="23">D126/C126-1</f>
        <v>0</v>
      </c>
      <c r="E127" s="31">
        <f t="shared" si="23"/>
        <v>0</v>
      </c>
      <c r="F127" s="31">
        <f t="shared" si="23"/>
        <v>0</v>
      </c>
      <c r="G127" s="31">
        <f t="shared" si="23"/>
        <v>0</v>
      </c>
      <c r="H127" s="31">
        <f t="shared" si="23"/>
        <v>0</v>
      </c>
      <c r="I127" s="31">
        <f t="shared" si="23"/>
        <v>0</v>
      </c>
      <c r="J127" s="31">
        <f t="shared" si="23"/>
        <v>0</v>
      </c>
      <c r="K127" s="31">
        <f t="shared" si="23"/>
        <v>0</v>
      </c>
      <c r="L127" s="31">
        <f t="shared" si="23"/>
        <v>0</v>
      </c>
    </row>
  </sheetData>
  <mergeCells count="2">
    <mergeCell ref="B39:L39"/>
    <mergeCell ref="M39:W39"/>
  </mergeCells>
  <dataValidations count="1">
    <dataValidation type="list" allowBlank="1" showInputMessage="1" showErrorMessage="1" sqref="A41:A89" xr:uid="{00000000-0002-0000-0B00-000000000000}">
      <formula1>INDIRECT("Products[LookupCodes]")</formula1>
    </dataValidation>
  </dataValidations>
  <pageMargins left="0.7" right="0.7" top="0.75" bottom="0.75" header="0.3" footer="0.3"/>
  <pageSetup paperSize="9" orientation="portrait" horizontalDpi="0" verticalDpi="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J132"/>
  <sheetViews>
    <sheetView zoomScale="50" zoomScaleNormal="50" workbookViewId="0">
      <pane xSplit="1" topLeftCell="B1" activePane="topRight" state="frozen"/>
      <selection activeCell="D2" sqref="D2:F5"/>
      <selection pane="topRight" activeCell="A5" sqref="A5"/>
    </sheetView>
  </sheetViews>
  <sheetFormatPr defaultColWidth="8.5" defaultRowHeight="15.75"/>
  <cols>
    <col min="1" max="1" width="35.5" bestFit="1"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Baidu</v>
      </c>
    </row>
    <row r="5" spans="1:36" s="1" customFormat="1" ht="14.25">
      <c r="A5" s="19"/>
    </row>
    <row r="8" spans="1:36">
      <c r="B8" s="163" t="str">
        <f>"Ethernet transceivers consumed annually by "&amp;A39</f>
        <v>Ethernet transceivers consumed annually by Baidu</v>
      </c>
      <c r="C8" s="163"/>
      <c r="D8" s="163"/>
      <c r="E8" s="163"/>
      <c r="F8" s="163"/>
      <c r="G8" s="163"/>
      <c r="H8" s="163"/>
      <c r="I8" s="163"/>
      <c r="J8" s="163"/>
      <c r="K8" s="163" t="str">
        <f>"DWDM transceivers consumed annually by "&amp;A39</f>
        <v>DWDM transceivers consumed annually by Baidu</v>
      </c>
      <c r="L8" s="163"/>
      <c r="M8" s="163"/>
      <c r="N8" s="163"/>
      <c r="O8" s="163"/>
      <c r="P8" s="163"/>
      <c r="S8" s="163" t="str">
        <f>"Annual spending on Ethernet transceivers by "&amp;A39</f>
        <v>Annual spending on Ethernet transceivers by Baidu</v>
      </c>
      <c r="V8" s="163"/>
      <c r="W8" s="163"/>
      <c r="X8" s="163"/>
      <c r="Y8" s="163"/>
      <c r="Z8" s="163"/>
      <c r="AA8" s="163" t="str">
        <f>"Annual spending on DWDM transceivers by "&amp;A39</f>
        <v>Annual spending on DWDM transceivers by Baidu</v>
      </c>
      <c r="AB8" s="163"/>
      <c r="AC8" s="163"/>
      <c r="AD8" s="163"/>
      <c r="AE8" s="163"/>
      <c r="AF8" s="163"/>
      <c r="AG8" s="163"/>
      <c r="AH8" s="163"/>
      <c r="AI8" s="163"/>
      <c r="AJ8" s="163"/>
    </row>
    <row r="39" spans="1:24">
      <c r="A39" s="12" t="s">
        <v>218</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0</v>
      </c>
      <c r="C41" s="8">
        <v>0</v>
      </c>
      <c r="D41" s="8"/>
      <c r="E41" s="8"/>
      <c r="F41" s="8"/>
      <c r="G41" s="8"/>
      <c r="H41" s="8"/>
      <c r="I41" s="8"/>
      <c r="J41" s="8"/>
      <c r="K41" s="8"/>
      <c r="L41" s="8"/>
      <c r="M41" s="62" cm="1">
        <f t="array" ref="M41">INDEX(tblPrices[cv_2018], MATCH(tblBaiduUnits[[#This Row],[Products]],tblPrices[Products],0), 0)* tblBaiduUnits[[#This Row],[cv_2018]]/10^6</f>
        <v>0</v>
      </c>
      <c r="N41" s="62" cm="1">
        <f t="array" ref="N41">INDEX(tblPrices[cv_2019], MATCH(tblBaiduUnits[[#This Row],[Products]],tblPrices[Products],0), 0)* tblBaiduUnits[[#This Row],[cv_2019]]/10^6</f>
        <v>0</v>
      </c>
      <c r="O41" s="62" cm="1">
        <f t="array" ref="O41">INDEX(tblPrices[cv_2020], MATCH(tblBaiduUnits[[#This Row],[Products]],tblPrices[Products],0), 0)* tblBaiduUnits[[#This Row],[cv_2020]]/10^6</f>
        <v>0</v>
      </c>
      <c r="P41" s="62" cm="1">
        <f t="array" ref="P41">INDEX(tblPrices[cv_2021], MATCH(tblBaiduUnits[[#This Row],[Products]],tblPrices[Products],0), 0)* tblBaiduUnits[[#This Row],[cv_2021]]/10^6</f>
        <v>0</v>
      </c>
      <c r="Q41" s="62" cm="1">
        <f t="array" ref="Q41">INDEX(tblPrices[cv_2022], MATCH(tblBaiduUnits[[#This Row],[Products]],tblPrices[Products],0), 0)* tblBaiduUnits[[#This Row],[cv_2022]]/10^6</f>
        <v>0</v>
      </c>
      <c r="R41" s="62" cm="1">
        <f t="array" ref="R41">INDEX(tblPrices[cv_2023], MATCH(tblBaiduUnits[[#This Row],[Products]],tblPrices[Products],0), 0)* tblBaiduUnits[[#This Row],[cv_2023]]/10^6</f>
        <v>0</v>
      </c>
      <c r="S41" s="62" cm="1">
        <f t="array" ref="S41">INDEX(tblPrices[cv_2024], MATCH(tblBaiduUnits[[#This Row],[Products]],tblPrices[Products],0), 0)* tblBaiduUnits[[#This Row],[cv_2024]]/10^6</f>
        <v>0</v>
      </c>
      <c r="T41" s="62" cm="1">
        <f t="array" ref="T41">INDEX(tblPrices[cv_2025], MATCH(tblBaiduUnits[[#This Row],[Products]],tblPrices[Products],0), 0)* tblBaiduUnits[[#This Row],[cv_2025]]/10^6</f>
        <v>0</v>
      </c>
      <c r="U41" s="62" cm="1">
        <f t="array" ref="U41">INDEX(tblPrices[cv_2026], MATCH(tblBaiduUnits[[#This Row],[Products]],tblPrices[Products],0), 0)* tblBaiduUnits[[#This Row],[cv_2026]]/10^6</f>
        <v>0</v>
      </c>
      <c r="V41" s="62" cm="1">
        <f t="array" ref="V41">INDEX(tblPrices[cv_2027], MATCH(tblBaiduUnits[[#This Row],[Products]],tblPrices[Products],0), 0)* tblBaiduUnits[[#This Row],[cv_2027]]/10^6</f>
        <v>0</v>
      </c>
      <c r="W41" s="62" cm="1">
        <f t="array" ref="W41">INDEX(tblPrices[cv_2028], MATCH(tblBaiduUnits[[#This Row],[Products]],tblPrices[Products],0), 0)* tblBaiduUnits[[#This Row],[cv_2028]]/10^6</f>
        <v>0</v>
      </c>
      <c r="X41" s="1">
        <f>VLOOKUP(A41,Products!$A$11:$F$110,6,FALSE)</f>
        <v>10</v>
      </c>
    </row>
    <row r="42" spans="1:24" s="1" customFormat="1" ht="13.15">
      <c r="A42" s="16" t="s">
        <v>158</v>
      </c>
      <c r="B42" s="36">
        <v>0</v>
      </c>
      <c r="C42" s="36">
        <v>0</v>
      </c>
      <c r="D42" s="36"/>
      <c r="E42" s="36"/>
      <c r="F42" s="36"/>
      <c r="G42" s="36"/>
      <c r="H42" s="36"/>
      <c r="I42" s="36"/>
      <c r="J42" s="36"/>
      <c r="K42" s="36"/>
      <c r="L42" s="36"/>
      <c r="M42" s="62" cm="1">
        <f t="array" ref="M42">INDEX(tblPrices[cv_2018], MATCH(tblBaiduUnits[[#This Row],[Products]],tblPrices[Products],0), 0)* tblBaiduUnits[[#This Row],[cv_2018]]/10^6</f>
        <v>0</v>
      </c>
      <c r="N42" s="62" cm="1">
        <f t="array" ref="N42">INDEX(tblPrices[cv_2019], MATCH(tblBaiduUnits[[#This Row],[Products]],tblPrices[Products],0), 0)* tblBaiduUnits[[#This Row],[cv_2019]]/10^6</f>
        <v>0</v>
      </c>
      <c r="O42" s="62" cm="1">
        <f t="array" ref="O42">INDEX(tblPrices[cv_2020], MATCH(tblBaiduUnits[[#This Row],[Products]],tblPrices[Products],0), 0)* tblBaiduUnits[[#This Row],[cv_2020]]/10^6</f>
        <v>0</v>
      </c>
      <c r="P42" s="62" cm="1">
        <f t="array" ref="P42">INDEX(tblPrices[cv_2021], MATCH(tblBaiduUnits[[#This Row],[Products]],tblPrices[Products],0), 0)* tblBaiduUnits[[#This Row],[cv_2021]]/10^6</f>
        <v>0</v>
      </c>
      <c r="Q42" s="62" cm="1">
        <f t="array" ref="Q42">INDEX(tblPrices[cv_2022], MATCH(tblBaiduUnits[[#This Row],[Products]],tblPrices[Products],0), 0)* tblBaiduUnits[[#This Row],[cv_2022]]/10^6</f>
        <v>0</v>
      </c>
      <c r="R42" s="62" cm="1">
        <f t="array" ref="R42">INDEX(tblPrices[cv_2023], MATCH(tblBaiduUnits[[#This Row],[Products]],tblPrices[Products],0), 0)* tblBaiduUnits[[#This Row],[cv_2023]]/10^6</f>
        <v>0</v>
      </c>
      <c r="S42" s="62" cm="1">
        <f t="array" ref="S42">INDEX(tblPrices[cv_2024], MATCH(tblBaiduUnits[[#This Row],[Products]],tblPrices[Products],0), 0)* tblBaiduUnits[[#This Row],[cv_2024]]/10^6</f>
        <v>0</v>
      </c>
      <c r="T42" s="62" cm="1">
        <f t="array" ref="T42">INDEX(tblPrices[cv_2025], MATCH(tblBaiduUnits[[#This Row],[Products]],tblPrices[Products],0), 0)* tblBaiduUnits[[#This Row],[cv_2025]]/10^6</f>
        <v>0</v>
      </c>
      <c r="U42" s="62" cm="1">
        <f t="array" ref="U42">INDEX(tblPrices[cv_2026], MATCH(tblBaiduUnits[[#This Row],[Products]],tblPrices[Products],0), 0)* tblBaiduUnits[[#This Row],[cv_2026]]/10^6</f>
        <v>0</v>
      </c>
      <c r="V42" s="62" cm="1">
        <f t="array" ref="V42">INDEX(tblPrices[cv_2027], MATCH(tblBaiduUnits[[#This Row],[Products]],tblPrices[Products],0), 0)* tblBaiduUnits[[#This Row],[cv_2027]]/10^6</f>
        <v>0</v>
      </c>
      <c r="W42" s="62" cm="1">
        <f t="array" ref="W42">INDEX(tblPrices[cv_2028], MATCH(tblBaiduUnits[[#This Row],[Products]],tblPrices[Products],0), 0)* tblBaiduUnits[[#This Row],[cv_2028]]/10^6</f>
        <v>0</v>
      </c>
      <c r="X42" s="1">
        <f>VLOOKUP(A42,Products!$A$11:$F$110,6,FALSE)</f>
        <v>10</v>
      </c>
    </row>
    <row r="43" spans="1:24" s="1" customFormat="1" ht="13.15">
      <c r="A43" s="16" t="s">
        <v>159</v>
      </c>
      <c r="B43" s="36">
        <v>0</v>
      </c>
      <c r="C43" s="36">
        <v>0</v>
      </c>
      <c r="D43" s="36"/>
      <c r="E43" s="36"/>
      <c r="F43" s="36"/>
      <c r="G43" s="36"/>
      <c r="H43" s="36"/>
      <c r="I43" s="36"/>
      <c r="J43" s="36"/>
      <c r="K43" s="36"/>
      <c r="L43" s="36"/>
      <c r="M43" s="62" cm="1">
        <f t="array" ref="M43">INDEX(tblPrices[cv_2018], MATCH(tblBaiduUnits[[#This Row],[Products]],tblPrices[Products],0), 0)* tblBaiduUnits[[#This Row],[cv_2018]]/10^6</f>
        <v>0</v>
      </c>
      <c r="N43" s="62" cm="1">
        <f t="array" ref="N43">INDEX(tblPrices[cv_2019], MATCH(tblBaiduUnits[[#This Row],[Products]],tblPrices[Products],0), 0)* tblBaiduUnits[[#This Row],[cv_2019]]/10^6</f>
        <v>0</v>
      </c>
      <c r="O43" s="62" cm="1">
        <f t="array" ref="O43">INDEX(tblPrices[cv_2020], MATCH(tblBaiduUnits[[#This Row],[Products]],tblPrices[Products],0), 0)* tblBaiduUnits[[#This Row],[cv_2020]]/10^6</f>
        <v>0</v>
      </c>
      <c r="P43" s="62" cm="1">
        <f t="array" ref="P43">INDEX(tblPrices[cv_2021], MATCH(tblBaiduUnits[[#This Row],[Products]],tblPrices[Products],0), 0)* tblBaiduUnits[[#This Row],[cv_2021]]/10^6</f>
        <v>0</v>
      </c>
      <c r="Q43" s="62" cm="1">
        <f t="array" ref="Q43">INDEX(tblPrices[cv_2022], MATCH(tblBaiduUnits[[#This Row],[Products]],tblPrices[Products],0), 0)* tblBaiduUnits[[#This Row],[cv_2022]]/10^6</f>
        <v>0</v>
      </c>
      <c r="R43" s="62" cm="1">
        <f t="array" ref="R43">INDEX(tblPrices[cv_2023], MATCH(tblBaiduUnits[[#This Row],[Products]],tblPrices[Products],0), 0)* tblBaiduUnits[[#This Row],[cv_2023]]/10^6</f>
        <v>0</v>
      </c>
      <c r="S43" s="62" cm="1">
        <f t="array" ref="S43">INDEX(tblPrices[cv_2024], MATCH(tblBaiduUnits[[#This Row],[Products]],tblPrices[Products],0), 0)* tblBaiduUnits[[#This Row],[cv_2024]]/10^6</f>
        <v>0</v>
      </c>
      <c r="T43" s="62" cm="1">
        <f t="array" ref="T43">INDEX(tblPrices[cv_2025], MATCH(tblBaiduUnits[[#This Row],[Products]],tblPrices[Products],0), 0)* tblBaiduUnits[[#This Row],[cv_2025]]/10^6</f>
        <v>0</v>
      </c>
      <c r="U43" s="62" cm="1">
        <f t="array" ref="U43">INDEX(tblPrices[cv_2026], MATCH(tblBaiduUnits[[#This Row],[Products]],tblPrices[Products],0), 0)* tblBaiduUnits[[#This Row],[cv_2026]]/10^6</f>
        <v>0</v>
      </c>
      <c r="V43" s="62" cm="1">
        <f t="array" ref="V43">INDEX(tblPrices[cv_2027], MATCH(tblBaiduUnits[[#This Row],[Products]],tblPrices[Products],0), 0)* tblBaiduUnits[[#This Row],[cv_2027]]/10^6</f>
        <v>0</v>
      </c>
      <c r="W43" s="62" cm="1">
        <f t="array" ref="W43">INDEX(tblPrices[cv_2028], MATCH(tblBaiduUnits[[#This Row],[Products]],tblPrices[Products],0), 0)* tblBaiduUnits[[#This Row],[cv_2028]]/10^6</f>
        <v>0</v>
      </c>
      <c r="X43" s="1">
        <f>VLOOKUP(A43,Products!$A$11:$F$110,6,FALSE)</f>
        <v>10</v>
      </c>
    </row>
    <row r="44" spans="1:24" s="1" customFormat="1" ht="13.15">
      <c r="A44" s="9" t="s">
        <v>0</v>
      </c>
      <c r="B44" s="8">
        <v>0</v>
      </c>
      <c r="C44" s="8">
        <v>52632.766699999993</v>
      </c>
      <c r="D44" s="8"/>
      <c r="E44" s="8"/>
      <c r="F44" s="8"/>
      <c r="G44" s="8"/>
      <c r="H44" s="8"/>
      <c r="I44" s="8"/>
      <c r="J44" s="8"/>
      <c r="K44" s="8"/>
      <c r="L44" s="8"/>
      <c r="M44" s="62" cm="1">
        <f t="array" ref="M44">INDEX(tblPrices[cv_2018], MATCH(tblBaiduUnits[[#This Row],[Products]],tblPrices[Products],0), 0)* tblBaiduUnits[[#This Row],[cv_2018]]/10^6</f>
        <v>0</v>
      </c>
      <c r="N44" s="62" cm="1">
        <f t="array" ref="N44">INDEX(tblPrices[cv_2019], MATCH(tblBaiduUnits[[#This Row],[Products]],tblPrices[Products],0), 0)* tblBaiduUnits[[#This Row],[cv_2019]]/10^6</f>
        <v>2.4275344413214279</v>
      </c>
      <c r="O44" s="62" cm="1">
        <f t="array" ref="O44">INDEX(tblPrices[cv_2020], MATCH(tblBaiduUnits[[#This Row],[Products]],tblPrices[Products],0), 0)* tblBaiduUnits[[#This Row],[cv_2020]]/10^6</f>
        <v>0</v>
      </c>
      <c r="P44" s="62" cm="1">
        <f t="array" ref="P44">INDEX(tblPrices[cv_2021], MATCH(tblBaiduUnits[[#This Row],[Products]],tblPrices[Products],0), 0)* tblBaiduUnits[[#This Row],[cv_2021]]/10^6</f>
        <v>0</v>
      </c>
      <c r="Q44" s="62" cm="1">
        <f t="array" ref="Q44">INDEX(tblPrices[cv_2022], MATCH(tblBaiduUnits[[#This Row],[Products]],tblPrices[Products],0), 0)* tblBaiduUnits[[#This Row],[cv_2022]]/10^6</f>
        <v>0</v>
      </c>
      <c r="R44" s="62" cm="1">
        <f t="array" ref="R44">INDEX(tblPrices[cv_2023], MATCH(tblBaiduUnits[[#This Row],[Products]],tblPrices[Products],0), 0)* tblBaiduUnits[[#This Row],[cv_2023]]/10^6</f>
        <v>0</v>
      </c>
      <c r="S44" s="62" cm="1">
        <f t="array" ref="S44">INDEX(tblPrices[cv_2024], MATCH(tblBaiduUnits[[#This Row],[Products]],tblPrices[Products],0), 0)* tblBaiduUnits[[#This Row],[cv_2024]]/10^6</f>
        <v>0</v>
      </c>
      <c r="T44" s="62" cm="1">
        <f t="array" ref="T44">INDEX(tblPrices[cv_2025], MATCH(tblBaiduUnits[[#This Row],[Products]],tblPrices[Products],0), 0)* tblBaiduUnits[[#This Row],[cv_2025]]/10^6</f>
        <v>0</v>
      </c>
      <c r="U44" s="62" cm="1">
        <f t="array" ref="U44">INDEX(tblPrices[cv_2026], MATCH(tblBaiduUnits[[#This Row],[Products]],tblPrices[Products],0), 0)* tblBaiduUnits[[#This Row],[cv_2026]]/10^6</f>
        <v>0</v>
      </c>
      <c r="V44" s="62" cm="1">
        <f t="array" ref="V44">INDEX(tblPrices[cv_2027], MATCH(tblBaiduUnits[[#This Row],[Products]],tblPrices[Products],0), 0)* tblBaiduUnits[[#This Row],[cv_2027]]/10^6</f>
        <v>0</v>
      </c>
      <c r="W44" s="62" cm="1">
        <f t="array" ref="W44">INDEX(tblPrices[cv_2028], MATCH(tblBaiduUnits[[#This Row],[Products]],tblPrices[Products],0), 0)* tblBaiduUnits[[#This Row],[cv_2028]]/10^6</f>
        <v>0</v>
      </c>
      <c r="X44" s="1">
        <f>VLOOKUP(A44,Products!$A$29:$F$110,6,FALSE)</f>
        <v>40</v>
      </c>
    </row>
    <row r="45" spans="1:24" s="1" customFormat="1" ht="13.15">
      <c r="A45" s="9" t="s">
        <v>1</v>
      </c>
      <c r="B45" s="8">
        <v>35896.9977</v>
      </c>
      <c r="C45" s="8">
        <v>23459.758600000001</v>
      </c>
      <c r="D45" s="8"/>
      <c r="E45" s="8"/>
      <c r="F45" s="8"/>
      <c r="G45" s="8"/>
      <c r="H45" s="8"/>
      <c r="I45" s="8"/>
      <c r="J45" s="8"/>
      <c r="K45" s="8"/>
      <c r="L45" s="8"/>
      <c r="M45" s="62" cm="1">
        <f t="array" ref="M45">INDEX(tblPrices[cv_2018], MATCH(tblBaiduUnits[[#This Row],[Products]],tblPrices[Products],0), 0)* tblBaiduUnits[[#This Row],[cv_2018]]/10^6</f>
        <v>2.2920563473810511</v>
      </c>
      <c r="N45" s="62" cm="1">
        <f t="array" ref="N45">INDEX(tblPrices[cv_2019], MATCH(tblBaiduUnits[[#This Row],[Products]],tblPrices[Products],0), 0)* tblBaiduUnits[[#This Row],[cv_2019]]/10^6</f>
        <v>1.4555973460999998</v>
      </c>
      <c r="O45" s="62" cm="1">
        <f t="array" ref="O45">INDEX(tblPrices[cv_2020], MATCH(tblBaiduUnits[[#This Row],[Products]],tblPrices[Products],0), 0)* tblBaiduUnits[[#This Row],[cv_2020]]/10^6</f>
        <v>0</v>
      </c>
      <c r="P45" s="62" cm="1">
        <f t="array" ref="P45">INDEX(tblPrices[cv_2021], MATCH(tblBaiduUnits[[#This Row],[Products]],tblPrices[Products],0), 0)* tblBaiduUnits[[#This Row],[cv_2021]]/10^6</f>
        <v>0</v>
      </c>
      <c r="Q45" s="62" cm="1">
        <f t="array" ref="Q45">INDEX(tblPrices[cv_2022], MATCH(tblBaiduUnits[[#This Row],[Products]],tblPrices[Products],0), 0)* tblBaiduUnits[[#This Row],[cv_2022]]/10^6</f>
        <v>0</v>
      </c>
      <c r="R45" s="62" cm="1">
        <f t="array" ref="R45">INDEX(tblPrices[cv_2023], MATCH(tblBaiduUnits[[#This Row],[Products]],tblPrices[Products],0), 0)* tblBaiduUnits[[#This Row],[cv_2023]]/10^6</f>
        <v>0</v>
      </c>
      <c r="S45" s="62" cm="1">
        <f t="array" ref="S45">INDEX(tblPrices[cv_2024], MATCH(tblBaiduUnits[[#This Row],[Products]],tblPrices[Products],0), 0)* tblBaiduUnits[[#This Row],[cv_2024]]/10^6</f>
        <v>0</v>
      </c>
      <c r="T45" s="62" cm="1">
        <f t="array" ref="T45">INDEX(tblPrices[cv_2025], MATCH(tblBaiduUnits[[#This Row],[Products]],tblPrices[Products],0), 0)* tblBaiduUnits[[#This Row],[cv_2025]]/10^6</f>
        <v>0</v>
      </c>
      <c r="U45" s="62" cm="1">
        <f t="array" ref="U45">INDEX(tblPrices[cv_2026], MATCH(tblBaiduUnits[[#This Row],[Products]],tblPrices[Products],0), 0)* tblBaiduUnits[[#This Row],[cv_2026]]/10^6</f>
        <v>0</v>
      </c>
      <c r="V45" s="62" cm="1">
        <f t="array" ref="V45">INDEX(tblPrices[cv_2027], MATCH(tblBaiduUnits[[#This Row],[Products]],tblPrices[Products],0), 0)* tblBaiduUnits[[#This Row],[cv_2027]]/10^6</f>
        <v>0</v>
      </c>
      <c r="W45" s="62" cm="1">
        <f t="array" ref="W45">INDEX(tblPrices[cv_2028], MATCH(tblBaiduUnits[[#This Row],[Products]],tblPrices[Products],0), 0)* tblBaiduUnits[[#This Row],[cv_2028]]/10^6</f>
        <v>0</v>
      </c>
      <c r="X45" s="1">
        <f>VLOOKUP(A45,Products!$A$29:$F$110,6,FALSE)</f>
        <v>40</v>
      </c>
    </row>
    <row r="46" spans="1:24" s="1" customFormat="1" ht="13.15">
      <c r="A46" s="9" t="s">
        <v>2</v>
      </c>
      <c r="B46" s="8">
        <v>3995.7686999999992</v>
      </c>
      <c r="C46" s="8">
        <v>9628.1564999999991</v>
      </c>
      <c r="D46" s="8"/>
      <c r="E46" s="8"/>
      <c r="F46" s="8"/>
      <c r="G46" s="8"/>
      <c r="H46" s="8"/>
      <c r="I46" s="8"/>
      <c r="J46" s="8"/>
      <c r="K46" s="8"/>
      <c r="L46" s="8"/>
      <c r="M46" s="62" cm="1">
        <f t="array" ref="M46">INDEX(tblPrices[cv_2018], MATCH(tblBaiduUnits[[#This Row],[Products]],tblPrices[Products],0), 0)* tblBaiduUnits[[#This Row],[cv_2018]]/10^6</f>
        <v>1.2134597198219998</v>
      </c>
      <c r="N46" s="62" cm="1">
        <f t="array" ref="N46">INDEX(tblPrices[cv_2019], MATCH(tblBaiduUnits[[#This Row],[Products]],tblPrices[Products],0), 0)* tblBaiduUnits[[#This Row],[cv_2019]]/10^6</f>
        <v>2.4400779205494914</v>
      </c>
      <c r="O46" s="62" cm="1">
        <f t="array" ref="O46">INDEX(tblPrices[cv_2020], MATCH(tblBaiduUnits[[#This Row],[Products]],tblPrices[Products],0), 0)* tblBaiduUnits[[#This Row],[cv_2020]]/10^6</f>
        <v>0</v>
      </c>
      <c r="P46" s="62" cm="1">
        <f t="array" ref="P46">INDEX(tblPrices[cv_2021], MATCH(tblBaiduUnits[[#This Row],[Products]],tblPrices[Products],0), 0)* tblBaiduUnits[[#This Row],[cv_2021]]/10^6</f>
        <v>0</v>
      </c>
      <c r="Q46" s="62" cm="1">
        <f t="array" ref="Q46">INDEX(tblPrices[cv_2022], MATCH(tblBaiduUnits[[#This Row],[Products]],tblPrices[Products],0), 0)* tblBaiduUnits[[#This Row],[cv_2022]]/10^6</f>
        <v>0</v>
      </c>
      <c r="R46" s="62" cm="1">
        <f t="array" ref="R46">INDEX(tblPrices[cv_2023], MATCH(tblBaiduUnits[[#This Row],[Products]],tblPrices[Products],0), 0)* tblBaiduUnits[[#This Row],[cv_2023]]/10^6</f>
        <v>0</v>
      </c>
      <c r="S46" s="62" cm="1">
        <f t="array" ref="S46">INDEX(tblPrices[cv_2024], MATCH(tblBaiduUnits[[#This Row],[Products]],tblPrices[Products],0), 0)* tblBaiduUnits[[#This Row],[cv_2024]]/10^6</f>
        <v>0</v>
      </c>
      <c r="T46" s="62" cm="1">
        <f t="array" ref="T46">INDEX(tblPrices[cv_2025], MATCH(tblBaiduUnits[[#This Row],[Products]],tblPrices[Products],0), 0)* tblBaiduUnits[[#This Row],[cv_2025]]/10^6</f>
        <v>0</v>
      </c>
      <c r="U46" s="62" cm="1">
        <f t="array" ref="U46">INDEX(tblPrices[cv_2026], MATCH(tblBaiduUnits[[#This Row],[Products]],tblPrices[Products],0), 0)* tblBaiduUnits[[#This Row],[cv_2026]]/10^6</f>
        <v>0</v>
      </c>
      <c r="V46" s="62" cm="1">
        <f t="array" ref="V46">INDEX(tblPrices[cv_2027], MATCH(tblBaiduUnits[[#This Row],[Products]],tblPrices[Products],0), 0)* tblBaiduUnits[[#This Row],[cv_2027]]/10^6</f>
        <v>0</v>
      </c>
      <c r="W46" s="62" cm="1">
        <f t="array" ref="W46">INDEX(tblPrices[cv_2028], MATCH(tblBaiduUnits[[#This Row],[Products]],tblPrices[Products],0), 0)* tblBaiduUnits[[#This Row],[cv_2028]]/10^6</f>
        <v>0</v>
      </c>
      <c r="X46" s="1">
        <f>VLOOKUP(A46,Products!$A$29:$F$110,6,FALSE)</f>
        <v>40</v>
      </c>
    </row>
    <row r="47" spans="1:24" s="1" customFormat="1" ht="13.15">
      <c r="A47" s="9" t="s">
        <v>3</v>
      </c>
      <c r="B47" s="8">
        <v>28191.247155000001</v>
      </c>
      <c r="C47" s="8">
        <v>87473.848704000004</v>
      </c>
      <c r="D47" s="8"/>
      <c r="E47" s="8"/>
      <c r="F47" s="8"/>
      <c r="G47" s="8"/>
      <c r="H47" s="8"/>
      <c r="I47" s="8"/>
      <c r="J47" s="8"/>
      <c r="K47" s="8"/>
      <c r="L47" s="8"/>
      <c r="M47" s="62" cm="1">
        <f t="array" ref="M47">INDEX(tblPrices[cv_2018], MATCH(tblBaiduUnits[[#This Row],[Products]],tblPrices[Products],0), 0)* tblBaiduUnits[[#This Row],[cv_2018]]/10^6</f>
        <v>3.2010267431463451</v>
      </c>
      <c r="N47" s="62" cm="1">
        <f t="array" ref="N47">INDEX(tblPrices[cv_2019], MATCH(tblBaiduUnits[[#This Row],[Products]],tblPrices[Products],0), 0)* tblBaiduUnits[[#This Row],[cv_2019]]/10^6</f>
        <v>7.4344567413101714</v>
      </c>
      <c r="O47" s="62" cm="1">
        <f t="array" ref="O47">INDEX(tblPrices[cv_2020], MATCH(tblBaiduUnits[[#This Row],[Products]],tblPrices[Products],0), 0)* tblBaiduUnits[[#This Row],[cv_2020]]/10^6</f>
        <v>0</v>
      </c>
      <c r="P47" s="62" cm="1">
        <f t="array" ref="P47">INDEX(tblPrices[cv_2021], MATCH(tblBaiduUnits[[#This Row],[Products]],tblPrices[Products],0), 0)* tblBaiduUnits[[#This Row],[cv_2021]]/10^6</f>
        <v>0</v>
      </c>
      <c r="Q47" s="62" cm="1">
        <f t="array" ref="Q47">INDEX(tblPrices[cv_2022], MATCH(tblBaiduUnits[[#This Row],[Products]],tblPrices[Products],0), 0)* tblBaiduUnits[[#This Row],[cv_2022]]/10^6</f>
        <v>0</v>
      </c>
      <c r="R47" s="62" cm="1">
        <f t="array" ref="R47">INDEX(tblPrices[cv_2023], MATCH(tblBaiduUnits[[#This Row],[Products]],tblPrices[Products],0), 0)* tblBaiduUnits[[#This Row],[cv_2023]]/10^6</f>
        <v>0</v>
      </c>
      <c r="S47" s="62" cm="1">
        <f t="array" ref="S47">INDEX(tblPrices[cv_2024], MATCH(tblBaiduUnits[[#This Row],[Products]],tblPrices[Products],0), 0)* tblBaiduUnits[[#This Row],[cv_2024]]/10^6</f>
        <v>0</v>
      </c>
      <c r="T47" s="62" cm="1">
        <f t="array" ref="T47">INDEX(tblPrices[cv_2025], MATCH(tblBaiduUnits[[#This Row],[Products]],tblPrices[Products],0), 0)* tblBaiduUnits[[#This Row],[cv_2025]]/10^6</f>
        <v>0</v>
      </c>
      <c r="U47" s="62" cm="1">
        <f t="array" ref="U47">INDEX(tblPrices[cv_2026], MATCH(tblBaiduUnits[[#This Row],[Products]],tblPrices[Products],0), 0)* tblBaiduUnits[[#This Row],[cv_2026]]/10^6</f>
        <v>0</v>
      </c>
      <c r="V47" s="62" cm="1">
        <f t="array" ref="V47">INDEX(tblPrices[cv_2027], MATCH(tblBaiduUnits[[#This Row],[Products]],tblPrices[Products],0), 0)* tblBaiduUnits[[#This Row],[cv_2027]]/10^6</f>
        <v>0</v>
      </c>
      <c r="W47" s="62" cm="1">
        <f t="array" ref="W47">INDEX(tblPrices[cv_2028], MATCH(tblBaiduUnits[[#This Row],[Products]],tblPrices[Products],0), 0)* tblBaiduUnits[[#This Row],[cv_2028]]/10^6</f>
        <v>0</v>
      </c>
      <c r="X47" s="1">
        <f>VLOOKUP(A47,Products!$A$29:$F$110,6,FALSE)</f>
        <v>100</v>
      </c>
    </row>
    <row r="48" spans="1:24" s="1" customFormat="1" ht="13.15">
      <c r="A48" s="9" t="s">
        <v>4</v>
      </c>
      <c r="B48" s="8">
        <v>162.26999999999998</v>
      </c>
      <c r="C48" s="8">
        <v>957.21600000000012</v>
      </c>
      <c r="D48" s="8"/>
      <c r="E48" s="8"/>
      <c r="F48" s="8"/>
      <c r="G48" s="8"/>
      <c r="H48" s="8"/>
      <c r="I48" s="8"/>
      <c r="J48" s="8"/>
      <c r="K48" s="8"/>
      <c r="L48" s="8"/>
      <c r="M48" s="62" cm="1">
        <f t="array" ref="M48">INDEX(tblPrices[cv_2018], MATCH(tblBaiduUnits[[#This Row],[Products]],tblPrices[Products],0), 0)* tblBaiduUnits[[#This Row],[cv_2018]]/10^6</f>
        <v>2.7585899999999997E-2</v>
      </c>
      <c r="N48" s="62" cm="1">
        <f t="array" ref="N48">INDEX(tblPrices[cv_2019], MATCH(tblBaiduUnits[[#This Row],[Products]],tblPrices[Products],0), 0)* tblBaiduUnits[[#This Row],[cv_2019]]/10^6</f>
        <v>0.11965200000000001</v>
      </c>
      <c r="O48" s="62" cm="1">
        <f t="array" ref="O48">INDEX(tblPrices[cv_2020], MATCH(tblBaiduUnits[[#This Row],[Products]],tblPrices[Products],0), 0)* tblBaiduUnits[[#This Row],[cv_2020]]/10^6</f>
        <v>0</v>
      </c>
      <c r="P48" s="62" cm="1">
        <f t="array" ref="P48">INDEX(tblPrices[cv_2021], MATCH(tblBaiduUnits[[#This Row],[Products]],tblPrices[Products],0), 0)* tblBaiduUnits[[#This Row],[cv_2021]]/10^6</f>
        <v>0</v>
      </c>
      <c r="Q48" s="62" cm="1">
        <f t="array" ref="Q48">INDEX(tblPrices[cv_2022], MATCH(tblBaiduUnits[[#This Row],[Products]],tblPrices[Products],0), 0)* tblBaiduUnits[[#This Row],[cv_2022]]/10^6</f>
        <v>0</v>
      </c>
      <c r="R48" s="62" cm="1">
        <f t="array" ref="R48">INDEX(tblPrices[cv_2023], MATCH(tblBaiduUnits[[#This Row],[Products]],tblPrices[Products],0), 0)* tblBaiduUnits[[#This Row],[cv_2023]]/10^6</f>
        <v>0</v>
      </c>
      <c r="S48" s="62" cm="1">
        <f t="array" ref="S48">INDEX(tblPrices[cv_2024], MATCH(tblBaiduUnits[[#This Row],[Products]],tblPrices[Products],0), 0)* tblBaiduUnits[[#This Row],[cv_2024]]/10^6</f>
        <v>0</v>
      </c>
      <c r="T48" s="62" cm="1">
        <f t="array" ref="T48">INDEX(tblPrices[cv_2025], MATCH(tblBaiduUnits[[#This Row],[Products]],tblPrices[Products],0), 0)* tblBaiduUnits[[#This Row],[cv_2025]]/10^6</f>
        <v>0</v>
      </c>
      <c r="U48" s="62" cm="1">
        <f t="array" ref="U48">INDEX(tblPrices[cv_2026], MATCH(tblBaiduUnits[[#This Row],[Products]],tblPrices[Products],0), 0)* tblBaiduUnits[[#This Row],[cv_2026]]/10^6</f>
        <v>0</v>
      </c>
      <c r="V48" s="62" cm="1">
        <f t="array" ref="V48">INDEX(tblPrices[cv_2027], MATCH(tblBaiduUnits[[#This Row],[Products]],tblPrices[Products],0), 0)* tblBaiduUnits[[#This Row],[cv_2027]]/10^6</f>
        <v>0</v>
      </c>
      <c r="W48" s="62" cm="1">
        <f t="array" ref="W48">INDEX(tblPrices[cv_2028], MATCH(tblBaiduUnits[[#This Row],[Products]],tblPrices[Products],0), 0)* tblBaiduUnits[[#This Row],[cv_2028]]/10^6</f>
        <v>0</v>
      </c>
      <c r="X48" s="1">
        <f>VLOOKUP(A48,Products!$A$29:$F$110,6,FALSE)</f>
        <v>100</v>
      </c>
    </row>
    <row r="49" spans="1:24" s="1" customFormat="1" ht="13.15">
      <c r="A49" s="9" t="s">
        <v>5</v>
      </c>
      <c r="B49" s="8">
        <v>5813.5015083333337</v>
      </c>
      <c r="C49" s="8">
        <v>13759.514249999998</v>
      </c>
      <c r="D49" s="8"/>
      <c r="E49" s="8"/>
      <c r="F49" s="8"/>
      <c r="G49" s="8"/>
      <c r="H49" s="8"/>
      <c r="I49" s="8"/>
      <c r="J49" s="8"/>
      <c r="K49" s="8"/>
      <c r="L49" s="8"/>
      <c r="M49" s="62" cm="1">
        <f t="array" ref="M49">INDEX(tblPrices[cv_2018], MATCH(tblBaiduUnits[[#This Row],[Products]],tblPrices[Products],0), 0)* tblBaiduUnits[[#This Row],[cv_2018]]/10^6</f>
        <v>2.8486157390833333</v>
      </c>
      <c r="N49" s="62" cm="1">
        <f t="array" ref="N49">INDEX(tblPrices[cv_2019], MATCH(tblBaiduUnits[[#This Row],[Products]],tblPrices[Products],0), 0)* tblBaiduUnits[[#This Row],[cv_2019]]/10^6</f>
        <v>3.3022834199999993</v>
      </c>
      <c r="O49" s="62" cm="1">
        <f t="array" ref="O49">INDEX(tblPrices[cv_2020], MATCH(tblBaiduUnits[[#This Row],[Products]],tblPrices[Products],0), 0)* tblBaiduUnits[[#This Row],[cv_2020]]/10^6</f>
        <v>0</v>
      </c>
      <c r="P49" s="62" cm="1">
        <f t="array" ref="P49">INDEX(tblPrices[cv_2021], MATCH(tblBaiduUnits[[#This Row],[Products]],tblPrices[Products],0), 0)* tblBaiduUnits[[#This Row],[cv_2021]]/10^6</f>
        <v>0</v>
      </c>
      <c r="Q49" s="62" cm="1">
        <f t="array" ref="Q49">INDEX(tblPrices[cv_2022], MATCH(tblBaiduUnits[[#This Row],[Products]],tblPrices[Products],0), 0)* tblBaiduUnits[[#This Row],[cv_2022]]/10^6</f>
        <v>0</v>
      </c>
      <c r="R49" s="62" cm="1">
        <f t="array" ref="R49">INDEX(tblPrices[cv_2023], MATCH(tblBaiduUnits[[#This Row],[Products]],tblPrices[Products],0), 0)* tblBaiduUnits[[#This Row],[cv_2023]]/10^6</f>
        <v>0</v>
      </c>
      <c r="S49" s="62" cm="1">
        <f t="array" ref="S49">INDEX(tblPrices[cv_2024], MATCH(tblBaiduUnits[[#This Row],[Products]],tblPrices[Products],0), 0)* tblBaiduUnits[[#This Row],[cv_2024]]/10^6</f>
        <v>0</v>
      </c>
      <c r="T49" s="62" cm="1">
        <f t="array" ref="T49">INDEX(tblPrices[cv_2025], MATCH(tblBaiduUnits[[#This Row],[Products]],tblPrices[Products],0), 0)* tblBaiduUnits[[#This Row],[cv_2025]]/10^6</f>
        <v>0</v>
      </c>
      <c r="U49" s="62" cm="1">
        <f t="array" ref="U49">INDEX(tblPrices[cv_2026], MATCH(tblBaiduUnits[[#This Row],[Products]],tblPrices[Products],0), 0)* tblBaiduUnits[[#This Row],[cv_2026]]/10^6</f>
        <v>0</v>
      </c>
      <c r="V49" s="62" cm="1">
        <f t="array" ref="V49">INDEX(tblPrices[cv_2027], MATCH(tblBaiduUnits[[#This Row],[Products]],tblPrices[Products],0), 0)* tblBaiduUnits[[#This Row],[cv_2027]]/10^6</f>
        <v>0</v>
      </c>
      <c r="W49" s="62" cm="1">
        <f t="array" ref="W49">INDEX(tblPrices[cv_2028], MATCH(tblBaiduUnits[[#This Row],[Products]],tblPrices[Products],0), 0)* tblBaiduUnits[[#This Row],[cv_2028]]/10^6</f>
        <v>0</v>
      </c>
      <c r="X49" s="1">
        <f>VLOOKUP(A49,Products!$A$29:$F$110,6,FALSE)</f>
        <v>100</v>
      </c>
    </row>
    <row r="50" spans="1:24" s="1" customFormat="1" ht="13.15">
      <c r="A50" s="9" t="s">
        <v>6</v>
      </c>
      <c r="B50" s="8">
        <v>1798.7662701029412</v>
      </c>
      <c r="C50" s="8">
        <v>1884.7849504999997</v>
      </c>
      <c r="D50" s="8"/>
      <c r="E50" s="8"/>
      <c r="F50" s="8"/>
      <c r="G50" s="8"/>
      <c r="H50" s="8"/>
      <c r="I50" s="8"/>
      <c r="J50" s="8"/>
      <c r="K50" s="8"/>
      <c r="L50" s="8"/>
      <c r="M50" s="62" cm="1">
        <f t="array" ref="M50">INDEX(tblPrices[cv_2018], MATCH(tblBaiduUnits[[#This Row],[Products]],tblPrices[Products],0), 0)* tblBaiduUnits[[#This Row],[cv_2018]]/10^6</f>
        <v>1.4998703387167109</v>
      </c>
      <c r="N50" s="62" cm="1">
        <f t="array" ref="N50">INDEX(tblPrices[cv_2019], MATCH(tblBaiduUnits[[#This Row],[Products]],tblPrices[Products],0), 0)* tblBaiduUnits[[#This Row],[cv_2019]]/10^6</f>
        <v>0.99344599217647467</v>
      </c>
      <c r="O50" s="62" cm="1">
        <f t="array" ref="O50">INDEX(tblPrices[cv_2020], MATCH(tblBaiduUnits[[#This Row],[Products]],tblPrices[Products],0), 0)* tblBaiduUnits[[#This Row],[cv_2020]]/10^6</f>
        <v>0</v>
      </c>
      <c r="P50" s="62" cm="1">
        <f t="array" ref="P50">INDEX(tblPrices[cv_2021], MATCH(tblBaiduUnits[[#This Row],[Products]],tblPrices[Products],0), 0)* tblBaiduUnits[[#This Row],[cv_2021]]/10^6</f>
        <v>0</v>
      </c>
      <c r="Q50" s="62" cm="1">
        <f t="array" ref="Q50">INDEX(tblPrices[cv_2022], MATCH(tblBaiduUnits[[#This Row],[Products]],tblPrices[Products],0), 0)* tblBaiduUnits[[#This Row],[cv_2022]]/10^6</f>
        <v>0</v>
      </c>
      <c r="R50" s="62" cm="1">
        <f t="array" ref="R50">INDEX(tblPrices[cv_2023], MATCH(tblBaiduUnits[[#This Row],[Products]],tblPrices[Products],0), 0)* tblBaiduUnits[[#This Row],[cv_2023]]/10^6</f>
        <v>0</v>
      </c>
      <c r="S50" s="62" cm="1">
        <f t="array" ref="S50">INDEX(tblPrices[cv_2024], MATCH(tblBaiduUnits[[#This Row],[Products]],tblPrices[Products],0), 0)* tblBaiduUnits[[#This Row],[cv_2024]]/10^6</f>
        <v>0</v>
      </c>
      <c r="T50" s="62" cm="1">
        <f t="array" ref="T50">INDEX(tblPrices[cv_2025], MATCH(tblBaiduUnits[[#This Row],[Products]],tblPrices[Products],0), 0)* tblBaiduUnits[[#This Row],[cv_2025]]/10^6</f>
        <v>0</v>
      </c>
      <c r="U50" s="62" cm="1">
        <f t="array" ref="U50">INDEX(tblPrices[cv_2026], MATCH(tblBaiduUnits[[#This Row],[Products]],tblPrices[Products],0), 0)* tblBaiduUnits[[#This Row],[cv_2026]]/10^6</f>
        <v>0</v>
      </c>
      <c r="V50" s="62" cm="1">
        <f t="array" ref="V50">INDEX(tblPrices[cv_2027], MATCH(tblBaiduUnits[[#This Row],[Products]],tblPrices[Products],0), 0)* tblBaiduUnits[[#This Row],[cv_2027]]/10^6</f>
        <v>0</v>
      </c>
      <c r="W50" s="62" cm="1">
        <f t="array" ref="W50">INDEX(tblPrices[cv_2028], MATCH(tblBaiduUnits[[#This Row],[Products]],tblPrices[Products],0), 0)* tblBaiduUnits[[#This Row],[cv_2028]]/10^6</f>
        <v>0</v>
      </c>
      <c r="X50" s="1">
        <f>VLOOKUP(A50,Products!$A$29:$F$110,6,FALSE)</f>
        <v>100</v>
      </c>
    </row>
    <row r="51" spans="1:24" s="1" customFormat="1" ht="13.15">
      <c r="A51" s="9" t="s">
        <v>7</v>
      </c>
      <c r="B51" s="8">
        <v>264.00000000000006</v>
      </c>
      <c r="C51" s="8">
        <v>344.54352000000006</v>
      </c>
      <c r="D51" s="8"/>
      <c r="E51" s="8"/>
      <c r="F51" s="8"/>
      <c r="G51" s="8"/>
      <c r="H51" s="8"/>
      <c r="I51" s="8"/>
      <c r="J51" s="8"/>
      <c r="K51" s="8"/>
      <c r="L51" s="8"/>
      <c r="M51" s="62" cm="1">
        <f t="array" ref="M51">INDEX(tblPrices[cv_2018], MATCH(tblBaiduUnits[[#This Row],[Products]],tblPrices[Products],0), 0)* tblBaiduUnits[[#This Row],[cv_2018]]/10^6</f>
        <v>7.920000000000002E-2</v>
      </c>
      <c r="N51" s="62" cm="1">
        <f t="array" ref="N51">INDEX(tblPrices[cv_2019], MATCH(tblBaiduUnits[[#This Row],[Products]],tblPrices[Products],0), 0)* tblBaiduUnits[[#This Row],[cv_2019]]/10^6</f>
        <v>7.1051262854126163E-2</v>
      </c>
      <c r="O51" s="62" cm="1">
        <f t="array" ref="O51">INDEX(tblPrices[cv_2020], MATCH(tblBaiduUnits[[#This Row],[Products]],tblPrices[Products],0), 0)* tblBaiduUnits[[#This Row],[cv_2020]]/10^6</f>
        <v>0</v>
      </c>
      <c r="P51" s="62" cm="1">
        <f t="array" ref="P51">INDEX(tblPrices[cv_2021], MATCH(tblBaiduUnits[[#This Row],[Products]],tblPrices[Products],0), 0)* tblBaiduUnits[[#This Row],[cv_2021]]/10^6</f>
        <v>0</v>
      </c>
      <c r="Q51" s="62" cm="1">
        <f t="array" ref="Q51">INDEX(tblPrices[cv_2022], MATCH(tblBaiduUnits[[#This Row],[Products]],tblPrices[Products],0), 0)* tblBaiduUnits[[#This Row],[cv_2022]]/10^6</f>
        <v>0</v>
      </c>
      <c r="R51" s="62" cm="1">
        <f t="array" ref="R51">INDEX(tblPrices[cv_2023], MATCH(tblBaiduUnits[[#This Row],[Products]],tblPrices[Products],0), 0)* tblBaiduUnits[[#This Row],[cv_2023]]/10^6</f>
        <v>0</v>
      </c>
      <c r="S51" s="62" cm="1">
        <f t="array" ref="S51">INDEX(tblPrices[cv_2024], MATCH(tblBaiduUnits[[#This Row],[Products]],tblPrices[Products],0), 0)* tblBaiduUnits[[#This Row],[cv_2024]]/10^6</f>
        <v>0</v>
      </c>
      <c r="T51" s="62" cm="1">
        <f t="array" ref="T51">INDEX(tblPrices[cv_2025], MATCH(tblBaiduUnits[[#This Row],[Products]],tblPrices[Products],0), 0)* tblBaiduUnits[[#This Row],[cv_2025]]/10^6</f>
        <v>0</v>
      </c>
      <c r="U51" s="62" cm="1">
        <f t="array" ref="U51">INDEX(tblPrices[cv_2026], MATCH(tblBaiduUnits[[#This Row],[Products]],tblPrices[Products],0), 0)* tblBaiduUnits[[#This Row],[cv_2026]]/10^6</f>
        <v>0</v>
      </c>
      <c r="V51" s="62" cm="1">
        <f t="array" ref="V51">INDEX(tblPrices[cv_2027], MATCH(tblBaiduUnits[[#This Row],[Products]],tblPrices[Products],0), 0)* tblBaiduUnits[[#This Row],[cv_2027]]/10^6</f>
        <v>0</v>
      </c>
      <c r="W51" s="62" cm="1">
        <f t="array" ref="W51">INDEX(tblPrices[cv_2028], MATCH(tblBaiduUnits[[#This Row],[Products]],tblPrices[Products],0), 0)* tblBaiduUnits[[#This Row],[cv_2028]]/10^6</f>
        <v>0</v>
      </c>
      <c r="X51" s="1">
        <f>VLOOKUP(A51,Products!$A$29:$F$110,6,FALSE)</f>
        <v>100</v>
      </c>
    </row>
    <row r="52" spans="1:24" s="1" customFormat="1" ht="13.15">
      <c r="A52" s="9" t="s">
        <v>8</v>
      </c>
      <c r="B52" s="8">
        <v>0</v>
      </c>
      <c r="C52" s="8">
        <v>32.711999999999996</v>
      </c>
      <c r="D52" s="8"/>
      <c r="E52" s="8"/>
      <c r="F52" s="8"/>
      <c r="G52" s="8"/>
      <c r="H52" s="8"/>
      <c r="I52" s="8"/>
      <c r="J52" s="8"/>
      <c r="K52" s="8"/>
      <c r="L52" s="8"/>
      <c r="M52" s="62" cm="1">
        <f t="array" ref="M52">INDEX(tblPrices[cv_2018], MATCH(tblBaiduUnits[[#This Row],[Products]],tblPrices[Products],0), 0)* tblBaiduUnits[[#This Row],[cv_2018]]/10^6</f>
        <v>0</v>
      </c>
      <c r="N52" s="62" cm="1">
        <f t="array" ref="N52">INDEX(tblPrices[cv_2019], MATCH(tblBaiduUnits[[#This Row],[Products]],tblPrices[Products],0), 0)* tblBaiduUnits[[#This Row],[cv_2019]]/10^6</f>
        <v>5.5860487998590266E-2</v>
      </c>
      <c r="O52" s="62" cm="1">
        <f t="array" ref="O52">INDEX(tblPrices[cv_2020], MATCH(tblBaiduUnits[[#This Row],[Products]],tblPrices[Products],0), 0)* tblBaiduUnits[[#This Row],[cv_2020]]/10^6</f>
        <v>0</v>
      </c>
      <c r="P52" s="62" cm="1">
        <f t="array" ref="P52">INDEX(tblPrices[cv_2021], MATCH(tblBaiduUnits[[#This Row],[Products]],tblPrices[Products],0), 0)* tblBaiduUnits[[#This Row],[cv_2021]]/10^6</f>
        <v>0</v>
      </c>
      <c r="Q52" s="62" cm="1">
        <f t="array" ref="Q52">INDEX(tblPrices[cv_2022], MATCH(tblBaiduUnits[[#This Row],[Products]],tblPrices[Products],0), 0)* tblBaiduUnits[[#This Row],[cv_2022]]/10^6</f>
        <v>0</v>
      </c>
      <c r="R52" s="62" cm="1">
        <f t="array" ref="R52">INDEX(tblPrices[cv_2023], MATCH(tblBaiduUnits[[#This Row],[Products]],tblPrices[Products],0), 0)* tblBaiduUnits[[#This Row],[cv_2023]]/10^6</f>
        <v>0</v>
      </c>
      <c r="S52" s="62" cm="1">
        <f t="array" ref="S52">INDEX(tblPrices[cv_2024], MATCH(tblBaiduUnits[[#This Row],[Products]],tblPrices[Products],0), 0)* tblBaiduUnits[[#This Row],[cv_2024]]/10^6</f>
        <v>0</v>
      </c>
      <c r="T52" s="62" cm="1">
        <f t="array" ref="T52">INDEX(tblPrices[cv_2025], MATCH(tblBaiduUnits[[#This Row],[Products]],tblPrices[Products],0), 0)* tblBaiduUnits[[#This Row],[cv_2025]]/10^6</f>
        <v>0</v>
      </c>
      <c r="U52" s="62" cm="1">
        <f t="array" ref="U52">INDEX(tblPrices[cv_2026], MATCH(tblBaiduUnits[[#This Row],[Products]],tblPrices[Products],0), 0)* tblBaiduUnits[[#This Row],[cv_2026]]/10^6</f>
        <v>0</v>
      </c>
      <c r="V52" s="62" cm="1">
        <f t="array" ref="V52">INDEX(tblPrices[cv_2027], MATCH(tblBaiduUnits[[#This Row],[Products]],tblPrices[Products],0), 0)* tblBaiduUnits[[#This Row],[cv_2027]]/10^6</f>
        <v>0</v>
      </c>
      <c r="W52" s="62" cm="1">
        <f t="array" ref="W52">INDEX(tblPrices[cv_2028], MATCH(tblBaiduUnits[[#This Row],[Products]],tblPrices[Products],0), 0)* tblBaiduUnits[[#This Row],[cv_2028]]/10^6</f>
        <v>0</v>
      </c>
      <c r="X52" s="1">
        <f>VLOOKUP(A52,Products!$A$29:$F$110,6,FALSE)</f>
        <v>100</v>
      </c>
    </row>
    <row r="53" spans="1:24" s="1" customFormat="1" ht="13.15">
      <c r="A53" s="9" t="s">
        <v>44</v>
      </c>
      <c r="B53" s="8">
        <v>0</v>
      </c>
      <c r="C53" s="8">
        <v>0</v>
      </c>
      <c r="D53" s="8"/>
      <c r="E53" s="8"/>
      <c r="F53" s="8"/>
      <c r="G53" s="8"/>
      <c r="H53" s="8"/>
      <c r="I53" s="8"/>
      <c r="J53" s="8"/>
      <c r="K53" s="8"/>
      <c r="L53" s="8"/>
      <c r="M53" s="62" cm="1">
        <f t="array" ref="M53">INDEX(tblPrices[cv_2018], MATCH(tblBaiduUnits[[#This Row],[Products]],tblPrices[Products],0), 0)* tblBaiduUnits[[#This Row],[cv_2018]]/10^6</f>
        <v>0</v>
      </c>
      <c r="N53" s="62" cm="1">
        <f t="array" ref="N53">INDEX(tblPrices[cv_2019], MATCH(tblBaiduUnits[[#This Row],[Products]],tblPrices[Products],0), 0)* tblBaiduUnits[[#This Row],[cv_2019]]/10^6</f>
        <v>0</v>
      </c>
      <c r="O53" s="62" cm="1">
        <f t="array" ref="O53">INDEX(tblPrices[cv_2020], MATCH(tblBaiduUnits[[#This Row],[Products]],tblPrices[Products],0), 0)* tblBaiduUnits[[#This Row],[cv_2020]]/10^6</f>
        <v>0</v>
      </c>
      <c r="P53" s="62" cm="1">
        <f t="array" ref="P53">INDEX(tblPrices[cv_2021], MATCH(tblBaiduUnits[[#This Row],[Products]],tblPrices[Products],0), 0)* tblBaiduUnits[[#This Row],[cv_2021]]/10^6</f>
        <v>0</v>
      </c>
      <c r="Q53" s="62" cm="1">
        <f t="array" ref="Q53">INDEX(tblPrices[cv_2022], MATCH(tblBaiduUnits[[#This Row],[Products]],tblPrices[Products],0), 0)* tblBaiduUnits[[#This Row],[cv_2022]]/10^6</f>
        <v>0</v>
      </c>
      <c r="R53" s="62" cm="1">
        <f t="array" ref="R53">INDEX(tblPrices[cv_2023], MATCH(tblBaiduUnits[[#This Row],[Products]],tblPrices[Products],0), 0)* tblBaiduUnits[[#This Row],[cv_2023]]/10^6</f>
        <v>0</v>
      </c>
      <c r="S53" s="62" cm="1">
        <f t="array" ref="S53">INDEX(tblPrices[cv_2024], MATCH(tblBaiduUnits[[#This Row],[Products]],tblPrices[Products],0), 0)* tblBaiduUnits[[#This Row],[cv_2024]]/10^6</f>
        <v>0</v>
      </c>
      <c r="T53" s="62" cm="1">
        <f t="array" ref="T53">INDEX(tblPrices[cv_2025], MATCH(tblBaiduUnits[[#This Row],[Products]],tblPrices[Products],0), 0)* tblBaiduUnits[[#This Row],[cv_2025]]/10^6</f>
        <v>0</v>
      </c>
      <c r="U53" s="62" cm="1">
        <f t="array" ref="U53">INDEX(tblPrices[cv_2026], MATCH(tblBaiduUnits[[#This Row],[Products]],tblPrices[Products],0), 0)* tblBaiduUnits[[#This Row],[cv_2026]]/10^6</f>
        <v>0</v>
      </c>
      <c r="V53" s="62" cm="1">
        <f t="array" ref="V53">INDEX(tblPrices[cv_2027], MATCH(tblBaiduUnits[[#This Row],[Products]],tblPrices[Products],0), 0)* tblBaiduUnits[[#This Row],[cv_2027]]/10^6</f>
        <v>0</v>
      </c>
      <c r="W53" s="62" cm="1">
        <f t="array" ref="W53">INDEX(tblPrices[cv_2028], MATCH(tblBaiduUnits[[#This Row],[Products]],tblPrices[Products],0), 0)* tblBaiduUnits[[#This Row],[cv_2028]]/10^6</f>
        <v>0</v>
      </c>
      <c r="X53" s="1">
        <f>VLOOKUP(A53,Products!$A$29:$F$110,6,FALSE)</f>
        <v>100</v>
      </c>
    </row>
    <row r="54" spans="1:24" s="1" customFormat="1" ht="13.15">
      <c r="A54" s="9" t="s">
        <v>45</v>
      </c>
      <c r="B54" s="8">
        <v>0</v>
      </c>
      <c r="C54" s="8">
        <v>0</v>
      </c>
      <c r="D54" s="8"/>
      <c r="E54" s="8"/>
      <c r="F54" s="8"/>
      <c r="G54" s="8"/>
      <c r="H54" s="8"/>
      <c r="I54" s="8"/>
      <c r="J54" s="8"/>
      <c r="K54" s="8"/>
      <c r="L54" s="8"/>
      <c r="M54" s="62" cm="1">
        <f t="array" ref="M54">INDEX(tblPrices[cv_2018], MATCH(tblBaiduUnits[[#This Row],[Products]],tblPrices[Products],0), 0)* tblBaiduUnits[[#This Row],[cv_2018]]/10^6</f>
        <v>0</v>
      </c>
      <c r="N54" s="62" cm="1">
        <f t="array" ref="N54">INDEX(tblPrices[cv_2019], MATCH(tblBaiduUnits[[#This Row],[Products]],tblPrices[Products],0), 0)* tblBaiduUnits[[#This Row],[cv_2019]]/10^6</f>
        <v>0</v>
      </c>
      <c r="O54" s="62" cm="1">
        <f t="array" ref="O54">INDEX(tblPrices[cv_2020], MATCH(tblBaiduUnits[[#This Row],[Products]],tblPrices[Products],0), 0)* tblBaiduUnits[[#This Row],[cv_2020]]/10^6</f>
        <v>0</v>
      </c>
      <c r="P54" s="62" cm="1">
        <f t="array" ref="P54">INDEX(tblPrices[cv_2021], MATCH(tblBaiduUnits[[#This Row],[Products]],tblPrices[Products],0), 0)* tblBaiduUnits[[#This Row],[cv_2021]]/10^6</f>
        <v>0</v>
      </c>
      <c r="Q54" s="62" cm="1">
        <f t="array" ref="Q54">INDEX(tblPrices[cv_2022], MATCH(tblBaiduUnits[[#This Row],[Products]],tblPrices[Products],0), 0)* tblBaiduUnits[[#This Row],[cv_2022]]/10^6</f>
        <v>0</v>
      </c>
      <c r="R54" s="62" cm="1">
        <f t="array" ref="R54">INDEX(tblPrices[cv_2023], MATCH(tblBaiduUnits[[#This Row],[Products]],tblPrices[Products],0), 0)* tblBaiduUnits[[#This Row],[cv_2023]]/10^6</f>
        <v>0</v>
      </c>
      <c r="S54" s="62" cm="1">
        <f t="array" ref="S54">INDEX(tblPrices[cv_2024], MATCH(tblBaiduUnits[[#This Row],[Products]],tblPrices[Products],0), 0)* tblBaiduUnits[[#This Row],[cv_2024]]/10^6</f>
        <v>0</v>
      </c>
      <c r="T54" s="62" cm="1">
        <f t="array" ref="T54">INDEX(tblPrices[cv_2025], MATCH(tblBaiduUnits[[#This Row],[Products]],tblPrices[Products],0), 0)* tblBaiduUnits[[#This Row],[cv_2025]]/10^6</f>
        <v>0</v>
      </c>
      <c r="U54" s="62" cm="1">
        <f t="array" ref="U54">INDEX(tblPrices[cv_2026], MATCH(tblBaiduUnits[[#This Row],[Products]],tblPrices[Products],0), 0)* tblBaiduUnits[[#This Row],[cv_2026]]/10^6</f>
        <v>0</v>
      </c>
      <c r="V54" s="62" cm="1">
        <f t="array" ref="V54">INDEX(tblPrices[cv_2027], MATCH(tblBaiduUnits[[#This Row],[Products]],tblPrices[Products],0), 0)* tblBaiduUnits[[#This Row],[cv_2027]]/10^6</f>
        <v>0</v>
      </c>
      <c r="W54" s="62" cm="1">
        <f t="array" ref="W54">INDEX(tblPrices[cv_2028], MATCH(tblBaiduUnits[[#This Row],[Products]],tblPrices[Products],0), 0)* tblBaiduUnits[[#This Row],[cv_2028]]/10^6</f>
        <v>0</v>
      </c>
      <c r="X54" s="1">
        <f>VLOOKUP(A54,Products!$A$29:$F$110,6,FALSE)</f>
        <v>100</v>
      </c>
    </row>
    <row r="55" spans="1:24" s="1" customFormat="1" ht="13.15">
      <c r="A55" s="9" t="s">
        <v>47</v>
      </c>
      <c r="B55" s="8">
        <v>0</v>
      </c>
      <c r="C55" s="8">
        <v>0</v>
      </c>
      <c r="D55" s="8"/>
      <c r="E55" s="8"/>
      <c r="F55" s="8"/>
      <c r="G55" s="8"/>
      <c r="H55" s="8"/>
      <c r="I55" s="8"/>
      <c r="J55" s="8"/>
      <c r="K55" s="8"/>
      <c r="L55" s="8"/>
      <c r="M55" s="62" cm="1">
        <f t="array" ref="M55">INDEX(tblPrices[cv_2018], MATCH(tblBaiduUnits[[#This Row],[Products]],tblPrices[Products],0), 0)* tblBaiduUnits[[#This Row],[cv_2018]]/10^6</f>
        <v>0</v>
      </c>
      <c r="N55" s="62" cm="1">
        <f t="array" ref="N55">INDEX(tblPrices[cv_2019], MATCH(tblBaiduUnits[[#This Row],[Products]],tblPrices[Products],0), 0)* tblBaiduUnits[[#This Row],[cv_2019]]/10^6</f>
        <v>0</v>
      </c>
      <c r="O55" s="62" cm="1">
        <f t="array" ref="O55">INDEX(tblPrices[cv_2020], MATCH(tblBaiduUnits[[#This Row],[Products]],tblPrices[Products],0), 0)* tblBaiduUnits[[#This Row],[cv_2020]]/10^6</f>
        <v>0</v>
      </c>
      <c r="P55" s="62" cm="1">
        <f t="array" ref="P55">INDEX(tblPrices[cv_2021], MATCH(tblBaiduUnits[[#This Row],[Products]],tblPrices[Products],0), 0)* tblBaiduUnits[[#This Row],[cv_2021]]/10^6</f>
        <v>0</v>
      </c>
      <c r="Q55" s="62" cm="1">
        <f t="array" ref="Q55">INDEX(tblPrices[cv_2022], MATCH(tblBaiduUnits[[#This Row],[Products]],tblPrices[Products],0), 0)* tblBaiduUnits[[#This Row],[cv_2022]]/10^6</f>
        <v>0</v>
      </c>
      <c r="R55" s="62" cm="1">
        <f t="array" ref="R55">INDEX(tblPrices[cv_2023], MATCH(tblBaiduUnits[[#This Row],[Products]],tblPrices[Products],0), 0)* tblBaiduUnits[[#This Row],[cv_2023]]/10^6</f>
        <v>0</v>
      </c>
      <c r="S55" s="62" cm="1">
        <f t="array" ref="S55">INDEX(tblPrices[cv_2024], MATCH(tblBaiduUnits[[#This Row],[Products]],tblPrices[Products],0), 0)* tblBaiduUnits[[#This Row],[cv_2024]]/10^6</f>
        <v>0</v>
      </c>
      <c r="T55" s="62" cm="1">
        <f t="array" ref="T55">INDEX(tblPrices[cv_2025], MATCH(tblBaiduUnits[[#This Row],[Products]],tblPrices[Products],0), 0)* tblBaiduUnits[[#This Row],[cv_2025]]/10^6</f>
        <v>0</v>
      </c>
      <c r="U55" s="62" cm="1">
        <f t="array" ref="U55">INDEX(tblPrices[cv_2026], MATCH(tblBaiduUnits[[#This Row],[Products]],tblPrices[Products],0), 0)* tblBaiduUnits[[#This Row],[cv_2026]]/10^6</f>
        <v>0</v>
      </c>
      <c r="V55" s="62" cm="1">
        <f t="array" ref="V55">INDEX(tblPrices[cv_2027], MATCH(tblBaiduUnits[[#This Row],[Products]],tblPrices[Products],0), 0)* tblBaiduUnits[[#This Row],[cv_2027]]/10^6</f>
        <v>0</v>
      </c>
      <c r="W55" s="62" cm="1">
        <f t="array" ref="W55">INDEX(tblPrices[cv_2028], MATCH(tblBaiduUnits[[#This Row],[Products]],tblPrices[Products],0), 0)* tblBaiduUnits[[#This Row],[cv_2028]]/10^6</f>
        <v>0</v>
      </c>
      <c r="X55" s="1">
        <f>VLOOKUP(A55,Products!$A$29:$F$110,6,FALSE)</f>
        <v>200</v>
      </c>
    </row>
    <row r="56" spans="1:24" s="1" customFormat="1" ht="13.15">
      <c r="A56" s="9" t="s">
        <v>41</v>
      </c>
      <c r="B56" s="8">
        <v>0</v>
      </c>
      <c r="C56" s="8">
        <v>0</v>
      </c>
      <c r="D56" s="8"/>
      <c r="E56" s="8"/>
      <c r="F56" s="8"/>
      <c r="G56" s="8"/>
      <c r="H56" s="8"/>
      <c r="I56" s="8"/>
      <c r="J56" s="8"/>
      <c r="K56" s="8"/>
      <c r="L56" s="8"/>
      <c r="M56" s="62" cm="1">
        <f t="array" ref="M56">INDEX(tblPrices[cv_2018], MATCH(tblBaiduUnits[[#This Row],[Products]],tblPrices[Products],0), 0)* tblBaiduUnits[[#This Row],[cv_2018]]/10^6</f>
        <v>0</v>
      </c>
      <c r="N56" s="62" cm="1">
        <f t="array" ref="N56">INDEX(tblPrices[cv_2019], MATCH(tblBaiduUnits[[#This Row],[Products]],tblPrices[Products],0), 0)* tblBaiduUnits[[#This Row],[cv_2019]]/10^6</f>
        <v>0</v>
      </c>
      <c r="O56" s="62" cm="1">
        <f t="array" ref="O56">INDEX(tblPrices[cv_2020], MATCH(tblBaiduUnits[[#This Row],[Products]],tblPrices[Products],0), 0)* tblBaiduUnits[[#This Row],[cv_2020]]/10^6</f>
        <v>0</v>
      </c>
      <c r="P56" s="62" cm="1">
        <f t="array" ref="P56">INDEX(tblPrices[cv_2021], MATCH(tblBaiduUnits[[#This Row],[Products]],tblPrices[Products],0), 0)* tblBaiduUnits[[#This Row],[cv_2021]]/10^6</f>
        <v>0</v>
      </c>
      <c r="Q56" s="62" cm="1">
        <f t="array" ref="Q56">INDEX(tblPrices[cv_2022], MATCH(tblBaiduUnits[[#This Row],[Products]],tblPrices[Products],0), 0)* tblBaiduUnits[[#This Row],[cv_2022]]/10^6</f>
        <v>0</v>
      </c>
      <c r="R56" s="62" cm="1">
        <f t="array" ref="R56">INDEX(tblPrices[cv_2023], MATCH(tblBaiduUnits[[#This Row],[Products]],tblPrices[Products],0), 0)* tblBaiduUnits[[#This Row],[cv_2023]]/10^6</f>
        <v>0</v>
      </c>
      <c r="S56" s="62" cm="1">
        <f t="array" ref="S56">INDEX(tblPrices[cv_2024], MATCH(tblBaiduUnits[[#This Row],[Products]],tblPrices[Products],0), 0)* tblBaiduUnits[[#This Row],[cv_2024]]/10^6</f>
        <v>0</v>
      </c>
      <c r="T56" s="62" cm="1">
        <f t="array" ref="T56">INDEX(tblPrices[cv_2025], MATCH(tblBaiduUnits[[#This Row],[Products]],tblPrices[Products],0), 0)* tblBaiduUnits[[#This Row],[cv_2025]]/10^6</f>
        <v>0</v>
      </c>
      <c r="U56" s="62" cm="1">
        <f t="array" ref="U56">INDEX(tblPrices[cv_2026], MATCH(tblBaiduUnits[[#This Row],[Products]],tblPrices[Products],0), 0)* tblBaiduUnits[[#This Row],[cv_2026]]/10^6</f>
        <v>0</v>
      </c>
      <c r="V56" s="62" cm="1">
        <f t="array" ref="V56">INDEX(tblPrices[cv_2027], MATCH(tblBaiduUnits[[#This Row],[Products]],tblPrices[Products],0), 0)* tblBaiduUnits[[#This Row],[cv_2027]]/10^6</f>
        <v>0</v>
      </c>
      <c r="W56" s="62" cm="1">
        <f t="array" ref="W56">INDEX(tblPrices[cv_2028], MATCH(tblBaiduUnits[[#This Row],[Products]],tblPrices[Products],0), 0)* tblBaiduUnits[[#This Row],[cv_2028]]/10^6</f>
        <v>0</v>
      </c>
      <c r="X56" s="1">
        <f>VLOOKUP(A56,Products!$A$29:$F$110,6,FALSE)</f>
        <v>200</v>
      </c>
    </row>
    <row r="57" spans="1:24" s="1" customFormat="1" ht="13.15">
      <c r="A57" s="9" t="s">
        <v>9</v>
      </c>
      <c r="B57" s="8">
        <v>0</v>
      </c>
      <c r="C57" s="8">
        <v>0</v>
      </c>
      <c r="D57" s="8"/>
      <c r="E57" s="8"/>
      <c r="F57" s="8"/>
      <c r="G57" s="8"/>
      <c r="H57" s="8"/>
      <c r="I57" s="8"/>
      <c r="J57" s="8"/>
      <c r="K57" s="8"/>
      <c r="L57" s="8"/>
      <c r="M57" s="62" cm="1">
        <f t="array" ref="M57">INDEX(tblPrices[cv_2018], MATCH(tblBaiduUnits[[#This Row],[Products]],tblPrices[Products],0), 0)* tblBaiduUnits[[#This Row],[cv_2018]]/10^6</f>
        <v>0</v>
      </c>
      <c r="N57" s="62" cm="1">
        <f t="array" ref="N57">INDEX(tblPrices[cv_2019], MATCH(tblBaiduUnits[[#This Row],[Products]],tblPrices[Products],0), 0)* tblBaiduUnits[[#This Row],[cv_2019]]/10^6</f>
        <v>0</v>
      </c>
      <c r="O57" s="62" cm="1">
        <f t="array" ref="O57">INDEX(tblPrices[cv_2020], MATCH(tblBaiduUnits[[#This Row],[Products]],tblPrices[Products],0), 0)* tblBaiduUnits[[#This Row],[cv_2020]]/10^6</f>
        <v>0</v>
      </c>
      <c r="P57" s="62" cm="1">
        <f t="array" ref="P57">INDEX(tblPrices[cv_2021], MATCH(tblBaiduUnits[[#This Row],[Products]],tblPrices[Products],0), 0)* tblBaiduUnits[[#This Row],[cv_2021]]/10^6</f>
        <v>0</v>
      </c>
      <c r="Q57" s="62" cm="1">
        <f t="array" ref="Q57">INDEX(tblPrices[cv_2022], MATCH(tblBaiduUnits[[#This Row],[Products]],tblPrices[Products],0), 0)* tblBaiduUnits[[#This Row],[cv_2022]]/10^6</f>
        <v>0</v>
      </c>
      <c r="R57" s="62" cm="1">
        <f t="array" ref="R57">INDEX(tblPrices[cv_2023], MATCH(tblBaiduUnits[[#This Row],[Products]],tblPrices[Products],0), 0)* tblBaiduUnits[[#This Row],[cv_2023]]/10^6</f>
        <v>0</v>
      </c>
      <c r="S57" s="62" cm="1">
        <f t="array" ref="S57">INDEX(tblPrices[cv_2024], MATCH(tblBaiduUnits[[#This Row],[Products]],tblPrices[Products],0), 0)* tblBaiduUnits[[#This Row],[cv_2024]]/10^6</f>
        <v>0</v>
      </c>
      <c r="T57" s="62" cm="1">
        <f t="array" ref="T57">INDEX(tblPrices[cv_2025], MATCH(tblBaiduUnits[[#This Row],[Products]],tblPrices[Products],0), 0)* tblBaiduUnits[[#This Row],[cv_2025]]/10^6</f>
        <v>0</v>
      </c>
      <c r="U57" s="62" cm="1">
        <f t="array" ref="U57">INDEX(tblPrices[cv_2026], MATCH(tblBaiduUnits[[#This Row],[Products]],tblPrices[Products],0), 0)* tblBaiduUnits[[#This Row],[cv_2026]]/10^6</f>
        <v>0</v>
      </c>
      <c r="V57" s="62" cm="1">
        <f t="array" ref="V57">INDEX(tblPrices[cv_2027], MATCH(tblBaiduUnits[[#This Row],[Products]],tblPrices[Products],0), 0)* tblBaiduUnits[[#This Row],[cv_2027]]/10^6</f>
        <v>0</v>
      </c>
      <c r="W57" s="62" cm="1">
        <f t="array" ref="W57">INDEX(tblPrices[cv_2028], MATCH(tblBaiduUnits[[#This Row],[Products]],tblPrices[Products],0), 0)* tblBaiduUnits[[#This Row],[cv_2028]]/10^6</f>
        <v>0</v>
      </c>
      <c r="X57" s="1">
        <f>VLOOKUP(A57,Products!$A$29:$F$110,6,FALSE)</f>
        <v>400</v>
      </c>
    </row>
    <row r="58" spans="1:24" s="1" customFormat="1" ht="13.15">
      <c r="A58" s="9" t="s">
        <v>339</v>
      </c>
      <c r="B58" s="8">
        <v>0</v>
      </c>
      <c r="C58" s="8">
        <v>0</v>
      </c>
      <c r="D58" s="8"/>
      <c r="E58" s="8"/>
      <c r="F58" s="8"/>
      <c r="G58" s="8"/>
      <c r="H58" s="8"/>
      <c r="I58" s="8"/>
      <c r="J58" s="8"/>
      <c r="K58" s="8"/>
      <c r="L58" s="8"/>
      <c r="M58" s="62" cm="1">
        <f t="array" ref="M58">INDEX(tblPrices[cv_2018], MATCH(tblBaiduUnits[[#This Row],[Products]],tblPrices[Products],0), 0)* tblBaiduUnits[[#This Row],[cv_2018]]/10^6</f>
        <v>0</v>
      </c>
      <c r="N58" s="62" cm="1">
        <f t="array" ref="N58">INDEX(tblPrices[cv_2019], MATCH(tblBaiduUnits[[#This Row],[Products]],tblPrices[Products],0), 0)* tblBaiduUnits[[#This Row],[cv_2019]]/10^6</f>
        <v>0</v>
      </c>
      <c r="O58" s="62" cm="1">
        <f t="array" ref="O58">INDEX(tblPrices[cv_2020], MATCH(tblBaiduUnits[[#This Row],[Products]],tblPrices[Products],0), 0)* tblBaiduUnits[[#This Row],[cv_2020]]/10^6</f>
        <v>0</v>
      </c>
      <c r="P58" s="62" cm="1">
        <f t="array" ref="P58">INDEX(tblPrices[cv_2021], MATCH(tblBaiduUnits[[#This Row],[Products]],tblPrices[Products],0), 0)* tblBaiduUnits[[#This Row],[cv_2021]]/10^6</f>
        <v>0</v>
      </c>
      <c r="Q58" s="62" cm="1">
        <f t="array" ref="Q58">INDEX(tblPrices[cv_2022], MATCH(tblBaiduUnits[[#This Row],[Products]],tblPrices[Products],0), 0)* tblBaiduUnits[[#This Row],[cv_2022]]/10^6</f>
        <v>0</v>
      </c>
      <c r="R58" s="62" cm="1">
        <f t="array" ref="R58">INDEX(tblPrices[cv_2023], MATCH(tblBaiduUnits[[#This Row],[Products]],tblPrices[Products],0), 0)* tblBaiduUnits[[#This Row],[cv_2023]]/10^6</f>
        <v>0</v>
      </c>
      <c r="S58" s="62" cm="1">
        <f t="array" ref="S58">INDEX(tblPrices[cv_2024], MATCH(tblBaiduUnits[[#This Row],[Products]],tblPrices[Products],0), 0)* tblBaiduUnits[[#This Row],[cv_2024]]/10^6</f>
        <v>0</v>
      </c>
      <c r="T58" s="62" cm="1">
        <f t="array" ref="T58">INDEX(tblPrices[cv_2025], MATCH(tblBaiduUnits[[#This Row],[Products]],tblPrices[Products],0), 0)* tblBaiduUnits[[#This Row],[cv_2025]]/10^6</f>
        <v>0</v>
      </c>
      <c r="U58" s="62" cm="1">
        <f t="array" ref="U58">INDEX(tblPrices[cv_2026], MATCH(tblBaiduUnits[[#This Row],[Products]],tblPrices[Products],0), 0)* tblBaiduUnits[[#This Row],[cv_2026]]/10^6</f>
        <v>0</v>
      </c>
      <c r="V58" s="62" cm="1">
        <f t="array" ref="V58">INDEX(tblPrices[cv_2027], MATCH(tblBaiduUnits[[#This Row],[Products]],tblPrices[Products],0), 0)* tblBaiduUnits[[#This Row],[cv_2027]]/10^6</f>
        <v>0</v>
      </c>
      <c r="W58" s="62" cm="1">
        <f t="array" ref="W58">INDEX(tblPrices[cv_2028], MATCH(tblBaiduUnits[[#This Row],[Products]],tblPrices[Products],0), 0)* tblBaiduUnits[[#This Row],[cv_2028]]/10^6</f>
        <v>0</v>
      </c>
      <c r="X58" s="1">
        <f>VLOOKUP(A58,Products!$A$29:$F$110,6,FALSE)</f>
        <v>400</v>
      </c>
    </row>
    <row r="59" spans="1:24" s="1" customFormat="1" ht="13.15">
      <c r="A59" s="9" t="s">
        <v>11</v>
      </c>
      <c r="B59" s="8">
        <v>0</v>
      </c>
      <c r="C59" s="8">
        <v>0</v>
      </c>
      <c r="D59" s="8"/>
      <c r="E59" s="8"/>
      <c r="F59" s="8"/>
      <c r="G59" s="8"/>
      <c r="H59" s="8"/>
      <c r="I59" s="8"/>
      <c r="J59" s="8"/>
      <c r="K59" s="8"/>
      <c r="L59" s="8"/>
      <c r="M59" s="62" cm="1">
        <f t="array" ref="M59">INDEX(tblPrices[cv_2018], MATCH(tblBaiduUnits[[#This Row],[Products]],tblPrices[Products],0), 0)* tblBaiduUnits[[#This Row],[cv_2018]]/10^6</f>
        <v>0</v>
      </c>
      <c r="N59" s="62" cm="1">
        <f t="array" ref="N59">INDEX(tblPrices[cv_2019], MATCH(tblBaiduUnits[[#This Row],[Products]],tblPrices[Products],0), 0)* tblBaiduUnits[[#This Row],[cv_2019]]/10^6</f>
        <v>0</v>
      </c>
      <c r="O59" s="62" cm="1">
        <f t="array" ref="O59">INDEX(tblPrices[cv_2020], MATCH(tblBaiduUnits[[#This Row],[Products]],tblPrices[Products],0), 0)* tblBaiduUnits[[#This Row],[cv_2020]]/10^6</f>
        <v>0</v>
      </c>
      <c r="P59" s="62" cm="1">
        <f t="array" ref="P59">INDEX(tblPrices[cv_2021], MATCH(tblBaiduUnits[[#This Row],[Products]],tblPrices[Products],0), 0)* tblBaiduUnits[[#This Row],[cv_2021]]/10^6</f>
        <v>0</v>
      </c>
      <c r="Q59" s="62" cm="1">
        <f t="array" ref="Q59">INDEX(tblPrices[cv_2022], MATCH(tblBaiduUnits[[#This Row],[Products]],tblPrices[Products],0), 0)* tblBaiduUnits[[#This Row],[cv_2022]]/10^6</f>
        <v>0</v>
      </c>
      <c r="R59" s="62" cm="1">
        <f t="array" ref="R59">INDEX(tblPrices[cv_2023], MATCH(tblBaiduUnits[[#This Row],[Products]],tblPrices[Products],0), 0)* tblBaiduUnits[[#This Row],[cv_2023]]/10^6</f>
        <v>0</v>
      </c>
      <c r="S59" s="62" cm="1">
        <f t="array" ref="S59">INDEX(tblPrices[cv_2024], MATCH(tblBaiduUnits[[#This Row],[Products]],tblPrices[Products],0), 0)* tblBaiduUnits[[#This Row],[cv_2024]]/10^6</f>
        <v>0</v>
      </c>
      <c r="T59" s="62" cm="1">
        <f t="array" ref="T59">INDEX(tblPrices[cv_2025], MATCH(tblBaiduUnits[[#This Row],[Products]],tblPrices[Products],0), 0)* tblBaiduUnits[[#This Row],[cv_2025]]/10^6</f>
        <v>0</v>
      </c>
      <c r="U59" s="62" cm="1">
        <f t="array" ref="U59">INDEX(tblPrices[cv_2026], MATCH(tblBaiduUnits[[#This Row],[Products]],tblPrices[Products],0), 0)* tblBaiduUnits[[#This Row],[cv_2026]]/10^6</f>
        <v>0</v>
      </c>
      <c r="V59" s="62" cm="1">
        <f t="array" ref="V59">INDEX(tblPrices[cv_2027], MATCH(tblBaiduUnits[[#This Row],[Products]],tblPrices[Products],0), 0)* tblBaiduUnits[[#This Row],[cv_2027]]/10^6</f>
        <v>0</v>
      </c>
      <c r="W59" s="62" cm="1">
        <f t="array" ref="W59">INDEX(tblPrices[cv_2028], MATCH(tblBaiduUnits[[#This Row],[Products]],tblPrices[Products],0), 0)* tblBaiduUnits[[#This Row],[cv_2028]]/10^6</f>
        <v>0</v>
      </c>
      <c r="X59" s="1">
        <f>VLOOKUP(A59,Products!$A$29:$F$110,6,FALSE)</f>
        <v>400</v>
      </c>
    </row>
    <row r="60" spans="1:24" s="1" customFormat="1" ht="13.15">
      <c r="A60" s="9" t="s">
        <v>42</v>
      </c>
      <c r="B60" s="8">
        <v>0</v>
      </c>
      <c r="C60" s="8">
        <v>0</v>
      </c>
      <c r="D60" s="8"/>
      <c r="E60" s="8"/>
      <c r="F60" s="8"/>
      <c r="G60" s="8"/>
      <c r="H60" s="8"/>
      <c r="I60" s="8"/>
      <c r="J60" s="8"/>
      <c r="K60" s="8"/>
      <c r="L60" s="8"/>
      <c r="M60" s="62" cm="1">
        <f t="array" ref="M60">INDEX(tblPrices[cv_2018], MATCH(tblBaiduUnits[[#This Row],[Products]],tblPrices[Products],0), 0)* tblBaiduUnits[[#This Row],[cv_2018]]/10^6</f>
        <v>0</v>
      </c>
      <c r="N60" s="62" cm="1">
        <f t="array" ref="N60">INDEX(tblPrices[cv_2019], MATCH(tblBaiduUnits[[#This Row],[Products]],tblPrices[Products],0), 0)* tblBaiduUnits[[#This Row],[cv_2019]]/10^6</f>
        <v>0</v>
      </c>
      <c r="O60" s="62" cm="1">
        <f t="array" ref="O60">INDEX(tblPrices[cv_2020], MATCH(tblBaiduUnits[[#This Row],[Products]],tblPrices[Products],0), 0)* tblBaiduUnits[[#This Row],[cv_2020]]/10^6</f>
        <v>0</v>
      </c>
      <c r="P60" s="62" cm="1">
        <f t="array" ref="P60">INDEX(tblPrices[cv_2021], MATCH(tblBaiduUnits[[#This Row],[Products]],tblPrices[Products],0), 0)* tblBaiduUnits[[#This Row],[cv_2021]]/10^6</f>
        <v>0</v>
      </c>
      <c r="Q60" s="62" cm="1">
        <f t="array" ref="Q60">INDEX(tblPrices[cv_2022], MATCH(tblBaiduUnits[[#This Row],[Products]],tblPrices[Products],0), 0)* tblBaiduUnits[[#This Row],[cv_2022]]/10^6</f>
        <v>0</v>
      </c>
      <c r="R60" s="62" cm="1">
        <f t="array" ref="R60">INDEX(tblPrices[cv_2023], MATCH(tblBaiduUnits[[#This Row],[Products]],tblPrices[Products],0), 0)* tblBaiduUnits[[#This Row],[cv_2023]]/10^6</f>
        <v>0</v>
      </c>
      <c r="S60" s="62" cm="1">
        <f t="array" ref="S60">INDEX(tblPrices[cv_2024], MATCH(tblBaiduUnits[[#This Row],[Products]],tblPrices[Products],0), 0)* tblBaiduUnits[[#This Row],[cv_2024]]/10^6</f>
        <v>0</v>
      </c>
      <c r="T60" s="62" cm="1">
        <f t="array" ref="T60">INDEX(tblPrices[cv_2025], MATCH(tblBaiduUnits[[#This Row],[Products]],tblPrices[Products],0), 0)* tblBaiduUnits[[#This Row],[cv_2025]]/10^6</f>
        <v>0</v>
      </c>
      <c r="U60" s="62" cm="1">
        <f t="array" ref="U60">INDEX(tblPrices[cv_2026], MATCH(tblBaiduUnits[[#This Row],[Products]],tblPrices[Products],0), 0)* tblBaiduUnits[[#This Row],[cv_2026]]/10^6</f>
        <v>0</v>
      </c>
      <c r="V60" s="62" cm="1">
        <f t="array" ref="V60">INDEX(tblPrices[cv_2027], MATCH(tblBaiduUnits[[#This Row],[Products]],tblPrices[Products],0), 0)* tblBaiduUnits[[#This Row],[cv_2027]]/10^6</f>
        <v>0</v>
      </c>
      <c r="W60" s="62" cm="1">
        <f t="array" ref="W60">INDEX(tblPrices[cv_2028], MATCH(tblBaiduUnits[[#This Row],[Products]],tblPrices[Products],0), 0)* tblBaiduUnits[[#This Row],[cv_2028]]/10^6</f>
        <v>0</v>
      </c>
      <c r="X60" s="1">
        <f>VLOOKUP(A60,Products!$A$29:$F$110,6,FALSE)</f>
        <v>400</v>
      </c>
    </row>
    <row r="61" spans="1:24" s="1" customFormat="1" ht="13.15">
      <c r="A61" s="9" t="s">
        <v>48</v>
      </c>
      <c r="B61" s="8">
        <v>0</v>
      </c>
      <c r="C61" s="8">
        <v>0</v>
      </c>
      <c r="D61" s="8"/>
      <c r="E61" s="8"/>
      <c r="F61" s="8"/>
      <c r="G61" s="8"/>
      <c r="H61" s="8"/>
      <c r="I61" s="8"/>
      <c r="J61" s="8"/>
      <c r="K61" s="8"/>
      <c r="L61" s="8"/>
      <c r="M61" s="62" cm="1">
        <f t="array" ref="M61">INDEX(tblPrices[cv_2018], MATCH(tblBaiduUnits[[#This Row],[Products]],tblPrices[Products],0), 0)* tblBaiduUnits[[#This Row],[cv_2018]]/10^6</f>
        <v>0</v>
      </c>
      <c r="N61" s="62" cm="1">
        <f t="array" ref="N61">INDEX(tblPrices[cv_2019], MATCH(tblBaiduUnits[[#This Row],[Products]],tblPrices[Products],0), 0)* tblBaiduUnits[[#This Row],[cv_2019]]/10^6</f>
        <v>0</v>
      </c>
      <c r="O61" s="62" cm="1">
        <f t="array" ref="O61">INDEX(tblPrices[cv_2020], MATCH(tblBaiduUnits[[#This Row],[Products]],tblPrices[Products],0), 0)* tblBaiduUnits[[#This Row],[cv_2020]]/10^6</f>
        <v>0</v>
      </c>
      <c r="P61" s="62" cm="1">
        <f t="array" ref="P61">INDEX(tblPrices[cv_2021], MATCH(tblBaiduUnits[[#This Row],[Products]],tblPrices[Products],0), 0)* tblBaiduUnits[[#This Row],[cv_2021]]/10^6</f>
        <v>0</v>
      </c>
      <c r="Q61" s="62" cm="1">
        <f t="array" ref="Q61">INDEX(tblPrices[cv_2022], MATCH(tblBaiduUnits[[#This Row],[Products]],tblPrices[Products],0), 0)* tblBaiduUnits[[#This Row],[cv_2022]]/10^6</f>
        <v>0</v>
      </c>
      <c r="R61" s="62" cm="1">
        <f t="array" ref="R61">INDEX(tblPrices[cv_2023], MATCH(tblBaiduUnits[[#This Row],[Products]],tblPrices[Products],0), 0)* tblBaiduUnits[[#This Row],[cv_2023]]/10^6</f>
        <v>0</v>
      </c>
      <c r="S61" s="62" cm="1">
        <f t="array" ref="S61">INDEX(tblPrices[cv_2024], MATCH(tblBaiduUnits[[#This Row],[Products]],tblPrices[Products],0), 0)* tblBaiduUnits[[#This Row],[cv_2024]]/10^6</f>
        <v>0</v>
      </c>
      <c r="T61" s="62" cm="1">
        <f t="array" ref="T61">INDEX(tblPrices[cv_2025], MATCH(tblBaiduUnits[[#This Row],[Products]],tblPrices[Products],0), 0)* tblBaiduUnits[[#This Row],[cv_2025]]/10^6</f>
        <v>0</v>
      </c>
      <c r="U61" s="62" cm="1">
        <f t="array" ref="U61">INDEX(tblPrices[cv_2026], MATCH(tblBaiduUnits[[#This Row],[Products]],tblPrices[Products],0), 0)* tblBaiduUnits[[#This Row],[cv_2026]]/10^6</f>
        <v>0</v>
      </c>
      <c r="V61" s="62" cm="1">
        <f t="array" ref="V61">INDEX(tblPrices[cv_2027], MATCH(tblBaiduUnits[[#This Row],[Products]],tblPrices[Products],0), 0)* tblBaiduUnits[[#This Row],[cv_2027]]/10^6</f>
        <v>0</v>
      </c>
      <c r="W61" s="62" cm="1">
        <f t="array" ref="W61">INDEX(tblPrices[cv_2028], MATCH(tblBaiduUnits[[#This Row],[Products]],tblPrices[Products],0), 0)* tblBaiduUnits[[#This Row],[cv_2028]]/10^6</f>
        <v>0</v>
      </c>
      <c r="X61" s="1">
        <f>VLOOKUP(A61,Products!$A$29:$F$110,6,FALSE)</f>
        <v>800</v>
      </c>
    </row>
    <row r="62" spans="1:24" s="1" customFormat="1" ht="13.15">
      <c r="A62" s="9" t="s">
        <v>13</v>
      </c>
      <c r="B62" s="8">
        <v>0</v>
      </c>
      <c r="C62" s="8">
        <v>0</v>
      </c>
      <c r="D62" s="8"/>
      <c r="E62" s="8"/>
      <c r="F62" s="8"/>
      <c r="G62" s="8"/>
      <c r="H62" s="8"/>
      <c r="I62" s="8"/>
      <c r="J62" s="8"/>
      <c r="K62" s="8"/>
      <c r="L62" s="8"/>
      <c r="M62" s="62" cm="1">
        <f t="array" ref="M62">INDEX(tblPrices[cv_2018], MATCH(tblBaiduUnits[[#This Row],[Products]],tblPrices[Products],0), 0)* tblBaiduUnits[[#This Row],[cv_2018]]/10^6</f>
        <v>0</v>
      </c>
      <c r="N62" s="62" cm="1">
        <f t="array" ref="N62">INDEX(tblPrices[cv_2019], MATCH(tblBaiduUnits[[#This Row],[Products]],tblPrices[Products],0), 0)* tblBaiduUnits[[#This Row],[cv_2019]]/10^6</f>
        <v>0</v>
      </c>
      <c r="O62" s="62" cm="1">
        <f t="array" ref="O62">INDEX(tblPrices[cv_2020], MATCH(tblBaiduUnits[[#This Row],[Products]],tblPrices[Products],0), 0)* tblBaiduUnits[[#This Row],[cv_2020]]/10^6</f>
        <v>0</v>
      </c>
      <c r="P62" s="62" cm="1">
        <f t="array" ref="P62">INDEX(tblPrices[cv_2021], MATCH(tblBaiduUnits[[#This Row],[Products]],tblPrices[Products],0), 0)* tblBaiduUnits[[#This Row],[cv_2021]]/10^6</f>
        <v>0</v>
      </c>
      <c r="Q62" s="62" cm="1">
        <f t="array" ref="Q62">INDEX(tblPrices[cv_2022], MATCH(tblBaiduUnits[[#This Row],[Products]],tblPrices[Products],0), 0)* tblBaiduUnits[[#This Row],[cv_2022]]/10^6</f>
        <v>0</v>
      </c>
      <c r="R62" s="62" cm="1">
        <f t="array" ref="R62">INDEX(tblPrices[cv_2023], MATCH(tblBaiduUnits[[#This Row],[Products]],tblPrices[Products],0), 0)* tblBaiduUnits[[#This Row],[cv_2023]]/10^6</f>
        <v>0</v>
      </c>
      <c r="S62" s="62" cm="1">
        <f t="array" ref="S62">INDEX(tblPrices[cv_2024], MATCH(tblBaiduUnits[[#This Row],[Products]],tblPrices[Products],0), 0)* tblBaiduUnits[[#This Row],[cv_2024]]/10^6</f>
        <v>0</v>
      </c>
      <c r="T62" s="62" cm="1">
        <f t="array" ref="T62">INDEX(tblPrices[cv_2025], MATCH(tblBaiduUnits[[#This Row],[Products]],tblPrices[Products],0), 0)* tblBaiduUnits[[#This Row],[cv_2025]]/10^6</f>
        <v>0</v>
      </c>
      <c r="U62" s="62" cm="1">
        <f t="array" ref="U62">INDEX(tblPrices[cv_2026], MATCH(tblBaiduUnits[[#This Row],[Products]],tblPrices[Products],0), 0)* tblBaiduUnits[[#This Row],[cv_2026]]/10^6</f>
        <v>0</v>
      </c>
      <c r="V62" s="62" cm="1">
        <f t="array" ref="V62">INDEX(tblPrices[cv_2027], MATCH(tblBaiduUnits[[#This Row],[Products]],tblPrices[Products],0), 0)* tblBaiduUnits[[#This Row],[cv_2027]]/10^6</f>
        <v>0</v>
      </c>
      <c r="W62" s="62" cm="1">
        <f t="array" ref="W62">INDEX(tblPrices[cv_2028], MATCH(tblBaiduUnits[[#This Row],[Products]],tblPrices[Products],0), 0)* tblBaiduUnits[[#This Row],[cv_2028]]/10^6</f>
        <v>0</v>
      </c>
      <c r="X62" s="1">
        <f>VLOOKUP(A62,Products!$A$29:$F$110,6,FALSE)</f>
        <v>800</v>
      </c>
    </row>
    <row r="63" spans="1:24" s="1" customFormat="1" ht="13.15">
      <c r="A63" s="9" t="s">
        <v>14</v>
      </c>
      <c r="B63" s="8">
        <v>0</v>
      </c>
      <c r="C63" s="8">
        <v>0</v>
      </c>
      <c r="D63" s="8"/>
      <c r="E63" s="8"/>
      <c r="F63" s="8"/>
      <c r="G63" s="8"/>
      <c r="H63" s="8"/>
      <c r="I63" s="8"/>
      <c r="J63" s="8"/>
      <c r="K63" s="8"/>
      <c r="L63" s="8"/>
      <c r="M63" s="62" cm="1">
        <f t="array" ref="M63">INDEX(tblPrices[cv_2018], MATCH(tblBaiduUnits[[#This Row],[Products]],tblPrices[Products],0), 0)* tblBaiduUnits[[#This Row],[cv_2018]]/10^6</f>
        <v>0</v>
      </c>
      <c r="N63" s="62" cm="1">
        <f t="array" ref="N63">INDEX(tblPrices[cv_2019], MATCH(tblBaiduUnits[[#This Row],[Products]],tblPrices[Products],0), 0)* tblBaiduUnits[[#This Row],[cv_2019]]/10^6</f>
        <v>0</v>
      </c>
      <c r="O63" s="62" cm="1">
        <f t="array" ref="O63">INDEX(tblPrices[cv_2020], MATCH(tblBaiduUnits[[#This Row],[Products]],tblPrices[Products],0), 0)* tblBaiduUnits[[#This Row],[cv_2020]]/10^6</f>
        <v>0</v>
      </c>
      <c r="P63" s="62" cm="1">
        <f t="array" ref="P63">INDEX(tblPrices[cv_2021], MATCH(tblBaiduUnits[[#This Row],[Products]],tblPrices[Products],0), 0)* tblBaiduUnits[[#This Row],[cv_2021]]/10^6</f>
        <v>0</v>
      </c>
      <c r="Q63" s="62" cm="1">
        <f t="array" ref="Q63">INDEX(tblPrices[cv_2022], MATCH(tblBaiduUnits[[#This Row],[Products]],tblPrices[Products],0), 0)* tblBaiduUnits[[#This Row],[cv_2022]]/10^6</f>
        <v>0</v>
      </c>
      <c r="R63" s="62" cm="1">
        <f t="array" ref="R63">INDEX(tblPrices[cv_2023], MATCH(tblBaiduUnits[[#This Row],[Products]],tblPrices[Products],0), 0)* tblBaiduUnits[[#This Row],[cv_2023]]/10^6</f>
        <v>0</v>
      </c>
      <c r="S63" s="62" cm="1">
        <f t="array" ref="S63">INDEX(tblPrices[cv_2024], MATCH(tblBaiduUnits[[#This Row],[Products]],tblPrices[Products],0), 0)* tblBaiduUnits[[#This Row],[cv_2024]]/10^6</f>
        <v>0</v>
      </c>
      <c r="T63" s="62" cm="1">
        <f t="array" ref="T63">INDEX(tblPrices[cv_2025], MATCH(tblBaiduUnits[[#This Row],[Products]],tblPrices[Products],0), 0)* tblBaiduUnits[[#This Row],[cv_2025]]/10^6</f>
        <v>0</v>
      </c>
      <c r="U63" s="62" cm="1">
        <f t="array" ref="U63">INDEX(tblPrices[cv_2026], MATCH(tblBaiduUnits[[#This Row],[Products]],tblPrices[Products],0), 0)* tblBaiduUnits[[#This Row],[cv_2026]]/10^6</f>
        <v>0</v>
      </c>
      <c r="V63" s="62" cm="1">
        <f t="array" ref="V63">INDEX(tblPrices[cv_2027], MATCH(tblBaiduUnits[[#This Row],[Products]],tblPrices[Products],0), 0)* tblBaiduUnits[[#This Row],[cv_2027]]/10^6</f>
        <v>0</v>
      </c>
      <c r="W63" s="62" cm="1">
        <f t="array" ref="W63">INDEX(tblPrices[cv_2028], MATCH(tblBaiduUnits[[#This Row],[Products]],tblPrices[Products],0), 0)* tblBaiduUnits[[#This Row],[cv_2028]]/10^6</f>
        <v>0</v>
      </c>
      <c r="X63" s="1">
        <f>VLOOKUP(A63,Products!$A$29:$F$110,6,FALSE)</f>
        <v>800</v>
      </c>
    </row>
    <row r="64" spans="1:24" s="1" customFormat="1" ht="13.15">
      <c r="A64" s="9" t="s">
        <v>15</v>
      </c>
      <c r="B64" s="8">
        <v>0</v>
      </c>
      <c r="C64" s="8">
        <v>0</v>
      </c>
      <c r="D64" s="8"/>
      <c r="E64" s="8"/>
      <c r="F64" s="8"/>
      <c r="G64" s="8"/>
      <c r="H64" s="8"/>
      <c r="I64" s="8"/>
      <c r="J64" s="8"/>
      <c r="K64" s="8"/>
      <c r="L64" s="8"/>
      <c r="M64" s="62" cm="1">
        <f t="array" ref="M64">INDEX(tblPrices[cv_2018], MATCH(tblBaiduUnits[[#This Row],[Products]],tblPrices[Products],0), 0)* tblBaiduUnits[[#This Row],[cv_2018]]/10^6</f>
        <v>0</v>
      </c>
      <c r="N64" s="62" cm="1">
        <f t="array" ref="N64">INDEX(tblPrices[cv_2019], MATCH(tblBaiduUnits[[#This Row],[Products]],tblPrices[Products],0), 0)* tblBaiduUnits[[#This Row],[cv_2019]]/10^6</f>
        <v>0</v>
      </c>
      <c r="O64" s="62" cm="1">
        <f t="array" ref="O64">INDEX(tblPrices[cv_2020], MATCH(tblBaiduUnits[[#This Row],[Products]],tblPrices[Products],0), 0)* tblBaiduUnits[[#This Row],[cv_2020]]/10^6</f>
        <v>0</v>
      </c>
      <c r="P64" s="62" cm="1">
        <f t="array" ref="P64">INDEX(tblPrices[cv_2021], MATCH(tblBaiduUnits[[#This Row],[Products]],tblPrices[Products],0), 0)* tblBaiduUnits[[#This Row],[cv_2021]]/10^6</f>
        <v>0</v>
      </c>
      <c r="Q64" s="62" cm="1">
        <f t="array" ref="Q64">INDEX(tblPrices[cv_2022], MATCH(tblBaiduUnits[[#This Row],[Products]],tblPrices[Products],0), 0)* tblBaiduUnits[[#This Row],[cv_2022]]/10^6</f>
        <v>0</v>
      </c>
      <c r="R64" s="62" cm="1">
        <f t="array" ref="R64">INDEX(tblPrices[cv_2023], MATCH(tblBaiduUnits[[#This Row],[Products]],tblPrices[Products],0), 0)* tblBaiduUnits[[#This Row],[cv_2023]]/10^6</f>
        <v>0</v>
      </c>
      <c r="S64" s="62" cm="1">
        <f t="array" ref="S64">INDEX(tblPrices[cv_2024], MATCH(tblBaiduUnits[[#This Row],[Products]],tblPrices[Products],0), 0)* tblBaiduUnits[[#This Row],[cv_2024]]/10^6</f>
        <v>0</v>
      </c>
      <c r="T64" s="62" cm="1">
        <f t="array" ref="T64">INDEX(tblPrices[cv_2025], MATCH(tblBaiduUnits[[#This Row],[Products]],tblPrices[Products],0), 0)* tblBaiduUnits[[#This Row],[cv_2025]]/10^6</f>
        <v>0</v>
      </c>
      <c r="U64" s="62" cm="1">
        <f t="array" ref="U64">INDEX(tblPrices[cv_2026], MATCH(tblBaiduUnits[[#This Row],[Products]],tblPrices[Products],0), 0)* tblBaiduUnits[[#This Row],[cv_2026]]/10^6</f>
        <v>0</v>
      </c>
      <c r="V64" s="62" cm="1">
        <f t="array" ref="V64">INDEX(tblPrices[cv_2027], MATCH(tblBaiduUnits[[#This Row],[Products]],tblPrices[Products],0), 0)* tblBaiduUnits[[#This Row],[cv_2027]]/10^6</f>
        <v>0</v>
      </c>
      <c r="W64" s="62" cm="1">
        <f t="array" ref="W64">INDEX(tblPrices[cv_2028], MATCH(tblBaiduUnits[[#This Row],[Products]],tblPrices[Products],0), 0)* tblBaiduUnits[[#This Row],[cv_2028]]/10^6</f>
        <v>0</v>
      </c>
      <c r="X64" s="1">
        <f>VLOOKUP(A64,Products!$A$29:$F$110,6,FALSE)</f>
        <v>800</v>
      </c>
    </row>
    <row r="65" spans="1:24" s="1" customFormat="1">
      <c r="A65" s="15" t="s">
        <v>16</v>
      </c>
      <c r="B65" s="8">
        <v>0</v>
      </c>
      <c r="C65" s="8">
        <v>0</v>
      </c>
      <c r="D65" s="8"/>
      <c r="E65" s="8"/>
      <c r="F65" s="8"/>
      <c r="G65" s="8"/>
      <c r="H65" s="8"/>
      <c r="I65" s="8"/>
      <c r="J65" s="8"/>
      <c r="K65" s="8"/>
      <c r="L65" s="8"/>
      <c r="M65" s="62" cm="1">
        <f t="array" ref="M65">INDEX(tblPrices[cv_2018], MATCH(tblBaiduUnits[[#This Row],[Products]],tblPrices[Products],0), 0)* tblBaiduUnits[[#This Row],[cv_2018]]/10^6</f>
        <v>0</v>
      </c>
      <c r="N65" s="62" cm="1">
        <f t="array" ref="N65">INDEX(tblPrices[cv_2019], MATCH(tblBaiduUnits[[#This Row],[Products]],tblPrices[Products],0), 0)* tblBaiduUnits[[#This Row],[cv_2019]]/10^6</f>
        <v>0</v>
      </c>
      <c r="O65" s="62" cm="1">
        <f t="array" ref="O65">INDEX(tblPrices[cv_2020], MATCH(tblBaiduUnits[[#This Row],[Products]],tblPrices[Products],0), 0)* tblBaiduUnits[[#This Row],[cv_2020]]/10^6</f>
        <v>0</v>
      </c>
      <c r="P65" s="62" cm="1">
        <f t="array" ref="P65">INDEX(tblPrices[cv_2021], MATCH(tblBaiduUnits[[#This Row],[Products]],tblPrices[Products],0), 0)* tblBaiduUnits[[#This Row],[cv_2021]]/10^6</f>
        <v>0</v>
      </c>
      <c r="Q65" s="62" cm="1">
        <f t="array" ref="Q65">INDEX(tblPrices[cv_2022], MATCH(tblBaiduUnits[[#This Row],[Products]],tblPrices[Products],0), 0)* tblBaiduUnits[[#This Row],[cv_2022]]/10^6</f>
        <v>0</v>
      </c>
      <c r="R65" s="62" cm="1">
        <f t="array" ref="R65">INDEX(tblPrices[cv_2023], MATCH(tblBaiduUnits[[#This Row],[Products]],tblPrices[Products],0), 0)* tblBaiduUnits[[#This Row],[cv_2023]]/10^6</f>
        <v>0</v>
      </c>
      <c r="S65" s="62" cm="1">
        <f t="array" ref="S65">INDEX(tblPrices[cv_2024], MATCH(tblBaiduUnits[[#This Row],[Products]],tblPrices[Products],0), 0)* tblBaiduUnits[[#This Row],[cv_2024]]/10^6</f>
        <v>0</v>
      </c>
      <c r="T65" s="62" cm="1">
        <f t="array" ref="T65">INDEX(tblPrices[cv_2025], MATCH(tblBaiduUnits[[#This Row],[Products]],tblPrices[Products],0), 0)* tblBaiduUnits[[#This Row],[cv_2025]]/10^6</f>
        <v>0</v>
      </c>
      <c r="U65" s="62" cm="1">
        <f t="array" ref="U65">INDEX(tblPrices[cv_2026], MATCH(tblBaiduUnits[[#This Row],[Products]],tblPrices[Products],0), 0)* tblBaiduUnits[[#This Row],[cv_2026]]/10^6</f>
        <v>0</v>
      </c>
      <c r="V65" s="62" cm="1">
        <f t="array" ref="V65">INDEX(tblPrices[cv_2027], MATCH(tblBaiduUnits[[#This Row],[Products]],tblPrices[Products],0), 0)* tblBaiduUnits[[#This Row],[cv_2027]]/10^6</f>
        <v>0</v>
      </c>
      <c r="W65" s="62" cm="1">
        <f t="array" ref="W65">INDEX(tblPrices[cv_2028], MATCH(tblBaiduUnits[[#This Row],[Products]],tblPrices[Products],0), 0)* tblBaiduUnits[[#This Row],[cv_2028]]/10^6</f>
        <v>0</v>
      </c>
      <c r="X65" s="1">
        <f>VLOOKUP(A65,Products!$A$29:$F$110,6,FALSE)</f>
        <v>800</v>
      </c>
    </row>
    <row r="66" spans="1:24" s="1" customFormat="1">
      <c r="A66" s="15" t="s">
        <v>17</v>
      </c>
      <c r="B66" s="8">
        <v>0</v>
      </c>
      <c r="C66" s="8">
        <v>0</v>
      </c>
      <c r="D66" s="8"/>
      <c r="E66" s="8"/>
      <c r="F66" s="8"/>
      <c r="G66" s="8"/>
      <c r="H66" s="8"/>
      <c r="I66" s="8"/>
      <c r="J66" s="8"/>
      <c r="K66" s="8"/>
      <c r="L66" s="8"/>
      <c r="M66" s="62" cm="1">
        <f t="array" ref="M66">INDEX(tblPrices[cv_2018], MATCH(tblBaiduUnits[[#This Row],[Products]],tblPrices[Products],0), 0)* tblBaiduUnits[[#This Row],[cv_2018]]/10^6</f>
        <v>0</v>
      </c>
      <c r="N66" s="62" cm="1">
        <f t="array" ref="N66">INDEX(tblPrices[cv_2019], MATCH(tblBaiduUnits[[#This Row],[Products]],tblPrices[Products],0), 0)* tblBaiduUnits[[#This Row],[cv_2019]]/10^6</f>
        <v>0</v>
      </c>
      <c r="O66" s="62" cm="1">
        <f t="array" ref="O66">INDEX(tblPrices[cv_2020], MATCH(tblBaiduUnits[[#This Row],[Products]],tblPrices[Products],0), 0)* tblBaiduUnits[[#This Row],[cv_2020]]/10^6</f>
        <v>0</v>
      </c>
      <c r="P66" s="62" cm="1">
        <f t="array" ref="P66">INDEX(tblPrices[cv_2021], MATCH(tblBaiduUnits[[#This Row],[Products]],tblPrices[Products],0), 0)* tblBaiduUnits[[#This Row],[cv_2021]]/10^6</f>
        <v>0</v>
      </c>
      <c r="Q66" s="62" cm="1">
        <f t="array" ref="Q66">INDEX(tblPrices[cv_2022], MATCH(tblBaiduUnits[[#This Row],[Products]],tblPrices[Products],0), 0)* tblBaiduUnits[[#This Row],[cv_2022]]/10^6</f>
        <v>0</v>
      </c>
      <c r="R66" s="62" cm="1">
        <f t="array" ref="R66">INDEX(tblPrices[cv_2023], MATCH(tblBaiduUnits[[#This Row],[Products]],tblPrices[Products],0), 0)* tblBaiduUnits[[#This Row],[cv_2023]]/10^6</f>
        <v>0</v>
      </c>
      <c r="S66" s="62" cm="1">
        <f t="array" ref="S66">INDEX(tblPrices[cv_2024], MATCH(tblBaiduUnits[[#This Row],[Products]],tblPrices[Products],0), 0)* tblBaiduUnits[[#This Row],[cv_2024]]/10^6</f>
        <v>0</v>
      </c>
      <c r="T66" s="62" cm="1">
        <f t="array" ref="T66">INDEX(tblPrices[cv_2025], MATCH(tblBaiduUnits[[#This Row],[Products]],tblPrices[Products],0), 0)* tblBaiduUnits[[#This Row],[cv_2025]]/10^6</f>
        <v>0</v>
      </c>
      <c r="U66" s="62" cm="1">
        <f t="array" ref="U66">INDEX(tblPrices[cv_2026], MATCH(tblBaiduUnits[[#This Row],[Products]],tblPrices[Products],0), 0)* tblBaiduUnits[[#This Row],[cv_2026]]/10^6</f>
        <v>0</v>
      </c>
      <c r="V66" s="62" cm="1">
        <f t="array" ref="V66">INDEX(tblPrices[cv_2027], MATCH(tblBaiduUnits[[#This Row],[Products]],tblPrices[Products],0), 0)* tblBaiduUnits[[#This Row],[cv_2027]]/10^6</f>
        <v>0</v>
      </c>
      <c r="W66" s="62" cm="1">
        <f t="array" ref="W66">INDEX(tblPrices[cv_2028], MATCH(tblBaiduUnits[[#This Row],[Products]],tblPrices[Products],0), 0)* tblBaiduUnits[[#This Row],[cv_2028]]/10^6</f>
        <v>0</v>
      </c>
      <c r="X66" s="1">
        <f>VLOOKUP(A66,Products!$A$29:$F$110,6,FALSE)</f>
        <v>800</v>
      </c>
    </row>
    <row r="67" spans="1:24" s="1" customFormat="1">
      <c r="A67" s="15" t="s">
        <v>18</v>
      </c>
      <c r="B67" s="8">
        <v>0</v>
      </c>
      <c r="C67" s="8">
        <v>0</v>
      </c>
      <c r="D67" s="8"/>
      <c r="E67" s="8"/>
      <c r="F67" s="8"/>
      <c r="G67" s="8"/>
      <c r="H67" s="8"/>
      <c r="I67" s="8"/>
      <c r="J67" s="8"/>
      <c r="K67" s="8"/>
      <c r="L67" s="8"/>
      <c r="M67" s="62" cm="1">
        <f t="array" ref="M67">INDEX(tblPrices[cv_2018], MATCH(tblBaiduUnits[[#This Row],[Products]],tblPrices[Products],0), 0)* tblBaiduUnits[[#This Row],[cv_2018]]/10^6</f>
        <v>0</v>
      </c>
      <c r="N67" s="62" cm="1">
        <f t="array" ref="N67">INDEX(tblPrices[cv_2019], MATCH(tblBaiduUnits[[#This Row],[Products]],tblPrices[Products],0), 0)* tblBaiduUnits[[#This Row],[cv_2019]]/10^6</f>
        <v>0</v>
      </c>
      <c r="O67" s="62" cm="1">
        <f t="array" ref="O67">INDEX(tblPrices[cv_2020], MATCH(tblBaiduUnits[[#This Row],[Products]],tblPrices[Products],0), 0)* tblBaiduUnits[[#This Row],[cv_2020]]/10^6</f>
        <v>0</v>
      </c>
      <c r="P67" s="62" cm="1">
        <f t="array" ref="P67">INDEX(tblPrices[cv_2021], MATCH(tblBaiduUnits[[#This Row],[Products]],tblPrices[Products],0), 0)* tblBaiduUnits[[#This Row],[cv_2021]]/10^6</f>
        <v>0</v>
      </c>
      <c r="Q67" s="62" cm="1">
        <f t="array" ref="Q67">INDEX(tblPrices[cv_2022], MATCH(tblBaiduUnits[[#This Row],[Products]],tblPrices[Products],0), 0)* tblBaiduUnits[[#This Row],[cv_2022]]/10^6</f>
        <v>0</v>
      </c>
      <c r="R67" s="62" cm="1">
        <f t="array" ref="R67">INDEX(tblPrices[cv_2023], MATCH(tblBaiduUnits[[#This Row],[Products]],tblPrices[Products],0), 0)* tblBaiduUnits[[#This Row],[cv_2023]]/10^6</f>
        <v>0</v>
      </c>
      <c r="S67" s="62" cm="1">
        <f t="array" ref="S67">INDEX(tblPrices[cv_2024], MATCH(tblBaiduUnits[[#This Row],[Products]],tblPrices[Products],0), 0)* tblBaiduUnits[[#This Row],[cv_2024]]/10^6</f>
        <v>0</v>
      </c>
      <c r="T67" s="62" cm="1">
        <f t="array" ref="T67">INDEX(tblPrices[cv_2025], MATCH(tblBaiduUnits[[#This Row],[Products]],tblPrices[Products],0), 0)* tblBaiduUnits[[#This Row],[cv_2025]]/10^6</f>
        <v>0</v>
      </c>
      <c r="U67" s="62" cm="1">
        <f t="array" ref="U67">INDEX(tblPrices[cv_2026], MATCH(tblBaiduUnits[[#This Row],[Products]],tblPrices[Products],0), 0)* tblBaiduUnits[[#This Row],[cv_2026]]/10^6</f>
        <v>0</v>
      </c>
      <c r="V67" s="62" cm="1">
        <f t="array" ref="V67">INDEX(tblPrices[cv_2027], MATCH(tblBaiduUnits[[#This Row],[Products]],tblPrices[Products],0), 0)* tblBaiduUnits[[#This Row],[cv_2027]]/10^6</f>
        <v>0</v>
      </c>
      <c r="W67" s="62" cm="1">
        <f t="array" ref="W67">INDEX(tblPrices[cv_2028], MATCH(tblBaiduUnits[[#This Row],[Products]],tblPrices[Products],0), 0)* tblBaiduUnits[[#This Row],[cv_2028]]/10^6</f>
        <v>0</v>
      </c>
      <c r="X67" s="1">
        <f>VLOOKUP(A67,Products!$A$29:$F$110,6,FALSE)</f>
        <v>1600</v>
      </c>
    </row>
    <row r="68" spans="1:24" s="1" customFormat="1">
      <c r="A68" s="15" t="s">
        <v>19</v>
      </c>
      <c r="B68" s="8">
        <v>0</v>
      </c>
      <c r="C68" s="8">
        <v>0</v>
      </c>
      <c r="D68" s="8"/>
      <c r="E68" s="8"/>
      <c r="F68" s="8"/>
      <c r="G68" s="8"/>
      <c r="H68" s="8"/>
      <c r="I68" s="8"/>
      <c r="J68" s="8"/>
      <c r="K68" s="8"/>
      <c r="L68" s="8"/>
      <c r="M68" s="62" cm="1">
        <f t="array" ref="M68">INDEX(tblPrices[cv_2018], MATCH(tblBaiduUnits[[#This Row],[Products]],tblPrices[Products],0), 0)* tblBaiduUnits[[#This Row],[cv_2018]]/10^6</f>
        <v>0</v>
      </c>
      <c r="N68" s="62" cm="1">
        <f t="array" ref="N68">INDEX(tblPrices[cv_2019], MATCH(tblBaiduUnits[[#This Row],[Products]],tblPrices[Products],0), 0)* tblBaiduUnits[[#This Row],[cv_2019]]/10^6</f>
        <v>0</v>
      </c>
      <c r="O68" s="62" cm="1">
        <f t="array" ref="O68">INDEX(tblPrices[cv_2020], MATCH(tblBaiduUnits[[#This Row],[Products]],tblPrices[Products],0), 0)* tblBaiduUnits[[#This Row],[cv_2020]]/10^6</f>
        <v>0</v>
      </c>
      <c r="P68" s="62" cm="1">
        <f t="array" ref="P68">INDEX(tblPrices[cv_2021], MATCH(tblBaiduUnits[[#This Row],[Products]],tblPrices[Products],0), 0)* tblBaiduUnits[[#This Row],[cv_2021]]/10^6</f>
        <v>0</v>
      </c>
      <c r="Q68" s="62" cm="1">
        <f t="array" ref="Q68">INDEX(tblPrices[cv_2022], MATCH(tblBaiduUnits[[#This Row],[Products]],tblPrices[Products],0), 0)* tblBaiduUnits[[#This Row],[cv_2022]]/10^6</f>
        <v>0</v>
      </c>
      <c r="R68" s="62" cm="1">
        <f t="array" ref="R68">INDEX(tblPrices[cv_2023], MATCH(tblBaiduUnits[[#This Row],[Products]],tblPrices[Products],0), 0)* tblBaiduUnits[[#This Row],[cv_2023]]/10^6</f>
        <v>0</v>
      </c>
      <c r="S68" s="62" cm="1">
        <f t="array" ref="S68">INDEX(tblPrices[cv_2024], MATCH(tblBaiduUnits[[#This Row],[Products]],tblPrices[Products],0), 0)* tblBaiduUnits[[#This Row],[cv_2024]]/10^6</f>
        <v>0</v>
      </c>
      <c r="T68" s="62" cm="1">
        <f t="array" ref="T68">INDEX(tblPrices[cv_2025], MATCH(tblBaiduUnits[[#This Row],[Products]],tblPrices[Products],0), 0)* tblBaiduUnits[[#This Row],[cv_2025]]/10^6</f>
        <v>0</v>
      </c>
      <c r="U68" s="62" cm="1">
        <f t="array" ref="U68">INDEX(tblPrices[cv_2026], MATCH(tblBaiduUnits[[#This Row],[Products]],tblPrices[Products],0), 0)* tblBaiduUnits[[#This Row],[cv_2026]]/10^6</f>
        <v>0</v>
      </c>
      <c r="V68" s="62" cm="1">
        <f t="array" ref="V68">INDEX(tblPrices[cv_2027], MATCH(tblBaiduUnits[[#This Row],[Products]],tblPrices[Products],0), 0)* tblBaiduUnits[[#This Row],[cv_2027]]/10^6</f>
        <v>0</v>
      </c>
      <c r="W68" s="62" cm="1">
        <f t="array" ref="W68">INDEX(tblPrices[cv_2028], MATCH(tblBaiduUnits[[#This Row],[Products]],tblPrices[Products],0), 0)* tblBaiduUnits[[#This Row],[cv_2028]]/10^6</f>
        <v>0</v>
      </c>
      <c r="X68" s="1">
        <f>VLOOKUP(A68,Products!$A$29:$F$110,6,FALSE)</f>
        <v>1600</v>
      </c>
    </row>
    <row r="69" spans="1:24" s="1" customFormat="1">
      <c r="A69" s="15" t="s">
        <v>20</v>
      </c>
      <c r="B69" s="8">
        <v>0</v>
      </c>
      <c r="C69" s="8">
        <v>0</v>
      </c>
      <c r="D69" s="8"/>
      <c r="E69" s="8"/>
      <c r="F69" s="8"/>
      <c r="G69" s="8"/>
      <c r="H69" s="8"/>
      <c r="I69" s="8"/>
      <c r="J69" s="8"/>
      <c r="K69" s="8"/>
      <c r="L69" s="8"/>
      <c r="M69" s="62" cm="1">
        <f t="array" ref="M69">INDEX(tblPrices[cv_2018], MATCH(tblBaiduUnits[[#This Row],[Products]],tblPrices[Products],0), 0)* tblBaiduUnits[[#This Row],[cv_2018]]/10^6</f>
        <v>0</v>
      </c>
      <c r="N69" s="62" cm="1">
        <f t="array" ref="N69">INDEX(tblPrices[cv_2019], MATCH(tblBaiduUnits[[#This Row],[Products]],tblPrices[Products],0), 0)* tblBaiduUnits[[#This Row],[cv_2019]]/10^6</f>
        <v>0</v>
      </c>
      <c r="O69" s="62" cm="1">
        <f t="array" ref="O69">INDEX(tblPrices[cv_2020], MATCH(tblBaiduUnits[[#This Row],[Products]],tblPrices[Products],0), 0)* tblBaiduUnits[[#This Row],[cv_2020]]/10^6</f>
        <v>0</v>
      </c>
      <c r="P69" s="62" cm="1">
        <f t="array" ref="P69">INDEX(tblPrices[cv_2021], MATCH(tblBaiduUnits[[#This Row],[Products]],tblPrices[Products],0), 0)* tblBaiduUnits[[#This Row],[cv_2021]]/10^6</f>
        <v>0</v>
      </c>
      <c r="Q69" s="62" cm="1">
        <f t="array" ref="Q69">INDEX(tblPrices[cv_2022], MATCH(tblBaiduUnits[[#This Row],[Products]],tblPrices[Products],0), 0)* tblBaiduUnits[[#This Row],[cv_2022]]/10^6</f>
        <v>0</v>
      </c>
      <c r="R69" s="62" cm="1">
        <f t="array" ref="R69">INDEX(tblPrices[cv_2023], MATCH(tblBaiduUnits[[#This Row],[Products]],tblPrices[Products],0), 0)* tblBaiduUnits[[#This Row],[cv_2023]]/10^6</f>
        <v>0</v>
      </c>
      <c r="S69" s="62" cm="1">
        <f t="array" ref="S69">INDEX(tblPrices[cv_2024], MATCH(tblBaiduUnits[[#This Row],[Products]],tblPrices[Products],0), 0)* tblBaiduUnits[[#This Row],[cv_2024]]/10^6</f>
        <v>0</v>
      </c>
      <c r="T69" s="62" cm="1">
        <f t="array" ref="T69">INDEX(tblPrices[cv_2025], MATCH(tblBaiduUnits[[#This Row],[Products]],tblPrices[Products],0), 0)* tblBaiduUnits[[#This Row],[cv_2025]]/10^6</f>
        <v>0</v>
      </c>
      <c r="U69" s="62" cm="1">
        <f t="array" ref="U69">INDEX(tblPrices[cv_2026], MATCH(tblBaiduUnits[[#This Row],[Products]],tblPrices[Products],0), 0)* tblBaiduUnits[[#This Row],[cv_2026]]/10^6</f>
        <v>0</v>
      </c>
      <c r="V69" s="62" cm="1">
        <f t="array" ref="V69">INDEX(tblPrices[cv_2027], MATCH(tblBaiduUnits[[#This Row],[Products]],tblPrices[Products],0), 0)* tblBaiduUnits[[#This Row],[cv_2027]]/10^6</f>
        <v>0</v>
      </c>
      <c r="W69" s="62" cm="1">
        <f t="array" ref="W69">INDEX(tblPrices[cv_2028], MATCH(tblBaiduUnits[[#This Row],[Products]],tblPrices[Products],0), 0)* tblBaiduUnits[[#This Row],[cv_2028]]/10^6</f>
        <v>0</v>
      </c>
      <c r="X69" s="1">
        <f>VLOOKUP(A69,Products!$A$29:$F$110,6,FALSE)</f>
        <v>1600</v>
      </c>
    </row>
    <row r="70" spans="1:24" s="1" customFormat="1">
      <c r="A70" s="113" t="s">
        <v>49</v>
      </c>
      <c r="B70" s="73">
        <v>0</v>
      </c>
      <c r="C70" s="73">
        <v>0</v>
      </c>
      <c r="D70" s="73"/>
      <c r="E70" s="73"/>
      <c r="F70" s="73"/>
      <c r="G70" s="73"/>
      <c r="H70" s="73"/>
      <c r="I70" s="73"/>
      <c r="J70" s="73"/>
      <c r="K70" s="73"/>
      <c r="L70" s="73"/>
      <c r="M70" s="115" cm="1">
        <f t="array" ref="M70">INDEX(tblPrices[cv_2018], MATCH(tblBaiduUnits[[#This Row],[Products]],tblPrices[Products],0), 0)* tblBaiduUnits[[#This Row],[cv_2018]]/10^6</f>
        <v>0</v>
      </c>
      <c r="N70" s="115" cm="1">
        <f t="array" ref="N70">INDEX(tblPrices[cv_2019], MATCH(tblBaiduUnits[[#This Row],[Products]],tblPrices[Products],0), 0)* tblBaiduUnits[[#This Row],[cv_2019]]/10^6</f>
        <v>0</v>
      </c>
      <c r="O70" s="115" cm="1">
        <f t="array" ref="O70">INDEX(tblPrices[cv_2020], MATCH(tblBaiduUnits[[#This Row],[Products]],tblPrices[Products],0), 0)* tblBaiduUnits[[#This Row],[cv_2020]]/10^6</f>
        <v>0</v>
      </c>
      <c r="P70" s="115" cm="1">
        <f t="array" ref="P70">INDEX(tblPrices[cv_2021], MATCH(tblBaiduUnits[[#This Row],[Products]],tblPrices[Products],0), 0)* tblBaiduUnits[[#This Row],[cv_2021]]/10^6</f>
        <v>0</v>
      </c>
      <c r="Q70" s="115" cm="1">
        <f t="array" ref="Q70">INDEX(tblPrices[cv_2022], MATCH(tblBaiduUnits[[#This Row],[Products]],tblPrices[Products],0), 0)* tblBaiduUnits[[#This Row],[cv_2022]]/10^6</f>
        <v>0</v>
      </c>
      <c r="R70" s="115" cm="1">
        <f t="array" ref="R70">INDEX(tblPrices[cv_2023], MATCH(tblBaiduUnits[[#This Row],[Products]],tblPrices[Products],0), 0)* tblBaiduUnits[[#This Row],[cv_2023]]/10^6</f>
        <v>0</v>
      </c>
      <c r="S70" s="115" cm="1">
        <f t="array" ref="S70">INDEX(tblPrices[cv_2024], MATCH(tblBaiduUnits[[#This Row],[Products]],tblPrices[Products],0), 0)* tblBaiduUnits[[#This Row],[cv_2024]]/10^6</f>
        <v>0</v>
      </c>
      <c r="T70" s="115" cm="1">
        <f t="array" ref="T70">INDEX(tblPrices[cv_2025], MATCH(tblBaiduUnits[[#This Row],[Products]],tblPrices[Products],0), 0)* tblBaiduUnits[[#This Row],[cv_2025]]/10^6</f>
        <v>0</v>
      </c>
      <c r="U70" s="115" cm="1">
        <f t="array" ref="U70">INDEX(tblPrices[cv_2026], MATCH(tblBaiduUnits[[#This Row],[Products]],tblPrices[Products],0), 0)* tblBaiduUnits[[#This Row],[cv_2026]]/10^6</f>
        <v>0</v>
      </c>
      <c r="V70" s="115" cm="1">
        <f t="array" ref="V70">INDEX(tblPrices[cv_2027], MATCH(tblBaiduUnits[[#This Row],[Products]],tblPrices[Products],0), 0)* tblBaiduUnits[[#This Row],[cv_2027]]/10^6</f>
        <v>0</v>
      </c>
      <c r="W70" s="115" cm="1">
        <f t="array" ref="W70">INDEX(tblPrices[cv_2028], MATCH(tblBaiduUnits[[#This Row],[Products]],tblPrices[Products],0), 0)* tblBaiduUnits[[#This Row],[cv_2028]]/10^6</f>
        <v>0</v>
      </c>
      <c r="X70" s="4">
        <f>VLOOKUP(A70,Products!$A$29:$F$110,6,FALSE)</f>
        <v>1600</v>
      </c>
    </row>
    <row r="71" spans="1:24">
      <c r="A71" s="15" t="s">
        <v>21</v>
      </c>
      <c r="B71" s="8">
        <v>1236.6242999999995</v>
      </c>
      <c r="C71" s="8">
        <v>1634.8936573630015</v>
      </c>
      <c r="D71" s="8"/>
      <c r="E71" s="8"/>
      <c r="F71" s="8"/>
      <c r="G71" s="8"/>
      <c r="H71" s="8"/>
      <c r="I71" s="8"/>
      <c r="J71" s="8"/>
      <c r="K71" s="8"/>
      <c r="L71" s="8"/>
      <c r="M71" s="62" cm="1">
        <f t="array" ref="M71">INDEX(tblPrices[cv_2018], MATCH(tblBaiduUnits[[#This Row],[Products]],tblPrices[Products],0), 0)* tblBaiduUnits[[#This Row],[cv_2018]]/10^6</f>
        <v>0.59243480284140349</v>
      </c>
      <c r="N71" s="62" cm="1">
        <f t="array" ref="N71">INDEX(tblPrices[cv_2019], MATCH(tblBaiduUnits[[#This Row],[Products]],tblPrices[Products],0), 0)* tblBaiduUnits[[#This Row],[cv_2019]]/10^6</f>
        <v>0.64027479355348138</v>
      </c>
      <c r="O71" s="62" cm="1">
        <f t="array" ref="O71">INDEX(tblPrices[cv_2020], MATCH(tblBaiduUnits[[#This Row],[Products]],tblPrices[Products],0), 0)* tblBaiduUnits[[#This Row],[cv_2020]]/10^6</f>
        <v>0</v>
      </c>
      <c r="P71" s="62" cm="1">
        <f t="array" ref="P71">INDEX(tblPrices[cv_2021], MATCH(tblBaiduUnits[[#This Row],[Products]],tblPrices[Products],0), 0)* tblBaiduUnits[[#This Row],[cv_2021]]/10^6</f>
        <v>0</v>
      </c>
      <c r="Q71" s="62" cm="1">
        <f t="array" ref="Q71">INDEX(tblPrices[cv_2022], MATCH(tblBaiduUnits[[#This Row],[Products]],tblPrices[Products],0), 0)* tblBaiduUnits[[#This Row],[cv_2022]]/10^6</f>
        <v>0</v>
      </c>
      <c r="R71" s="62" cm="1">
        <f t="array" ref="R71">INDEX(tblPrices[cv_2023], MATCH(tblBaiduUnits[[#This Row],[Products]],tblPrices[Products],0), 0)* tblBaiduUnits[[#This Row],[cv_2023]]/10^6</f>
        <v>0</v>
      </c>
      <c r="S71" s="62" cm="1">
        <f t="array" ref="S71">INDEX(tblPrices[cv_2024], MATCH(tblBaiduUnits[[#This Row],[Products]],tblPrices[Products],0), 0)* tblBaiduUnits[[#This Row],[cv_2024]]/10^6</f>
        <v>0</v>
      </c>
      <c r="T71" s="62" cm="1">
        <f t="array" ref="T71">INDEX(tblPrices[cv_2025], MATCH(tblBaiduUnits[[#This Row],[Products]],tblPrices[Products],0), 0)* tblBaiduUnits[[#This Row],[cv_2025]]/10^6</f>
        <v>0</v>
      </c>
      <c r="U71" s="62" cm="1">
        <f t="array" ref="U71">INDEX(tblPrices[cv_2026], MATCH(tblBaiduUnits[[#This Row],[Products]],tblPrices[Products],0), 0)* tblBaiduUnits[[#This Row],[cv_2026]]/10^6</f>
        <v>0</v>
      </c>
      <c r="V71" s="62" cm="1">
        <f t="array" ref="V71">INDEX(tblPrices[cv_2027], MATCH(tblBaiduUnits[[#This Row],[Products]],tblPrices[Products],0), 0)* tblBaiduUnits[[#This Row],[cv_2027]]/10^6</f>
        <v>0</v>
      </c>
      <c r="W71" s="62" cm="1">
        <f t="array" ref="W71">INDEX(tblPrices[cv_2028], MATCH(tblBaiduUnits[[#This Row],[Products]],tblPrices[Products],0), 0)* tblBaiduUnits[[#This Row],[cv_2028]]/10^6</f>
        <v>0</v>
      </c>
      <c r="X71" s="1">
        <f>VLOOKUP(A71,Products!$A$29:$F$110,6,FALSE)</f>
        <v>10</v>
      </c>
    </row>
    <row r="72" spans="1:24">
      <c r="A72" s="15" t="s">
        <v>22</v>
      </c>
      <c r="B72" s="8">
        <v>0</v>
      </c>
      <c r="C72" s="8">
        <v>0</v>
      </c>
      <c r="D72" s="8"/>
      <c r="E72" s="8"/>
      <c r="F72" s="8"/>
      <c r="G72" s="8"/>
      <c r="H72" s="8"/>
      <c r="I72" s="8"/>
      <c r="J72" s="8"/>
      <c r="K72" s="8"/>
      <c r="L72" s="8"/>
      <c r="M72" s="62" cm="1">
        <f t="array" ref="M72">INDEX(tblPrices[cv_2018], MATCH(tblBaiduUnits[[#This Row],[Products]],tblPrices[Products],0), 0)* tblBaiduUnits[[#This Row],[cv_2018]]/10^6</f>
        <v>0</v>
      </c>
      <c r="N72" s="62" cm="1">
        <f t="array" ref="N72">INDEX(tblPrices[cv_2019], MATCH(tblBaiduUnits[[#This Row],[Products]],tblPrices[Products],0), 0)* tblBaiduUnits[[#This Row],[cv_2019]]/10^6</f>
        <v>0</v>
      </c>
      <c r="O72" s="62" cm="1">
        <f t="array" ref="O72">INDEX(tblPrices[cv_2020], MATCH(tblBaiduUnits[[#This Row],[Products]],tblPrices[Products],0), 0)* tblBaiduUnits[[#This Row],[cv_2020]]/10^6</f>
        <v>0</v>
      </c>
      <c r="P72" s="62" cm="1">
        <f t="array" ref="P72">INDEX(tblPrices[cv_2021], MATCH(tblBaiduUnits[[#This Row],[Products]],tblPrices[Products],0), 0)* tblBaiduUnits[[#This Row],[cv_2021]]/10^6</f>
        <v>0</v>
      </c>
      <c r="Q72" s="62" cm="1">
        <f t="array" ref="Q72">INDEX(tblPrices[cv_2022], MATCH(tblBaiduUnits[[#This Row],[Products]],tblPrices[Products],0), 0)* tblBaiduUnits[[#This Row],[cv_2022]]/10^6</f>
        <v>0</v>
      </c>
      <c r="R72" s="62" cm="1">
        <f t="array" ref="R72">INDEX(tblPrices[cv_2023], MATCH(tblBaiduUnits[[#This Row],[Products]],tblPrices[Products],0), 0)* tblBaiduUnits[[#This Row],[cv_2023]]/10^6</f>
        <v>0</v>
      </c>
      <c r="S72" s="62" cm="1">
        <f t="array" ref="S72">INDEX(tblPrices[cv_2024], MATCH(tblBaiduUnits[[#This Row],[Products]],tblPrices[Products],0), 0)* tblBaiduUnits[[#This Row],[cv_2024]]/10^6</f>
        <v>0</v>
      </c>
      <c r="T72" s="62" cm="1">
        <f t="array" ref="T72">INDEX(tblPrices[cv_2025], MATCH(tblBaiduUnits[[#This Row],[Products]],tblPrices[Products],0), 0)* tblBaiduUnits[[#This Row],[cv_2025]]/10^6</f>
        <v>0</v>
      </c>
      <c r="U72" s="62" cm="1">
        <f t="array" ref="U72">INDEX(tblPrices[cv_2026], MATCH(tblBaiduUnits[[#This Row],[Products]],tblPrices[Products],0), 0)* tblBaiduUnits[[#This Row],[cv_2026]]/10^6</f>
        <v>0</v>
      </c>
      <c r="V72" s="62" cm="1">
        <f t="array" ref="V72">INDEX(tblPrices[cv_2027], MATCH(tblBaiduUnits[[#This Row],[Products]],tblPrices[Products],0), 0)* tblBaiduUnits[[#This Row],[cv_2027]]/10^6</f>
        <v>0</v>
      </c>
      <c r="W72" s="62" cm="1">
        <f t="array" ref="W72">INDEX(tblPrices[cv_2028], MATCH(tblBaiduUnits[[#This Row],[Products]],tblPrices[Products],0), 0)* tblBaiduUnits[[#This Row],[cv_2028]]/10^6</f>
        <v>0</v>
      </c>
      <c r="X72" s="1">
        <f>VLOOKUP(A72,Products!$A$29:$F$110,6,FALSE)</f>
        <v>40</v>
      </c>
    </row>
    <row r="73" spans="1:24">
      <c r="A73" s="15" t="s">
        <v>23</v>
      </c>
      <c r="B73" s="8">
        <v>1987.1878638655458</v>
      </c>
      <c r="C73" s="8">
        <v>1766.5616</v>
      </c>
      <c r="D73" s="8"/>
      <c r="E73" s="8"/>
      <c r="F73" s="8"/>
      <c r="G73" s="8"/>
      <c r="H73" s="8"/>
      <c r="I73" s="8"/>
      <c r="J73" s="8"/>
      <c r="K73" s="8"/>
      <c r="L73" s="8"/>
      <c r="M73" s="62" cm="1">
        <f t="array" ref="M73">INDEX(tblPrices[cv_2018], MATCH(tblBaiduUnits[[#This Row],[Products]],tblPrices[Products],0), 0)* tblBaiduUnits[[#This Row],[cv_2018]]/10^6</f>
        <v>15.897502910924366</v>
      </c>
      <c r="N73" s="62" cm="1">
        <f t="array" ref="N73">INDEX(tblPrices[cv_2019], MATCH(tblBaiduUnits[[#This Row],[Products]],tblPrices[Products],0), 0)* tblBaiduUnits[[#This Row],[cv_2019]]/10^6</f>
        <v>11.30599424</v>
      </c>
      <c r="O73" s="62" cm="1">
        <f t="array" ref="O73">INDEX(tblPrices[cv_2020], MATCH(tblBaiduUnits[[#This Row],[Products]],tblPrices[Products],0), 0)* tblBaiduUnits[[#This Row],[cv_2020]]/10^6</f>
        <v>0</v>
      </c>
      <c r="P73" s="62" cm="1">
        <f t="array" ref="P73">INDEX(tblPrices[cv_2021], MATCH(tblBaiduUnits[[#This Row],[Products]],tblPrices[Products],0), 0)* tblBaiduUnits[[#This Row],[cv_2021]]/10^6</f>
        <v>0</v>
      </c>
      <c r="Q73" s="62" cm="1">
        <f t="array" ref="Q73">INDEX(tblPrices[cv_2022], MATCH(tblBaiduUnits[[#This Row],[Products]],tblPrices[Products],0), 0)* tblBaiduUnits[[#This Row],[cv_2022]]/10^6</f>
        <v>0</v>
      </c>
      <c r="R73" s="62" cm="1">
        <f t="array" ref="R73">INDEX(tblPrices[cv_2023], MATCH(tblBaiduUnits[[#This Row],[Products]],tblPrices[Products],0), 0)* tblBaiduUnits[[#This Row],[cv_2023]]/10^6</f>
        <v>0</v>
      </c>
      <c r="S73" s="62" cm="1">
        <f t="array" ref="S73">INDEX(tblPrices[cv_2024], MATCH(tblBaiduUnits[[#This Row],[Products]],tblPrices[Products],0), 0)* tblBaiduUnits[[#This Row],[cv_2024]]/10^6</f>
        <v>0</v>
      </c>
      <c r="T73" s="62" cm="1">
        <f t="array" ref="T73">INDEX(tblPrices[cv_2025], MATCH(tblBaiduUnits[[#This Row],[Products]],tblPrices[Products],0), 0)* tblBaiduUnits[[#This Row],[cv_2025]]/10^6</f>
        <v>0</v>
      </c>
      <c r="U73" s="62" cm="1">
        <f t="array" ref="U73">INDEX(tblPrices[cv_2026], MATCH(tblBaiduUnits[[#This Row],[Products]],tblPrices[Products],0), 0)* tblBaiduUnits[[#This Row],[cv_2026]]/10^6</f>
        <v>0</v>
      </c>
      <c r="V73" s="62" cm="1">
        <f t="array" ref="V73">INDEX(tblPrices[cv_2027], MATCH(tblBaiduUnits[[#This Row],[Products]],tblPrices[Products],0), 0)* tblBaiduUnits[[#This Row],[cv_2027]]/10^6</f>
        <v>0</v>
      </c>
      <c r="W73" s="62" cm="1">
        <f t="array" ref="W73">INDEX(tblPrices[cv_2028], MATCH(tblBaiduUnits[[#This Row],[Products]],tblPrices[Products],0), 0)* tblBaiduUnits[[#This Row],[cv_2028]]/10^6</f>
        <v>0</v>
      </c>
      <c r="X73" s="1">
        <f>VLOOKUP(A73,Products!$A$29:$F$110,6,FALSE)</f>
        <v>100</v>
      </c>
    </row>
    <row r="74" spans="1:24">
      <c r="A74" s="15" t="s">
        <v>24</v>
      </c>
      <c r="B74" s="8">
        <v>0</v>
      </c>
      <c r="C74" s="8">
        <v>0</v>
      </c>
      <c r="D74" s="8"/>
      <c r="E74" s="8"/>
      <c r="F74" s="8"/>
      <c r="G74" s="8"/>
      <c r="H74" s="8"/>
      <c r="I74" s="8"/>
      <c r="J74" s="8"/>
      <c r="K74" s="8"/>
      <c r="L74" s="8"/>
      <c r="M74" s="62" cm="1">
        <f t="array" ref="M74">INDEX(tblPrices[cv_2018], MATCH(tblBaiduUnits[[#This Row],[Products]],tblPrices[Products],0), 0)* tblBaiduUnits[[#This Row],[cv_2018]]/10^6</f>
        <v>0</v>
      </c>
      <c r="N74" s="62" cm="1">
        <f t="array" ref="N74">INDEX(tblPrices[cv_2019], MATCH(tblBaiduUnits[[#This Row],[Products]],tblPrices[Products],0), 0)* tblBaiduUnits[[#This Row],[cv_2019]]/10^6</f>
        <v>0</v>
      </c>
      <c r="O74" s="62" cm="1">
        <f t="array" ref="O74">INDEX(tblPrices[cv_2020], MATCH(tblBaiduUnits[[#This Row],[Products]],tblPrices[Products],0), 0)* tblBaiduUnits[[#This Row],[cv_2020]]/10^6</f>
        <v>0</v>
      </c>
      <c r="P74" s="62" cm="1">
        <f t="array" ref="P74">INDEX(tblPrices[cv_2021], MATCH(tblBaiduUnits[[#This Row],[Products]],tblPrices[Products],0), 0)* tblBaiduUnits[[#This Row],[cv_2021]]/10^6</f>
        <v>0</v>
      </c>
      <c r="Q74" s="62" cm="1">
        <f t="array" ref="Q74">INDEX(tblPrices[cv_2022], MATCH(tblBaiduUnits[[#This Row],[Products]],tblPrices[Products],0), 0)* tblBaiduUnits[[#This Row],[cv_2022]]/10^6</f>
        <v>0</v>
      </c>
      <c r="R74" s="62" cm="1">
        <f t="array" ref="R74">INDEX(tblPrices[cv_2023], MATCH(tblBaiduUnits[[#This Row],[Products]],tblPrices[Products],0), 0)* tblBaiduUnits[[#This Row],[cv_2023]]/10^6</f>
        <v>0</v>
      </c>
      <c r="S74" s="62" cm="1">
        <f t="array" ref="S74">INDEX(tblPrices[cv_2024], MATCH(tblBaiduUnits[[#This Row],[Products]],tblPrices[Products],0), 0)* tblBaiduUnits[[#This Row],[cv_2024]]/10^6</f>
        <v>0</v>
      </c>
      <c r="T74" s="62" cm="1">
        <f t="array" ref="T74">INDEX(tblPrices[cv_2025], MATCH(tblBaiduUnits[[#This Row],[Products]],tblPrices[Products],0), 0)* tblBaiduUnits[[#This Row],[cv_2025]]/10^6</f>
        <v>0</v>
      </c>
      <c r="U74" s="62" cm="1">
        <f t="array" ref="U74">INDEX(tblPrices[cv_2026], MATCH(tblBaiduUnits[[#This Row],[Products]],tblPrices[Products],0), 0)* tblBaiduUnits[[#This Row],[cv_2026]]/10^6</f>
        <v>0</v>
      </c>
      <c r="V74" s="62" cm="1">
        <f t="array" ref="V74">INDEX(tblPrices[cv_2027], MATCH(tblBaiduUnits[[#This Row],[Products]],tblPrices[Products],0), 0)* tblBaiduUnits[[#This Row],[cv_2027]]/10^6</f>
        <v>0</v>
      </c>
      <c r="W74" s="62" cm="1">
        <f t="array" ref="W74">INDEX(tblPrices[cv_2028], MATCH(tblBaiduUnits[[#This Row],[Products]],tblPrices[Products],0), 0)* tblBaiduUnits[[#This Row],[cv_2028]]/10^6</f>
        <v>0</v>
      </c>
      <c r="X74" s="1">
        <f>VLOOKUP(A74,Products!$A$29:$F$110,6,FALSE)</f>
        <v>100</v>
      </c>
    </row>
    <row r="75" spans="1:24">
      <c r="A75" s="15" t="s">
        <v>25</v>
      </c>
      <c r="B75" s="8">
        <v>146.03720378151266</v>
      </c>
      <c r="C75" s="8">
        <v>308.6224000000002</v>
      </c>
      <c r="D75" s="8"/>
      <c r="E75" s="8"/>
      <c r="F75" s="8"/>
      <c r="G75" s="8"/>
      <c r="H75" s="8"/>
      <c r="I75" s="8"/>
      <c r="J75" s="8"/>
      <c r="K75" s="8"/>
      <c r="L75" s="8"/>
      <c r="M75" s="62" cm="1">
        <f t="array" ref="M75">INDEX(tblPrices[cv_2018], MATCH(tblBaiduUnits[[#This Row],[Products]],tblPrices[Products],0), 0)* tblBaiduUnits[[#This Row],[cv_2018]]/10^6</f>
        <v>0.80320462079831956</v>
      </c>
      <c r="N75" s="62" cm="1">
        <f t="array" ref="N75">INDEX(tblPrices[cv_2019], MATCH(tblBaiduUnits[[#This Row],[Products]],tblPrices[Products],0), 0)* tblBaiduUnits[[#This Row],[cv_2019]]/10^6</f>
        <v>1.3579385600000009</v>
      </c>
      <c r="O75" s="62" cm="1">
        <f t="array" ref="O75">INDEX(tblPrices[cv_2020], MATCH(tblBaiduUnits[[#This Row],[Products]],tblPrices[Products],0), 0)* tblBaiduUnits[[#This Row],[cv_2020]]/10^6</f>
        <v>0</v>
      </c>
      <c r="P75" s="62" cm="1">
        <f t="array" ref="P75">INDEX(tblPrices[cv_2021], MATCH(tblBaiduUnits[[#This Row],[Products]],tblPrices[Products],0), 0)* tblBaiduUnits[[#This Row],[cv_2021]]/10^6</f>
        <v>0</v>
      </c>
      <c r="Q75" s="62" cm="1">
        <f t="array" ref="Q75">INDEX(tblPrices[cv_2022], MATCH(tblBaiduUnits[[#This Row],[Products]],tblPrices[Products],0), 0)* tblBaiduUnits[[#This Row],[cv_2022]]/10^6</f>
        <v>0</v>
      </c>
      <c r="R75" s="62" cm="1">
        <f t="array" ref="R75">INDEX(tblPrices[cv_2023], MATCH(tblBaiduUnits[[#This Row],[Products]],tblPrices[Products],0), 0)* tblBaiduUnits[[#This Row],[cv_2023]]/10^6</f>
        <v>0</v>
      </c>
      <c r="S75" s="62" cm="1">
        <f t="array" ref="S75">INDEX(tblPrices[cv_2024], MATCH(tblBaiduUnits[[#This Row],[Products]],tblPrices[Products],0), 0)* tblBaiduUnits[[#This Row],[cv_2024]]/10^6</f>
        <v>0</v>
      </c>
      <c r="T75" s="62" cm="1">
        <f t="array" ref="T75">INDEX(tblPrices[cv_2025], MATCH(tblBaiduUnits[[#This Row],[Products]],tblPrices[Products],0), 0)* tblBaiduUnits[[#This Row],[cv_2025]]/10^6</f>
        <v>0</v>
      </c>
      <c r="U75" s="62" cm="1">
        <f t="array" ref="U75">INDEX(tblPrices[cv_2026], MATCH(tblBaiduUnits[[#This Row],[Products]],tblPrices[Products],0), 0)* tblBaiduUnits[[#This Row],[cv_2026]]/10^6</f>
        <v>0</v>
      </c>
      <c r="V75" s="62" cm="1">
        <f t="array" ref="V75">INDEX(tblPrices[cv_2027], MATCH(tblBaiduUnits[[#This Row],[Products]],tblPrices[Products],0), 0)* tblBaiduUnits[[#This Row],[cv_2027]]/10^6</f>
        <v>0</v>
      </c>
      <c r="W75" s="62" cm="1">
        <f t="array" ref="W75">INDEX(tblPrices[cv_2028], MATCH(tblBaiduUnits[[#This Row],[Products]],tblPrices[Products],0), 0)* tblBaiduUnits[[#This Row],[cv_2028]]/10^6</f>
        <v>0</v>
      </c>
      <c r="X75" s="1">
        <f>VLOOKUP(A75,Products!$A$29:$F$110,6,FALSE)</f>
        <v>100</v>
      </c>
    </row>
    <row r="76" spans="1:24">
      <c r="A76" s="15" t="s">
        <v>26</v>
      </c>
      <c r="B76" s="8"/>
      <c r="C76" s="8"/>
      <c r="D76" s="8"/>
      <c r="E76" s="8"/>
      <c r="F76" s="8"/>
      <c r="G76" s="8"/>
      <c r="H76" s="8"/>
      <c r="I76" s="8"/>
      <c r="J76" s="8"/>
      <c r="K76" s="8"/>
      <c r="L76" s="8"/>
      <c r="M76" s="62"/>
      <c r="N76" s="62"/>
      <c r="O76" s="62"/>
      <c r="P76" s="62"/>
      <c r="Q76" s="62"/>
      <c r="R76" s="62"/>
      <c r="S76" s="62"/>
      <c r="T76" s="62"/>
      <c r="U76" s="62"/>
      <c r="V76" s="62"/>
      <c r="W76" s="62"/>
      <c r="X76" s="1">
        <f>VLOOKUP(A76,Products!$A$29:$F$110,6,FALSE)</f>
        <v>100</v>
      </c>
    </row>
    <row r="77" spans="1:24">
      <c r="A77" s="15" t="s">
        <v>27</v>
      </c>
      <c r="B77" s="8">
        <v>0</v>
      </c>
      <c r="C77" s="8">
        <v>0</v>
      </c>
      <c r="D77" s="8"/>
      <c r="E77" s="8"/>
      <c r="F77" s="8"/>
      <c r="G77" s="8"/>
      <c r="H77" s="8"/>
      <c r="I77" s="8"/>
      <c r="J77" s="8"/>
      <c r="K77" s="8"/>
      <c r="L77" s="8"/>
      <c r="M77" s="62" cm="1">
        <f t="array" ref="M77">INDEX(tblPrices[cv_2018], MATCH(tblBaiduUnits[[#This Row],[Products]],tblPrices[Products],0), 0)* tblBaiduUnits[[#This Row],[cv_2018]]/10^6</f>
        <v>0</v>
      </c>
      <c r="N77" s="62" cm="1">
        <f t="array" ref="N77">INDEX(tblPrices[cv_2019], MATCH(tblBaiduUnits[[#This Row],[Products]],tblPrices[Products],0), 0)* tblBaiduUnits[[#This Row],[cv_2019]]/10^6</f>
        <v>0</v>
      </c>
      <c r="O77" s="62" cm="1">
        <f t="array" ref="O77">INDEX(tblPrices[cv_2020], MATCH(tblBaiduUnits[[#This Row],[Products]],tblPrices[Products],0), 0)* tblBaiduUnits[[#This Row],[cv_2020]]/10^6</f>
        <v>0</v>
      </c>
      <c r="P77" s="62" cm="1">
        <f t="array" ref="P77">INDEX(tblPrices[cv_2021], MATCH(tblBaiduUnits[[#This Row],[Products]],tblPrices[Products],0), 0)* tblBaiduUnits[[#This Row],[cv_2021]]/10^6</f>
        <v>0</v>
      </c>
      <c r="Q77" s="62" cm="1">
        <f t="array" ref="Q77">INDEX(tblPrices[cv_2022], MATCH(tblBaiduUnits[[#This Row],[Products]],tblPrices[Products],0), 0)* tblBaiduUnits[[#This Row],[cv_2022]]/10^6</f>
        <v>0</v>
      </c>
      <c r="R77" s="62" cm="1">
        <f t="array" ref="R77">INDEX(tblPrices[cv_2023], MATCH(tblBaiduUnits[[#This Row],[Products]],tblPrices[Products],0), 0)* tblBaiduUnits[[#This Row],[cv_2023]]/10^6</f>
        <v>0</v>
      </c>
      <c r="S77" s="62" cm="1">
        <f t="array" ref="S77">INDEX(tblPrices[cv_2024], MATCH(tblBaiduUnits[[#This Row],[Products]],tblPrices[Products],0), 0)* tblBaiduUnits[[#This Row],[cv_2024]]/10^6</f>
        <v>0</v>
      </c>
      <c r="T77" s="62" cm="1">
        <f t="array" ref="T77">INDEX(tblPrices[cv_2025], MATCH(tblBaiduUnits[[#This Row],[Products]],tblPrices[Products],0), 0)* tblBaiduUnits[[#This Row],[cv_2025]]/10^6</f>
        <v>0</v>
      </c>
      <c r="U77" s="62" cm="1">
        <f t="array" ref="U77">INDEX(tblPrices[cv_2026], MATCH(tblBaiduUnits[[#This Row],[Products]],tblPrices[Products],0), 0)* tblBaiduUnits[[#This Row],[cv_2026]]/10^6</f>
        <v>0</v>
      </c>
      <c r="V77" s="62" cm="1">
        <f t="array" ref="V77">INDEX(tblPrices[cv_2027], MATCH(tblBaiduUnits[[#This Row],[Products]],tblPrices[Products],0), 0)* tblBaiduUnits[[#This Row],[cv_2027]]/10^6</f>
        <v>0</v>
      </c>
      <c r="W77" s="62" cm="1">
        <f t="array" ref="W77">INDEX(tblPrices[cv_2028], MATCH(tblBaiduUnits[[#This Row],[Products]],tblPrices[Products],0), 0)* tblBaiduUnits[[#This Row],[cv_2028]]/10^6</f>
        <v>0</v>
      </c>
      <c r="X77" s="1">
        <f>VLOOKUP(A77,Products!$A$29:$F$110,6,FALSE)</f>
        <v>100</v>
      </c>
    </row>
    <row r="78" spans="1:24">
      <c r="A78" s="15" t="s">
        <v>28</v>
      </c>
      <c r="B78" s="8">
        <v>0</v>
      </c>
      <c r="C78" s="8">
        <v>0</v>
      </c>
      <c r="D78" s="8"/>
      <c r="E78" s="8"/>
      <c r="F78" s="8"/>
      <c r="G78" s="8"/>
      <c r="H78" s="8"/>
      <c r="I78" s="8"/>
      <c r="J78" s="8"/>
      <c r="K78" s="8"/>
      <c r="L78" s="8"/>
      <c r="M78" s="62" cm="1">
        <f t="array" ref="M78">INDEX(tblPrices[cv_2018], MATCH(tblBaiduUnits[[#This Row],[Products]],tblPrices[Products],0), 0)* tblBaiduUnits[[#This Row],[cv_2018]]/10^6</f>
        <v>0</v>
      </c>
      <c r="N78" s="62" cm="1">
        <f t="array" ref="N78">INDEX(tblPrices[cv_2019], MATCH(tblBaiduUnits[[#This Row],[Products]],tblPrices[Products],0), 0)* tblBaiduUnits[[#This Row],[cv_2019]]/10^6</f>
        <v>0</v>
      </c>
      <c r="O78" s="62" cm="1">
        <f t="array" ref="O78">INDEX(tblPrices[cv_2020], MATCH(tblBaiduUnits[[#This Row],[Products]],tblPrices[Products],0), 0)* tblBaiduUnits[[#This Row],[cv_2020]]/10^6</f>
        <v>0</v>
      </c>
      <c r="P78" s="62" cm="1">
        <f t="array" ref="P78">INDEX(tblPrices[cv_2021], MATCH(tblBaiduUnits[[#This Row],[Products]],tblPrices[Products],0), 0)* tblBaiduUnits[[#This Row],[cv_2021]]/10^6</f>
        <v>0</v>
      </c>
      <c r="Q78" s="62" cm="1">
        <f t="array" ref="Q78">INDEX(tblPrices[cv_2022], MATCH(tblBaiduUnits[[#This Row],[Products]],tblPrices[Products],0), 0)* tblBaiduUnits[[#This Row],[cv_2022]]/10^6</f>
        <v>0</v>
      </c>
      <c r="R78" s="62" cm="1">
        <f t="array" ref="R78">INDEX(tblPrices[cv_2023], MATCH(tblBaiduUnits[[#This Row],[Products]],tblPrices[Products],0), 0)* tblBaiduUnits[[#This Row],[cv_2023]]/10^6</f>
        <v>0</v>
      </c>
      <c r="S78" s="62" cm="1">
        <f t="array" ref="S78">INDEX(tblPrices[cv_2024], MATCH(tblBaiduUnits[[#This Row],[Products]],tblPrices[Products],0), 0)* tblBaiduUnits[[#This Row],[cv_2024]]/10^6</f>
        <v>0</v>
      </c>
      <c r="T78" s="62" cm="1">
        <f t="array" ref="T78">INDEX(tblPrices[cv_2025], MATCH(tblBaiduUnits[[#This Row],[Products]],tblPrices[Products],0), 0)* tblBaiduUnits[[#This Row],[cv_2025]]/10^6</f>
        <v>0</v>
      </c>
      <c r="U78" s="62" cm="1">
        <f t="array" ref="U78">INDEX(tblPrices[cv_2026], MATCH(tblBaiduUnits[[#This Row],[Products]],tblPrices[Products],0), 0)* tblBaiduUnits[[#This Row],[cv_2026]]/10^6</f>
        <v>0</v>
      </c>
      <c r="V78" s="62" cm="1">
        <f t="array" ref="V78">INDEX(tblPrices[cv_2027], MATCH(tblBaiduUnits[[#This Row],[Products]],tblPrices[Products],0), 0)* tblBaiduUnits[[#This Row],[cv_2027]]/10^6</f>
        <v>0</v>
      </c>
      <c r="W78" s="62" cm="1">
        <f t="array" ref="W78">INDEX(tblPrices[cv_2028], MATCH(tblBaiduUnits[[#This Row],[Products]],tblPrices[Products],0), 0)* tblBaiduUnits[[#This Row],[cv_2028]]/10^6</f>
        <v>0</v>
      </c>
      <c r="X78" s="1">
        <f>VLOOKUP(A78,Products!$A$29:$F$110,6,FALSE)</f>
        <v>200</v>
      </c>
    </row>
    <row r="79" spans="1:24">
      <c r="A79" s="15" t="s">
        <v>29</v>
      </c>
      <c r="B79" s="8">
        <v>37.801229508196734</v>
      </c>
      <c r="C79" s="8">
        <v>257.19900000000001</v>
      </c>
      <c r="D79" s="8"/>
      <c r="E79" s="8"/>
      <c r="F79" s="8"/>
      <c r="G79" s="8"/>
      <c r="H79" s="8"/>
      <c r="I79" s="8"/>
      <c r="J79" s="8"/>
      <c r="K79" s="8"/>
      <c r="L79" s="8"/>
      <c r="M79" s="62" cm="1">
        <f t="array" ref="M79">INDEX(tblPrices[cv_2018], MATCH(tblBaiduUnits[[#This Row],[Products]],tblPrices[Products],0), 0)* tblBaiduUnits[[#This Row],[cv_2018]]/10^6</f>
        <v>0.22680737704918041</v>
      </c>
      <c r="N79" s="62" cm="1">
        <f t="array" ref="N79">INDEX(tblPrices[cv_2019], MATCH(tblBaiduUnits[[#This Row],[Products]],tblPrices[Products],0), 0)* tblBaiduUnits[[#This Row],[cv_2019]]/10^6</f>
        <v>1.2345552</v>
      </c>
      <c r="O79" s="62" cm="1">
        <f t="array" ref="O79">INDEX(tblPrices[cv_2020], MATCH(tblBaiduUnits[[#This Row],[Products]],tblPrices[Products],0), 0)* tblBaiduUnits[[#This Row],[cv_2020]]/10^6</f>
        <v>0</v>
      </c>
      <c r="P79" s="62" cm="1">
        <f t="array" ref="P79">INDEX(tblPrices[cv_2021], MATCH(tblBaiduUnits[[#This Row],[Products]],tblPrices[Products],0), 0)* tblBaiduUnits[[#This Row],[cv_2021]]/10^6</f>
        <v>0</v>
      </c>
      <c r="Q79" s="62" cm="1">
        <f t="array" ref="Q79">INDEX(tblPrices[cv_2022], MATCH(tblBaiduUnits[[#This Row],[Products]],tblPrices[Products],0), 0)* tblBaiduUnits[[#This Row],[cv_2022]]/10^6</f>
        <v>0</v>
      </c>
      <c r="R79" s="62" cm="1">
        <f t="array" ref="R79">INDEX(tblPrices[cv_2023], MATCH(tblBaiduUnits[[#This Row],[Products]],tblPrices[Products],0), 0)* tblBaiduUnits[[#This Row],[cv_2023]]/10^6</f>
        <v>0</v>
      </c>
      <c r="S79" s="62" cm="1">
        <f t="array" ref="S79">INDEX(tblPrices[cv_2024], MATCH(tblBaiduUnits[[#This Row],[Products]],tblPrices[Products],0), 0)* tblBaiduUnits[[#This Row],[cv_2024]]/10^6</f>
        <v>0</v>
      </c>
      <c r="T79" s="62" cm="1">
        <f t="array" ref="T79">INDEX(tblPrices[cv_2025], MATCH(tblBaiduUnits[[#This Row],[Products]],tblPrices[Products],0), 0)* tblBaiduUnits[[#This Row],[cv_2025]]/10^6</f>
        <v>0</v>
      </c>
      <c r="U79" s="62" cm="1">
        <f t="array" ref="U79">INDEX(tblPrices[cv_2026], MATCH(tblBaiduUnits[[#This Row],[Products]],tblPrices[Products],0), 0)* tblBaiduUnits[[#This Row],[cv_2026]]/10^6</f>
        <v>0</v>
      </c>
      <c r="V79" s="62" cm="1">
        <f t="array" ref="V79">INDEX(tblPrices[cv_2027], MATCH(tblBaiduUnits[[#This Row],[Products]],tblPrices[Products],0), 0)* tblBaiduUnits[[#This Row],[cv_2027]]/10^6</f>
        <v>0</v>
      </c>
      <c r="W79" s="62" cm="1">
        <f t="array" ref="W79">INDEX(tblPrices[cv_2028], MATCH(tblBaiduUnits[[#This Row],[Products]],tblPrices[Products],0), 0)* tblBaiduUnits[[#This Row],[cv_2028]]/10^6</f>
        <v>0</v>
      </c>
      <c r="X79" s="1">
        <f>VLOOKUP(A79,Products!$A$29:$F$110,6,FALSE)</f>
        <v>200</v>
      </c>
    </row>
    <row r="80" spans="1:24">
      <c r="A80" s="15" t="s">
        <v>30</v>
      </c>
      <c r="B80" s="8">
        <v>0</v>
      </c>
      <c r="C80" s="8">
        <v>0</v>
      </c>
      <c r="D80" s="8"/>
      <c r="E80" s="8"/>
      <c r="F80" s="8"/>
      <c r="G80" s="8"/>
      <c r="H80" s="8"/>
      <c r="I80" s="8"/>
      <c r="J80" s="8"/>
      <c r="K80" s="8"/>
      <c r="L80" s="8"/>
      <c r="M80" s="62" cm="1">
        <f t="array" ref="M80">INDEX(tblPrices[cv_2018], MATCH(tblBaiduUnits[[#This Row],[Products]],tblPrices[Products],0), 0)* tblBaiduUnits[[#This Row],[cv_2018]]/10^6</f>
        <v>0</v>
      </c>
      <c r="N80" s="62" cm="1">
        <f t="array" ref="N80">INDEX(tblPrices[cv_2019], MATCH(tblBaiduUnits[[#This Row],[Products]],tblPrices[Products],0), 0)* tblBaiduUnits[[#This Row],[cv_2019]]/10^6</f>
        <v>0</v>
      </c>
      <c r="O80" s="62" cm="1">
        <f t="array" ref="O80">INDEX(tblPrices[cv_2020], MATCH(tblBaiduUnits[[#This Row],[Products]],tblPrices[Products],0), 0)* tblBaiduUnits[[#This Row],[cv_2020]]/10^6</f>
        <v>0</v>
      </c>
      <c r="P80" s="62" cm="1">
        <f t="array" ref="P80">INDEX(tblPrices[cv_2021], MATCH(tblBaiduUnits[[#This Row],[Products]],tblPrices[Products],0), 0)* tblBaiduUnits[[#This Row],[cv_2021]]/10^6</f>
        <v>0</v>
      </c>
      <c r="Q80" s="62" cm="1">
        <f t="array" ref="Q80">INDEX(tblPrices[cv_2022], MATCH(tblBaiduUnits[[#This Row],[Products]],tblPrices[Products],0), 0)* tblBaiduUnits[[#This Row],[cv_2022]]/10^6</f>
        <v>0</v>
      </c>
      <c r="R80" s="62" cm="1">
        <f t="array" ref="R80">INDEX(tblPrices[cv_2023], MATCH(tblBaiduUnits[[#This Row],[Products]],tblPrices[Products],0), 0)* tblBaiduUnits[[#This Row],[cv_2023]]/10^6</f>
        <v>0</v>
      </c>
      <c r="S80" s="62" cm="1">
        <f t="array" ref="S80">INDEX(tblPrices[cv_2024], MATCH(tblBaiduUnits[[#This Row],[Products]],tblPrices[Products],0), 0)* tblBaiduUnits[[#This Row],[cv_2024]]/10^6</f>
        <v>0</v>
      </c>
      <c r="T80" s="62" cm="1">
        <f t="array" ref="T80">INDEX(tblPrices[cv_2025], MATCH(tblBaiduUnits[[#This Row],[Products]],tblPrices[Products],0), 0)* tblBaiduUnits[[#This Row],[cv_2025]]/10^6</f>
        <v>0</v>
      </c>
      <c r="U80" s="62" cm="1">
        <f t="array" ref="U80">INDEX(tblPrices[cv_2026], MATCH(tblBaiduUnits[[#This Row],[Products]],tblPrices[Products],0), 0)* tblBaiduUnits[[#This Row],[cv_2026]]/10^6</f>
        <v>0</v>
      </c>
      <c r="V80" s="62" cm="1">
        <f t="array" ref="V80">INDEX(tblPrices[cv_2027], MATCH(tblBaiduUnits[[#This Row],[Products]],tblPrices[Products],0), 0)* tblBaiduUnits[[#This Row],[cv_2027]]/10^6</f>
        <v>0</v>
      </c>
      <c r="W80" s="62" cm="1">
        <f t="array" ref="W80">INDEX(tblPrices[cv_2028], MATCH(tblBaiduUnits[[#This Row],[Products]],tblPrices[Products],0), 0)* tblBaiduUnits[[#This Row],[cv_2028]]/10^6</f>
        <v>0</v>
      </c>
      <c r="X80" s="1">
        <f>VLOOKUP(A80,Products!$A$29:$F$110,6,FALSE)</f>
        <v>200</v>
      </c>
    </row>
    <row r="81" spans="1:24">
      <c r="A81" s="15" t="s">
        <v>31</v>
      </c>
      <c r="B81" s="8">
        <v>0</v>
      </c>
      <c r="C81" s="8">
        <v>0</v>
      </c>
      <c r="D81" s="8"/>
      <c r="E81" s="8"/>
      <c r="F81" s="8"/>
      <c r="G81" s="8"/>
      <c r="H81" s="8"/>
      <c r="I81" s="8"/>
      <c r="J81" s="8"/>
      <c r="K81" s="8"/>
      <c r="L81" s="8"/>
      <c r="M81" s="62" cm="1">
        <f t="array" ref="M81">INDEX(tblPrices[cv_2018], MATCH(tblBaiduUnits[[#This Row],[Products]],tblPrices[Products],0), 0)* tblBaiduUnits[[#This Row],[cv_2018]]/10^6</f>
        <v>0</v>
      </c>
      <c r="N81" s="62" cm="1">
        <f t="array" ref="N81">INDEX(tblPrices[cv_2019], MATCH(tblBaiduUnits[[#This Row],[Products]],tblPrices[Products],0), 0)* tblBaiduUnits[[#This Row],[cv_2019]]/10^6</f>
        <v>0</v>
      </c>
      <c r="O81" s="62" cm="1">
        <f t="array" ref="O81">INDEX(tblPrices[cv_2020], MATCH(tblBaiduUnits[[#This Row],[Products]],tblPrices[Products],0), 0)* tblBaiduUnits[[#This Row],[cv_2020]]/10^6</f>
        <v>0</v>
      </c>
      <c r="P81" s="62" cm="1">
        <f t="array" ref="P81">INDEX(tblPrices[cv_2021], MATCH(tblBaiduUnits[[#This Row],[Products]],tblPrices[Products],0), 0)* tblBaiduUnits[[#This Row],[cv_2021]]/10^6</f>
        <v>0</v>
      </c>
      <c r="Q81" s="62" cm="1">
        <f t="array" ref="Q81">INDEX(tblPrices[cv_2022], MATCH(tblBaiduUnits[[#This Row],[Products]],tblPrices[Products],0), 0)* tblBaiduUnits[[#This Row],[cv_2022]]/10^6</f>
        <v>0</v>
      </c>
      <c r="R81" s="62" cm="1">
        <f t="array" ref="R81">INDEX(tblPrices[cv_2023], MATCH(tblBaiduUnits[[#This Row],[Products]],tblPrices[Products],0), 0)* tblBaiduUnits[[#This Row],[cv_2023]]/10^6</f>
        <v>0</v>
      </c>
      <c r="S81" s="62" cm="1">
        <f t="array" ref="S81">INDEX(tblPrices[cv_2024], MATCH(tblBaiduUnits[[#This Row],[Products]],tblPrices[Products],0), 0)* tblBaiduUnits[[#This Row],[cv_2024]]/10^6</f>
        <v>0</v>
      </c>
      <c r="T81" s="62" cm="1">
        <f t="array" ref="T81">INDEX(tblPrices[cv_2025], MATCH(tblBaiduUnits[[#This Row],[Products]],tblPrices[Products],0), 0)* tblBaiduUnits[[#This Row],[cv_2025]]/10^6</f>
        <v>0</v>
      </c>
      <c r="U81" s="62" cm="1">
        <f t="array" ref="U81">INDEX(tblPrices[cv_2026], MATCH(tblBaiduUnits[[#This Row],[Products]],tblPrices[Products],0), 0)* tblBaiduUnits[[#This Row],[cv_2026]]/10^6</f>
        <v>0</v>
      </c>
      <c r="V81" s="62" cm="1">
        <f t="array" ref="V81">INDEX(tblPrices[cv_2027], MATCH(tblBaiduUnits[[#This Row],[Products]],tblPrices[Products],0), 0)* tblBaiduUnits[[#This Row],[cv_2027]]/10^6</f>
        <v>0</v>
      </c>
      <c r="W81" s="62" cm="1">
        <f t="array" ref="W81">INDEX(tblPrices[cv_2028], MATCH(tblBaiduUnits[[#This Row],[Products]],tblPrices[Products],0), 0)* tblBaiduUnits[[#This Row],[cv_2028]]/10^6</f>
        <v>0</v>
      </c>
      <c r="X81" s="1">
        <f>VLOOKUP(A81,Products!$A$29:$F$110,6,FALSE)</f>
        <v>400</v>
      </c>
    </row>
    <row r="82" spans="1:24">
      <c r="A82" s="15" t="s">
        <v>32</v>
      </c>
      <c r="B82" s="8">
        <v>0</v>
      </c>
      <c r="C82" s="8">
        <v>0</v>
      </c>
      <c r="D82" s="8"/>
      <c r="E82" s="8"/>
      <c r="F82" s="8"/>
      <c r="G82" s="8"/>
      <c r="H82" s="8"/>
      <c r="I82" s="8"/>
      <c r="J82" s="8"/>
      <c r="K82" s="8"/>
      <c r="L82" s="8"/>
      <c r="M82" s="62" cm="1">
        <f t="array" ref="M82">INDEX(tblPrices[cv_2018], MATCH(tblBaiduUnits[[#This Row],[Products]],tblPrices[Products],0), 0)* tblBaiduUnits[[#This Row],[cv_2018]]/10^6</f>
        <v>0</v>
      </c>
      <c r="N82" s="62" cm="1">
        <f t="array" ref="N82">INDEX(tblPrices[cv_2019], MATCH(tblBaiduUnits[[#This Row],[Products]],tblPrices[Products],0), 0)* tblBaiduUnits[[#This Row],[cv_2019]]/10^6</f>
        <v>0</v>
      </c>
      <c r="O82" s="62" cm="1">
        <f t="array" ref="O82">INDEX(tblPrices[cv_2020], MATCH(tblBaiduUnits[[#This Row],[Products]],tblPrices[Products],0), 0)* tblBaiduUnits[[#This Row],[cv_2020]]/10^6</f>
        <v>0</v>
      </c>
      <c r="P82" s="62" cm="1">
        <f t="array" ref="P82">INDEX(tblPrices[cv_2021], MATCH(tblBaiduUnits[[#This Row],[Products]],tblPrices[Products],0), 0)* tblBaiduUnits[[#This Row],[cv_2021]]/10^6</f>
        <v>0</v>
      </c>
      <c r="Q82" s="62" cm="1">
        <f t="array" ref="Q82">INDEX(tblPrices[cv_2022], MATCH(tblBaiduUnits[[#This Row],[Products]],tblPrices[Products],0), 0)* tblBaiduUnits[[#This Row],[cv_2022]]/10^6</f>
        <v>0</v>
      </c>
      <c r="R82" s="62" cm="1">
        <f t="array" ref="R82">INDEX(tblPrices[cv_2023], MATCH(tblBaiduUnits[[#This Row],[Products]],tblPrices[Products],0), 0)* tblBaiduUnits[[#This Row],[cv_2023]]/10^6</f>
        <v>0</v>
      </c>
      <c r="S82" s="62" cm="1">
        <f t="array" ref="S82">INDEX(tblPrices[cv_2024], MATCH(tblBaiduUnits[[#This Row],[Products]],tblPrices[Products],0), 0)* tblBaiduUnits[[#This Row],[cv_2024]]/10^6</f>
        <v>0</v>
      </c>
      <c r="T82" s="62" cm="1">
        <f t="array" ref="T82">INDEX(tblPrices[cv_2025], MATCH(tblBaiduUnits[[#This Row],[Products]],tblPrices[Products],0), 0)* tblBaiduUnits[[#This Row],[cv_2025]]/10^6</f>
        <v>0</v>
      </c>
      <c r="U82" s="62" cm="1">
        <f t="array" ref="U82">INDEX(tblPrices[cv_2026], MATCH(tblBaiduUnits[[#This Row],[Products]],tblPrices[Products],0), 0)* tblBaiduUnits[[#This Row],[cv_2026]]/10^6</f>
        <v>0</v>
      </c>
      <c r="V82" s="62" cm="1">
        <f t="array" ref="V82">INDEX(tblPrices[cv_2027], MATCH(tblBaiduUnits[[#This Row],[Products]],tblPrices[Products],0), 0)* tblBaiduUnits[[#This Row],[cv_2027]]/10^6</f>
        <v>0</v>
      </c>
      <c r="W82" s="62" cm="1">
        <f t="array" ref="W82">INDEX(tblPrices[cv_2028], MATCH(tblBaiduUnits[[#This Row],[Products]],tblPrices[Products],0), 0)* tblBaiduUnits[[#This Row],[cv_2028]]/10^6</f>
        <v>0</v>
      </c>
      <c r="X82" s="1">
        <f>VLOOKUP(A82,Products!$A$29:$F$110,6,FALSE)</f>
        <v>400</v>
      </c>
    </row>
    <row r="83" spans="1:24">
      <c r="A83" s="15" t="s">
        <v>33</v>
      </c>
      <c r="B83" s="8">
        <v>0</v>
      </c>
      <c r="C83" s="8">
        <v>0</v>
      </c>
      <c r="D83" s="8"/>
      <c r="E83" s="8"/>
      <c r="F83" s="8"/>
      <c r="G83" s="8"/>
      <c r="H83" s="8"/>
      <c r="I83" s="8"/>
      <c r="J83" s="8"/>
      <c r="K83" s="8"/>
      <c r="L83" s="8"/>
      <c r="M83" s="62" cm="1">
        <f t="array" ref="M83">INDEX(tblPrices[cv_2018], MATCH(tblBaiduUnits[[#This Row],[Products]],tblPrices[Products],0), 0)* tblBaiduUnits[[#This Row],[cv_2018]]/10^6</f>
        <v>0</v>
      </c>
      <c r="N83" s="62" cm="1">
        <f t="array" ref="N83">INDEX(tblPrices[cv_2019], MATCH(tblBaiduUnits[[#This Row],[Products]],tblPrices[Products],0), 0)* tblBaiduUnits[[#This Row],[cv_2019]]/10^6</f>
        <v>0</v>
      </c>
      <c r="O83" s="62" cm="1">
        <f t="array" ref="O83">INDEX(tblPrices[cv_2020], MATCH(tblBaiduUnits[[#This Row],[Products]],tblPrices[Products],0), 0)* tblBaiduUnits[[#This Row],[cv_2020]]/10^6</f>
        <v>0</v>
      </c>
      <c r="P83" s="62" cm="1">
        <f t="array" ref="P83">INDEX(tblPrices[cv_2021], MATCH(tblBaiduUnits[[#This Row],[Products]],tblPrices[Products],0), 0)* tblBaiduUnits[[#This Row],[cv_2021]]/10^6</f>
        <v>0</v>
      </c>
      <c r="Q83" s="62" cm="1">
        <f t="array" ref="Q83">INDEX(tblPrices[cv_2022], MATCH(tblBaiduUnits[[#This Row],[Products]],tblPrices[Products],0), 0)* tblBaiduUnits[[#This Row],[cv_2022]]/10^6</f>
        <v>0</v>
      </c>
      <c r="R83" s="62" cm="1">
        <f t="array" ref="R83">INDEX(tblPrices[cv_2023], MATCH(tblBaiduUnits[[#This Row],[Products]],tblPrices[Products],0), 0)* tblBaiduUnits[[#This Row],[cv_2023]]/10^6</f>
        <v>0</v>
      </c>
      <c r="S83" s="62" cm="1">
        <f t="array" ref="S83">INDEX(tblPrices[cv_2024], MATCH(tblBaiduUnits[[#This Row],[Products]],tblPrices[Products],0), 0)* tblBaiduUnits[[#This Row],[cv_2024]]/10^6</f>
        <v>0</v>
      </c>
      <c r="T83" s="62" cm="1">
        <f t="array" ref="T83">INDEX(tblPrices[cv_2025], MATCH(tblBaiduUnits[[#This Row],[Products]],tblPrices[Products],0), 0)* tblBaiduUnits[[#This Row],[cv_2025]]/10^6</f>
        <v>0</v>
      </c>
      <c r="U83" s="62" cm="1">
        <f t="array" ref="U83">INDEX(tblPrices[cv_2026], MATCH(tblBaiduUnits[[#This Row],[Products]],tblPrices[Products],0), 0)* tblBaiduUnits[[#This Row],[cv_2026]]/10^6</f>
        <v>0</v>
      </c>
      <c r="V83" s="62" cm="1">
        <f t="array" ref="V83">INDEX(tblPrices[cv_2027], MATCH(tblBaiduUnits[[#This Row],[Products]],tblPrices[Products],0), 0)* tblBaiduUnits[[#This Row],[cv_2027]]/10^6</f>
        <v>0</v>
      </c>
      <c r="W83" s="62" cm="1">
        <f t="array" ref="W83">INDEX(tblPrices[cv_2028], MATCH(tblBaiduUnits[[#This Row],[Products]],tblPrices[Products],0), 0)* tblBaiduUnits[[#This Row],[cv_2028]]/10^6</f>
        <v>0</v>
      </c>
      <c r="X83" s="1">
        <f>VLOOKUP(A83,Products!$A$29:$F$110,6,FALSE)</f>
        <v>400</v>
      </c>
    </row>
    <row r="84" spans="1:24">
      <c r="A84" s="15" t="s">
        <v>34</v>
      </c>
      <c r="B84" s="8">
        <v>0</v>
      </c>
      <c r="C84" s="8">
        <v>0</v>
      </c>
      <c r="D84" s="8"/>
      <c r="E84" s="8"/>
      <c r="F84" s="8"/>
      <c r="G84" s="8"/>
      <c r="H84" s="8"/>
      <c r="I84" s="8"/>
      <c r="J84" s="8"/>
      <c r="K84" s="8"/>
      <c r="L84" s="8"/>
      <c r="M84" s="62" cm="1">
        <f t="array" ref="M84">INDEX(tblPrices[cv_2018], MATCH(tblBaiduUnits[[#This Row],[Products]],tblPrices[Products],0), 0)* tblBaiduUnits[[#This Row],[cv_2018]]/10^6</f>
        <v>0</v>
      </c>
      <c r="N84" s="62" cm="1">
        <f t="array" ref="N84">INDEX(tblPrices[cv_2019], MATCH(tblBaiduUnits[[#This Row],[Products]],tblPrices[Products],0), 0)* tblBaiduUnits[[#This Row],[cv_2019]]/10^6</f>
        <v>0</v>
      </c>
      <c r="O84" s="62" cm="1">
        <f t="array" ref="O84">INDEX(tblPrices[cv_2020], MATCH(tblBaiduUnits[[#This Row],[Products]],tblPrices[Products],0), 0)* tblBaiduUnits[[#This Row],[cv_2020]]/10^6</f>
        <v>0</v>
      </c>
      <c r="P84" s="62" cm="1">
        <f t="array" ref="P84">INDEX(tblPrices[cv_2021], MATCH(tblBaiduUnits[[#This Row],[Products]],tblPrices[Products],0), 0)* tblBaiduUnits[[#This Row],[cv_2021]]/10^6</f>
        <v>0</v>
      </c>
      <c r="Q84" s="62" cm="1">
        <f t="array" ref="Q84">INDEX(tblPrices[cv_2022], MATCH(tblBaiduUnits[[#This Row],[Products]],tblPrices[Products],0), 0)* tblBaiduUnits[[#This Row],[cv_2022]]/10^6</f>
        <v>0</v>
      </c>
      <c r="R84" s="62" cm="1">
        <f t="array" ref="R84">INDEX(tblPrices[cv_2023], MATCH(tblBaiduUnits[[#This Row],[Products]],tblPrices[Products],0), 0)* tblBaiduUnits[[#This Row],[cv_2023]]/10^6</f>
        <v>0</v>
      </c>
      <c r="S84" s="62" cm="1">
        <f t="array" ref="S84">INDEX(tblPrices[cv_2024], MATCH(tblBaiduUnits[[#This Row],[Products]],tblPrices[Products],0), 0)* tblBaiduUnits[[#This Row],[cv_2024]]/10^6</f>
        <v>0</v>
      </c>
      <c r="T84" s="62" cm="1">
        <f t="array" ref="T84">INDEX(tblPrices[cv_2025], MATCH(tblBaiduUnits[[#This Row],[Products]],tblPrices[Products],0), 0)* tblBaiduUnits[[#This Row],[cv_2025]]/10^6</f>
        <v>0</v>
      </c>
      <c r="U84" s="62" cm="1">
        <f t="array" ref="U84">INDEX(tblPrices[cv_2026], MATCH(tblBaiduUnits[[#This Row],[Products]],tblPrices[Products],0), 0)* tblBaiduUnits[[#This Row],[cv_2026]]/10^6</f>
        <v>0</v>
      </c>
      <c r="V84" s="62" cm="1">
        <f t="array" ref="V84">INDEX(tblPrices[cv_2027], MATCH(tblBaiduUnits[[#This Row],[Products]],tblPrices[Products],0), 0)* tblBaiduUnits[[#This Row],[cv_2027]]/10^6</f>
        <v>0</v>
      </c>
      <c r="W84" s="62" cm="1">
        <f t="array" ref="W84">INDEX(tblPrices[cv_2028], MATCH(tblBaiduUnits[[#This Row],[Products]],tblPrices[Products],0), 0)* tblBaiduUnits[[#This Row],[cv_2028]]/10^6</f>
        <v>0</v>
      </c>
      <c r="X84" s="1">
        <f>VLOOKUP(A84,Products!$A$29:$F$110,6,FALSE)</f>
        <v>400</v>
      </c>
    </row>
    <row r="85" spans="1:24">
      <c r="A85" s="15" t="s">
        <v>35</v>
      </c>
      <c r="B85" s="8">
        <v>0</v>
      </c>
      <c r="C85" s="8">
        <v>0</v>
      </c>
      <c r="D85" s="8"/>
      <c r="E85" s="8"/>
      <c r="F85" s="8"/>
      <c r="G85" s="8"/>
      <c r="H85" s="8"/>
      <c r="I85" s="8"/>
      <c r="J85" s="8"/>
      <c r="K85" s="8"/>
      <c r="L85" s="8"/>
      <c r="M85" s="62" cm="1">
        <f t="array" ref="M85">INDEX(tblPrices[cv_2018], MATCH(tblBaiduUnits[[#This Row],[Products]],tblPrices[Products],0), 0)* tblBaiduUnits[[#This Row],[cv_2018]]/10^6</f>
        <v>0</v>
      </c>
      <c r="N85" s="62" cm="1">
        <f t="array" ref="N85">INDEX(tblPrices[cv_2019], MATCH(tblBaiduUnits[[#This Row],[Products]],tblPrices[Products],0), 0)* tblBaiduUnits[[#This Row],[cv_2019]]/10^6</f>
        <v>0</v>
      </c>
      <c r="O85" s="62" cm="1">
        <f t="array" ref="O85">INDEX(tblPrices[cv_2020], MATCH(tblBaiduUnits[[#This Row],[Products]],tblPrices[Products],0), 0)* tblBaiduUnits[[#This Row],[cv_2020]]/10^6</f>
        <v>0</v>
      </c>
      <c r="P85" s="62" cm="1">
        <f t="array" ref="P85">INDEX(tblPrices[cv_2021], MATCH(tblBaiduUnits[[#This Row],[Products]],tblPrices[Products],0), 0)* tblBaiduUnits[[#This Row],[cv_2021]]/10^6</f>
        <v>0</v>
      </c>
      <c r="Q85" s="62" cm="1">
        <f t="array" ref="Q85">INDEX(tblPrices[cv_2022], MATCH(tblBaiduUnits[[#This Row],[Products]],tblPrices[Products],0), 0)* tblBaiduUnits[[#This Row],[cv_2022]]/10^6</f>
        <v>0</v>
      </c>
      <c r="R85" s="62" cm="1">
        <f t="array" ref="R85">INDEX(tblPrices[cv_2023], MATCH(tblBaiduUnits[[#This Row],[Products]],tblPrices[Products],0), 0)* tblBaiduUnits[[#This Row],[cv_2023]]/10^6</f>
        <v>0</v>
      </c>
      <c r="S85" s="62" cm="1">
        <f t="array" ref="S85">INDEX(tblPrices[cv_2024], MATCH(tblBaiduUnits[[#This Row],[Products]],tblPrices[Products],0), 0)* tblBaiduUnits[[#This Row],[cv_2024]]/10^6</f>
        <v>0</v>
      </c>
      <c r="T85" s="62" cm="1">
        <f t="array" ref="T85">INDEX(tblPrices[cv_2025], MATCH(tblBaiduUnits[[#This Row],[Products]],tblPrices[Products],0), 0)* tblBaiduUnits[[#This Row],[cv_2025]]/10^6</f>
        <v>0</v>
      </c>
      <c r="U85" s="62" cm="1">
        <f t="array" ref="U85">INDEX(tblPrices[cv_2026], MATCH(tblBaiduUnits[[#This Row],[Products]],tblPrices[Products],0), 0)* tblBaiduUnits[[#This Row],[cv_2026]]/10^6</f>
        <v>0</v>
      </c>
      <c r="V85" s="62" cm="1">
        <f t="array" ref="V85">INDEX(tblPrices[cv_2027], MATCH(tblBaiduUnits[[#This Row],[Products]],tblPrices[Products],0), 0)* tblBaiduUnits[[#This Row],[cv_2027]]/10^6</f>
        <v>0</v>
      </c>
      <c r="W85" s="62" cm="1">
        <f t="array" ref="W85">INDEX(tblPrices[cv_2028], MATCH(tblBaiduUnits[[#This Row],[Products]],tblPrices[Products],0), 0)* tblBaiduUnits[[#This Row],[cv_2028]]/10^6</f>
        <v>0</v>
      </c>
      <c r="X85" s="1">
        <f>VLOOKUP(A85,Products!$A$29:$F$110,6,FALSE)</f>
        <v>600</v>
      </c>
    </row>
    <row r="86" spans="1:24">
      <c r="A86" s="15" t="s">
        <v>36</v>
      </c>
      <c r="B86" s="8">
        <v>0</v>
      </c>
      <c r="C86" s="8">
        <v>0</v>
      </c>
      <c r="D86" s="8"/>
      <c r="E86" s="8"/>
      <c r="F86" s="8"/>
      <c r="G86" s="8"/>
      <c r="H86" s="8"/>
      <c r="I86" s="8"/>
      <c r="J86" s="8"/>
      <c r="K86" s="8"/>
      <c r="L86" s="8"/>
      <c r="M86" s="62" cm="1">
        <f t="array" ref="M86">INDEX(tblPrices[cv_2018], MATCH(tblBaiduUnits[[#This Row],[Products]],tblPrices[Products],0), 0)* tblBaiduUnits[[#This Row],[cv_2018]]/10^6</f>
        <v>0</v>
      </c>
      <c r="N86" s="62" cm="1">
        <f t="array" ref="N86">INDEX(tblPrices[cv_2019], MATCH(tblBaiduUnits[[#This Row],[Products]],tblPrices[Products],0), 0)* tblBaiduUnits[[#This Row],[cv_2019]]/10^6</f>
        <v>0</v>
      </c>
      <c r="O86" s="62" cm="1">
        <f t="array" ref="O86">INDEX(tblPrices[cv_2020], MATCH(tblBaiduUnits[[#This Row],[Products]],tblPrices[Products],0), 0)* tblBaiduUnits[[#This Row],[cv_2020]]/10^6</f>
        <v>0</v>
      </c>
      <c r="P86" s="62" cm="1">
        <f t="array" ref="P86">INDEX(tblPrices[cv_2021], MATCH(tblBaiduUnits[[#This Row],[Products]],tblPrices[Products],0), 0)* tblBaiduUnits[[#This Row],[cv_2021]]/10^6</f>
        <v>0</v>
      </c>
      <c r="Q86" s="62" cm="1">
        <f t="array" ref="Q86">INDEX(tblPrices[cv_2022], MATCH(tblBaiduUnits[[#This Row],[Products]],tblPrices[Products],0), 0)* tblBaiduUnits[[#This Row],[cv_2022]]/10^6</f>
        <v>0</v>
      </c>
      <c r="R86" s="62" cm="1">
        <f t="array" ref="R86">INDEX(tblPrices[cv_2023], MATCH(tblBaiduUnits[[#This Row],[Products]],tblPrices[Products],0), 0)* tblBaiduUnits[[#This Row],[cv_2023]]/10^6</f>
        <v>0</v>
      </c>
      <c r="S86" s="62" cm="1">
        <f t="array" ref="S86">INDEX(tblPrices[cv_2024], MATCH(tblBaiduUnits[[#This Row],[Products]],tblPrices[Products],0), 0)* tblBaiduUnits[[#This Row],[cv_2024]]/10^6</f>
        <v>0</v>
      </c>
      <c r="T86" s="62" cm="1">
        <f t="array" ref="T86">INDEX(tblPrices[cv_2025], MATCH(tblBaiduUnits[[#This Row],[Products]],tblPrices[Products],0), 0)* tblBaiduUnits[[#This Row],[cv_2025]]/10^6</f>
        <v>0</v>
      </c>
      <c r="U86" s="62" cm="1">
        <f t="array" ref="U86">INDEX(tblPrices[cv_2026], MATCH(tblBaiduUnits[[#This Row],[Products]],tblPrices[Products],0), 0)* tblBaiduUnits[[#This Row],[cv_2026]]/10^6</f>
        <v>0</v>
      </c>
      <c r="V86" s="62" cm="1">
        <f t="array" ref="V86">INDEX(tblPrices[cv_2027], MATCH(tblBaiduUnits[[#This Row],[Products]],tblPrices[Products],0), 0)* tblBaiduUnits[[#This Row],[cv_2027]]/10^6</f>
        <v>0</v>
      </c>
      <c r="W86" s="62" cm="1">
        <f t="array" ref="W86">INDEX(tblPrices[cv_2028], MATCH(tblBaiduUnits[[#This Row],[Products]],tblPrices[Products],0), 0)* tblBaiduUnits[[#This Row],[cv_2028]]/10^6</f>
        <v>0</v>
      </c>
      <c r="X86" s="1">
        <f>VLOOKUP(A86,Products!$A$29:$F$110,6,FALSE)</f>
        <v>800</v>
      </c>
    </row>
    <row r="87" spans="1:24">
      <c r="A87" s="15" t="s">
        <v>37</v>
      </c>
      <c r="B87" s="8">
        <v>0</v>
      </c>
      <c r="C87" s="8">
        <v>0</v>
      </c>
      <c r="D87" s="8"/>
      <c r="E87" s="8"/>
      <c r="F87" s="8"/>
      <c r="G87" s="8"/>
      <c r="H87" s="8"/>
      <c r="I87" s="8"/>
      <c r="J87" s="8"/>
      <c r="K87" s="8"/>
      <c r="L87" s="8"/>
      <c r="M87" s="62" cm="1">
        <f t="array" ref="M87">INDEX(tblPrices[cv_2018], MATCH(tblBaiduUnits[[#This Row],[Products]],tblPrices[Products],0), 0)* tblBaiduUnits[[#This Row],[cv_2018]]/10^6</f>
        <v>0</v>
      </c>
      <c r="N87" s="62" cm="1">
        <f t="array" ref="N87">INDEX(tblPrices[cv_2019], MATCH(tblBaiduUnits[[#This Row],[Products]],tblPrices[Products],0), 0)* tblBaiduUnits[[#This Row],[cv_2019]]/10^6</f>
        <v>0</v>
      </c>
      <c r="O87" s="62" cm="1">
        <f t="array" ref="O87">INDEX(tblPrices[cv_2020], MATCH(tblBaiduUnits[[#This Row],[Products]],tblPrices[Products],0), 0)* tblBaiduUnits[[#This Row],[cv_2020]]/10^6</f>
        <v>0</v>
      </c>
      <c r="P87" s="62" cm="1">
        <f t="array" ref="P87">INDEX(tblPrices[cv_2021], MATCH(tblBaiduUnits[[#This Row],[Products]],tblPrices[Products],0), 0)* tblBaiduUnits[[#This Row],[cv_2021]]/10^6</f>
        <v>0</v>
      </c>
      <c r="Q87" s="62" cm="1">
        <f t="array" ref="Q87">INDEX(tblPrices[cv_2022], MATCH(tblBaiduUnits[[#This Row],[Products]],tblPrices[Products],0), 0)* tblBaiduUnits[[#This Row],[cv_2022]]/10^6</f>
        <v>0</v>
      </c>
      <c r="R87" s="62" cm="1">
        <f t="array" ref="R87">INDEX(tblPrices[cv_2023], MATCH(tblBaiduUnits[[#This Row],[Products]],tblPrices[Products],0), 0)* tblBaiduUnits[[#This Row],[cv_2023]]/10^6</f>
        <v>0</v>
      </c>
      <c r="S87" s="62" cm="1">
        <f t="array" ref="S87">INDEX(tblPrices[cv_2024], MATCH(tblBaiduUnits[[#This Row],[Products]],tblPrices[Products],0), 0)* tblBaiduUnits[[#This Row],[cv_2024]]/10^6</f>
        <v>0</v>
      </c>
      <c r="T87" s="62" cm="1">
        <f t="array" ref="T87">INDEX(tblPrices[cv_2025], MATCH(tblBaiduUnits[[#This Row],[Products]],tblPrices[Products],0), 0)* tblBaiduUnits[[#This Row],[cv_2025]]/10^6</f>
        <v>0</v>
      </c>
      <c r="U87" s="62" cm="1">
        <f t="array" ref="U87">INDEX(tblPrices[cv_2026], MATCH(tblBaiduUnits[[#This Row],[Products]],tblPrices[Products],0), 0)* tblBaiduUnits[[#This Row],[cv_2026]]/10^6</f>
        <v>0</v>
      </c>
      <c r="V87" s="62" cm="1">
        <f t="array" ref="V87">INDEX(tblPrices[cv_2027], MATCH(tblBaiduUnits[[#This Row],[Products]],tblPrices[Products],0), 0)* tblBaiduUnits[[#This Row],[cv_2027]]/10^6</f>
        <v>0</v>
      </c>
      <c r="W87" s="62" cm="1">
        <f t="array" ref="W87">INDEX(tblPrices[cv_2028], MATCH(tblBaiduUnits[[#This Row],[Products]],tblPrices[Products],0), 0)* tblBaiduUnits[[#This Row],[cv_2028]]/10^6</f>
        <v>0</v>
      </c>
      <c r="X87" s="1">
        <f>VLOOKUP(A87,Products!$A$29:$F$110,6,FALSE)</f>
        <v>800</v>
      </c>
    </row>
    <row r="88" spans="1:24">
      <c r="A88" s="15" t="s">
        <v>38</v>
      </c>
      <c r="B88" s="8">
        <v>0</v>
      </c>
      <c r="C88" s="8">
        <v>0</v>
      </c>
      <c r="D88" s="8"/>
      <c r="E88" s="8"/>
      <c r="F88" s="8"/>
      <c r="G88" s="8"/>
      <c r="H88" s="8"/>
      <c r="I88" s="8"/>
      <c r="J88" s="8"/>
      <c r="K88" s="8"/>
      <c r="L88" s="8"/>
      <c r="M88" s="62" cm="1">
        <f t="array" ref="M88">INDEX(tblPrices[cv_2018], MATCH(tblBaiduUnits[[#This Row],[Products]],tblPrices[Products],0), 0)* tblBaiduUnits[[#This Row],[cv_2018]]/10^6</f>
        <v>0</v>
      </c>
      <c r="N88" s="62" cm="1">
        <f t="array" ref="N88">INDEX(tblPrices[cv_2019], MATCH(tblBaiduUnits[[#This Row],[Products]],tblPrices[Products],0), 0)* tblBaiduUnits[[#This Row],[cv_2019]]/10^6</f>
        <v>0</v>
      </c>
      <c r="O88" s="62" cm="1">
        <f t="array" ref="O88">INDEX(tblPrices[cv_2020], MATCH(tblBaiduUnits[[#This Row],[Products]],tblPrices[Products],0), 0)* tblBaiduUnits[[#This Row],[cv_2020]]/10^6</f>
        <v>0</v>
      </c>
      <c r="P88" s="62" cm="1">
        <f t="array" ref="P88">INDEX(tblPrices[cv_2021], MATCH(tblBaiduUnits[[#This Row],[Products]],tblPrices[Products],0), 0)* tblBaiduUnits[[#This Row],[cv_2021]]/10^6</f>
        <v>0</v>
      </c>
      <c r="Q88" s="62" cm="1">
        <f t="array" ref="Q88">INDEX(tblPrices[cv_2022], MATCH(tblBaiduUnits[[#This Row],[Products]],tblPrices[Products],0), 0)* tblBaiduUnits[[#This Row],[cv_2022]]/10^6</f>
        <v>0</v>
      </c>
      <c r="R88" s="62" cm="1">
        <f t="array" ref="R88">INDEX(tblPrices[cv_2023], MATCH(tblBaiduUnits[[#This Row],[Products]],tblPrices[Products],0), 0)* tblBaiduUnits[[#This Row],[cv_2023]]/10^6</f>
        <v>0</v>
      </c>
      <c r="S88" s="62" cm="1">
        <f t="array" ref="S88">INDEX(tblPrices[cv_2024], MATCH(tblBaiduUnits[[#This Row],[Products]],tblPrices[Products],0), 0)* tblBaiduUnits[[#This Row],[cv_2024]]/10^6</f>
        <v>0</v>
      </c>
      <c r="T88" s="62" cm="1">
        <f t="array" ref="T88">INDEX(tblPrices[cv_2025], MATCH(tblBaiduUnits[[#This Row],[Products]],tblPrices[Products],0), 0)* tblBaiduUnits[[#This Row],[cv_2025]]/10^6</f>
        <v>0</v>
      </c>
      <c r="U88" s="62" cm="1">
        <f t="array" ref="U88">INDEX(tblPrices[cv_2026], MATCH(tblBaiduUnits[[#This Row],[Products]],tblPrices[Products],0), 0)* tblBaiduUnits[[#This Row],[cv_2026]]/10^6</f>
        <v>0</v>
      </c>
      <c r="V88" s="62" cm="1">
        <f t="array" ref="V88">INDEX(tblPrices[cv_2027], MATCH(tblBaiduUnits[[#This Row],[Products]],tblPrices[Products],0), 0)* tblBaiduUnits[[#This Row],[cv_2027]]/10^6</f>
        <v>0</v>
      </c>
      <c r="W88" s="62" cm="1">
        <f t="array" ref="W88">INDEX(tblPrices[cv_2028], MATCH(tblBaiduUnits[[#This Row],[Products]],tblPrices[Products],0), 0)* tblBaiduUnits[[#This Row],[cv_2028]]/10^6</f>
        <v>0</v>
      </c>
      <c r="X88" s="1">
        <f>VLOOKUP(A88,Products!$A$29:$F$110,6,FALSE)</f>
        <v>1200</v>
      </c>
    </row>
    <row r="89" spans="1:24">
      <c r="A89" s="15" t="s">
        <v>39</v>
      </c>
      <c r="B89" s="8">
        <v>0</v>
      </c>
      <c r="C89" s="8">
        <v>0</v>
      </c>
      <c r="D89" s="8">
        <v>0</v>
      </c>
      <c r="E89" s="8">
        <v>0</v>
      </c>
      <c r="F89" s="8">
        <v>0</v>
      </c>
      <c r="G89" s="8">
        <v>0</v>
      </c>
      <c r="H89" s="8">
        <v>0</v>
      </c>
      <c r="I89" s="8">
        <v>0</v>
      </c>
      <c r="J89" s="8">
        <v>0</v>
      </c>
      <c r="K89" s="8">
        <v>0</v>
      </c>
      <c r="L89" s="8">
        <v>0</v>
      </c>
      <c r="M89" s="62" cm="1">
        <f t="array" ref="M89">INDEX(tblPrices[cv_2018], MATCH(tblBaiduUnits[[#This Row],[Products]],tblPrices[Products],0), 0)* tblBaiduUnits[[#This Row],[cv_2018]]/10^6</f>
        <v>0</v>
      </c>
      <c r="N89" s="62" cm="1">
        <f t="array" ref="N89">INDEX(tblPrices[cv_2019], MATCH(tblBaiduUnits[[#This Row],[Products]],tblPrices[Products],0), 0)* tblBaiduUnits[[#This Row],[cv_2019]]/10^6</f>
        <v>0</v>
      </c>
      <c r="O89" s="62" cm="1">
        <f t="array" ref="O89">INDEX(tblPrices[cv_2020], MATCH(tblBaiduUnits[[#This Row],[Products]],tblPrices[Products],0), 0)* tblBaiduUnits[[#This Row],[cv_2020]]/10^6</f>
        <v>0</v>
      </c>
      <c r="P89" s="62" cm="1">
        <f t="array" ref="P89">INDEX(tblPrices[cv_2021], MATCH(tblBaiduUnits[[#This Row],[Products]],tblPrices[Products],0), 0)* tblBaiduUnits[[#This Row],[cv_2021]]/10^6</f>
        <v>0</v>
      </c>
      <c r="Q89" s="62" cm="1">
        <f t="array" ref="Q89">INDEX(tblPrices[cv_2022], MATCH(tblBaiduUnits[[#This Row],[Products]],tblPrices[Products],0), 0)* tblBaiduUnits[[#This Row],[cv_2022]]/10^6</f>
        <v>0</v>
      </c>
      <c r="R89" s="62" cm="1">
        <f t="array" ref="R89">INDEX(tblPrices[cv_2023], MATCH(tblBaiduUnits[[#This Row],[Products]],tblPrices[Products],0), 0)* tblBaiduUnits[[#This Row],[cv_2023]]/10^6</f>
        <v>0</v>
      </c>
      <c r="S89" s="62" cm="1">
        <f t="array" ref="S89">INDEX(tblPrices[cv_2024], MATCH(tblBaiduUnits[[#This Row],[Products]],tblPrices[Products],0), 0)* tblBaiduUnits[[#This Row],[cv_2024]]/10^6</f>
        <v>0</v>
      </c>
      <c r="T89" s="62" cm="1">
        <f t="array" ref="T89">INDEX(tblPrices[cv_2025], MATCH(tblBaiduUnits[[#This Row],[Products]],tblPrices[Products],0), 0)* tblBaiduUnits[[#This Row],[cv_2025]]/10^6</f>
        <v>0</v>
      </c>
      <c r="U89" s="62" cm="1">
        <f t="array" ref="U89">INDEX(tblPrices[cv_2026], MATCH(tblBaiduUnits[[#This Row],[Products]],tblPrices[Products],0), 0)* tblBaiduUnits[[#This Row],[cv_2026]]/10^6</f>
        <v>0</v>
      </c>
      <c r="V89" s="62" cm="1">
        <f t="array" ref="V89">INDEX(tblPrices[cv_2027], MATCH(tblBaiduUnits[[#This Row],[Products]],tblPrices[Products],0), 0)* tblBaiduUnits[[#This Row],[cv_2027]]/10^6</f>
        <v>0</v>
      </c>
      <c r="W89" s="62" cm="1">
        <f t="array" ref="W89">INDEX(tblPrices[cv_2028], MATCH(tblBaiduUnits[[#This Row],[Products]],tblPrices[Products],0), 0)* tblBaiduUnits[[#This Row],[cv_2028]]/10^6</f>
        <v>0</v>
      </c>
      <c r="X89" s="1">
        <f>VLOOKUP(A89,Products!$A$29:$F$110,6,FALSE)</f>
        <v>1600</v>
      </c>
    </row>
    <row r="90" spans="1:24">
      <c r="A90" s="1"/>
      <c r="B90" s="2">
        <f t="shared" ref="B90:W90" si="0">SUM(B41:B89)</f>
        <v>79530.201930591531</v>
      </c>
      <c r="C90" s="2">
        <f t="shared" si="0"/>
        <v>194140.57788186296</v>
      </c>
      <c r="D90" s="2">
        <f t="shared" si="0"/>
        <v>0</v>
      </c>
      <c r="E90" s="2">
        <f t="shared" si="0"/>
        <v>0</v>
      </c>
      <c r="F90" s="2">
        <f t="shared" si="0"/>
        <v>0</v>
      </c>
      <c r="G90" s="2">
        <f t="shared" si="0"/>
        <v>0</v>
      </c>
      <c r="H90" s="2">
        <f t="shared" si="0"/>
        <v>0</v>
      </c>
      <c r="I90" s="2">
        <f t="shared" si="0"/>
        <v>0</v>
      </c>
      <c r="J90" s="2">
        <f t="shared" si="0"/>
        <v>0</v>
      </c>
      <c r="K90" s="2">
        <f t="shared" si="0"/>
        <v>0</v>
      </c>
      <c r="L90" s="2">
        <f t="shared" si="0"/>
        <v>0</v>
      </c>
      <c r="M90" s="63">
        <f t="shared" si="0"/>
        <v>28.681764499762711</v>
      </c>
      <c r="N90" s="63">
        <f t="shared" si="0"/>
        <v>32.838722405863763</v>
      </c>
      <c r="O90" s="63">
        <f t="shared" si="0"/>
        <v>0</v>
      </c>
      <c r="P90" s="63">
        <f t="shared" si="0"/>
        <v>0</v>
      </c>
      <c r="Q90" s="63">
        <f t="shared" si="0"/>
        <v>0</v>
      </c>
      <c r="R90" s="63">
        <f t="shared" si="0"/>
        <v>0</v>
      </c>
      <c r="S90" s="63">
        <f t="shared" si="0"/>
        <v>0</v>
      </c>
      <c r="T90" s="63">
        <f t="shared" si="0"/>
        <v>0</v>
      </c>
      <c r="U90" s="63">
        <f t="shared" si="0"/>
        <v>0</v>
      </c>
      <c r="V90" s="63">
        <f t="shared" si="0"/>
        <v>0</v>
      </c>
      <c r="W90" s="63">
        <f t="shared" si="0"/>
        <v>0</v>
      </c>
    </row>
    <row r="93" spans="1:24">
      <c r="A93" s="175" t="s">
        <v>431</v>
      </c>
      <c r="B93" s="68">
        <v>2018</v>
      </c>
      <c r="C93" s="50">
        <v>2019</v>
      </c>
      <c r="D93" s="50">
        <v>2020</v>
      </c>
      <c r="E93" s="50">
        <v>2021</v>
      </c>
      <c r="F93" s="50">
        <v>2022</v>
      </c>
      <c r="G93" s="50">
        <v>2023</v>
      </c>
      <c r="H93" s="50">
        <v>2024</v>
      </c>
      <c r="I93" s="50">
        <v>2025</v>
      </c>
      <c r="J93" s="50">
        <v>2026</v>
      </c>
      <c r="K93" s="50">
        <v>2027</v>
      </c>
      <c r="L93" s="50">
        <v>2028</v>
      </c>
      <c r="M93" s="68">
        <v>2018</v>
      </c>
      <c r="N93" s="50">
        <v>2019</v>
      </c>
      <c r="O93" s="50">
        <v>2020</v>
      </c>
      <c r="P93" s="50">
        <v>2021</v>
      </c>
      <c r="Q93" s="50">
        <v>2022</v>
      </c>
      <c r="R93" s="50">
        <v>2023</v>
      </c>
      <c r="S93" s="50">
        <v>2024</v>
      </c>
      <c r="T93" s="50">
        <v>2025</v>
      </c>
      <c r="U93" s="50">
        <v>2026</v>
      </c>
      <c r="V93" s="50">
        <v>2027</v>
      </c>
      <c r="W93" s="50">
        <v>2028</v>
      </c>
      <c r="X93" s="1"/>
    </row>
    <row r="94" spans="1:24">
      <c r="A94" s="65" t="s">
        <v>80</v>
      </c>
      <c r="B94" s="2">
        <f t="shared" ref="B94:W94" si="1">SUMIF($X$41:$X$70,40,B$41:B$70)</f>
        <v>39892.7664</v>
      </c>
      <c r="C94" s="2">
        <f t="shared" si="1"/>
        <v>85720.681799999991</v>
      </c>
      <c r="D94" s="2">
        <f t="shared" si="1"/>
        <v>0</v>
      </c>
      <c r="E94" s="2">
        <f t="shared" si="1"/>
        <v>0</v>
      </c>
      <c r="F94" s="2">
        <f t="shared" si="1"/>
        <v>0</v>
      </c>
      <c r="G94" s="2">
        <f t="shared" si="1"/>
        <v>0</v>
      </c>
      <c r="H94" s="2">
        <f t="shared" si="1"/>
        <v>0</v>
      </c>
      <c r="I94" s="2">
        <f t="shared" si="1"/>
        <v>0</v>
      </c>
      <c r="J94" s="2">
        <f t="shared" si="1"/>
        <v>0</v>
      </c>
      <c r="K94" s="2">
        <f t="shared" si="1"/>
        <v>0</v>
      </c>
      <c r="L94" s="2">
        <f t="shared" si="1"/>
        <v>0</v>
      </c>
      <c r="M94" s="79">
        <f t="shared" si="1"/>
        <v>3.5055160672030512</v>
      </c>
      <c r="N94" s="76">
        <f t="shared" si="1"/>
        <v>6.3232097079709195</v>
      </c>
      <c r="O94" s="76">
        <f t="shared" si="1"/>
        <v>0</v>
      </c>
      <c r="P94" s="76">
        <f t="shared" si="1"/>
        <v>0</v>
      </c>
      <c r="Q94" s="76">
        <f t="shared" si="1"/>
        <v>0</v>
      </c>
      <c r="R94" s="76">
        <f t="shared" si="1"/>
        <v>0</v>
      </c>
      <c r="S94" s="76">
        <f t="shared" si="1"/>
        <v>0</v>
      </c>
      <c r="T94" s="76">
        <f t="shared" si="1"/>
        <v>0</v>
      </c>
      <c r="U94" s="76">
        <f t="shared" si="1"/>
        <v>0</v>
      </c>
      <c r="V94" s="76">
        <f t="shared" si="1"/>
        <v>0</v>
      </c>
      <c r="W94" s="76">
        <f t="shared" si="1"/>
        <v>0</v>
      </c>
      <c r="X94" s="1"/>
    </row>
    <row r="95" spans="1:24">
      <c r="A95" s="65" t="s">
        <v>205</v>
      </c>
      <c r="B95" s="2">
        <f t="shared" ref="B95:W95" si="2">SUMIF($X$41:$X$70,100,B$41:B$70)</f>
        <v>36229.784933436276</v>
      </c>
      <c r="C95" s="2">
        <f t="shared" si="2"/>
        <v>104452.61942450001</v>
      </c>
      <c r="D95" s="2">
        <f t="shared" si="2"/>
        <v>0</v>
      </c>
      <c r="E95" s="2">
        <f t="shared" si="2"/>
        <v>0</v>
      </c>
      <c r="F95" s="2">
        <f t="shared" si="2"/>
        <v>0</v>
      </c>
      <c r="G95" s="2">
        <f t="shared" si="2"/>
        <v>0</v>
      </c>
      <c r="H95" s="2">
        <f t="shared" si="2"/>
        <v>0</v>
      </c>
      <c r="I95" s="2">
        <f t="shared" si="2"/>
        <v>0</v>
      </c>
      <c r="J95" s="2">
        <f t="shared" si="2"/>
        <v>0</v>
      </c>
      <c r="K95" s="2">
        <f t="shared" si="2"/>
        <v>0</v>
      </c>
      <c r="L95" s="2">
        <f t="shared" si="2"/>
        <v>0</v>
      </c>
      <c r="M95" s="79">
        <f t="shared" si="2"/>
        <v>7.6562987209463902</v>
      </c>
      <c r="N95" s="76">
        <f t="shared" si="2"/>
        <v>11.976749904339364</v>
      </c>
      <c r="O95" s="76">
        <f t="shared" si="2"/>
        <v>0</v>
      </c>
      <c r="P95" s="76">
        <f t="shared" si="2"/>
        <v>0</v>
      </c>
      <c r="Q95" s="76">
        <f t="shared" si="2"/>
        <v>0</v>
      </c>
      <c r="R95" s="76">
        <f t="shared" si="2"/>
        <v>0</v>
      </c>
      <c r="S95" s="76">
        <f t="shared" si="2"/>
        <v>0</v>
      </c>
      <c r="T95" s="76">
        <f t="shared" si="2"/>
        <v>0</v>
      </c>
      <c r="U95" s="76">
        <f t="shared" si="2"/>
        <v>0</v>
      </c>
      <c r="V95" s="76">
        <f t="shared" si="2"/>
        <v>0</v>
      </c>
      <c r="W95" s="76">
        <f t="shared" si="2"/>
        <v>0</v>
      </c>
      <c r="X95" s="1"/>
    </row>
    <row r="96" spans="1:24">
      <c r="A96" s="65" t="s">
        <v>206</v>
      </c>
      <c r="B96" s="2">
        <f t="shared" ref="B96:W96" si="3">SUMIF($X$41:$X$70,200,B$41:B$70)</f>
        <v>0</v>
      </c>
      <c r="C96" s="2">
        <f t="shared" si="3"/>
        <v>0</v>
      </c>
      <c r="D96" s="2">
        <f t="shared" si="3"/>
        <v>0</v>
      </c>
      <c r="E96" s="2">
        <f t="shared" si="3"/>
        <v>0</v>
      </c>
      <c r="F96" s="2">
        <f t="shared" si="3"/>
        <v>0</v>
      </c>
      <c r="G96" s="2">
        <f t="shared" si="3"/>
        <v>0</v>
      </c>
      <c r="H96" s="2">
        <f t="shared" si="3"/>
        <v>0</v>
      </c>
      <c r="I96" s="2">
        <f t="shared" si="3"/>
        <v>0</v>
      </c>
      <c r="J96" s="2">
        <f t="shared" si="3"/>
        <v>0</v>
      </c>
      <c r="K96" s="2">
        <f t="shared" si="3"/>
        <v>0</v>
      </c>
      <c r="L96" s="2">
        <f t="shared" si="3"/>
        <v>0</v>
      </c>
      <c r="M96" s="79">
        <f t="shared" si="3"/>
        <v>0</v>
      </c>
      <c r="N96" s="76">
        <f t="shared" si="3"/>
        <v>0</v>
      </c>
      <c r="O96" s="76">
        <f t="shared" si="3"/>
        <v>0</v>
      </c>
      <c r="P96" s="76">
        <f t="shared" si="3"/>
        <v>0</v>
      </c>
      <c r="Q96" s="76">
        <f t="shared" si="3"/>
        <v>0</v>
      </c>
      <c r="R96" s="76">
        <f t="shared" si="3"/>
        <v>0</v>
      </c>
      <c r="S96" s="76">
        <f t="shared" si="3"/>
        <v>0</v>
      </c>
      <c r="T96" s="76">
        <f t="shared" si="3"/>
        <v>0</v>
      </c>
      <c r="U96" s="76">
        <f t="shared" si="3"/>
        <v>0</v>
      </c>
      <c r="V96" s="76">
        <f t="shared" si="3"/>
        <v>0</v>
      </c>
      <c r="W96" s="76">
        <f t="shared" si="3"/>
        <v>0</v>
      </c>
      <c r="X96" s="1"/>
    </row>
    <row r="97" spans="1:24">
      <c r="A97" s="65" t="s">
        <v>207</v>
      </c>
      <c r="B97" s="2">
        <f t="shared" ref="B97:W97" si="4">SUMIF($X$41:$X$70,400,B$41:B$70)</f>
        <v>0</v>
      </c>
      <c r="C97" s="2">
        <f t="shared" si="4"/>
        <v>0</v>
      </c>
      <c r="D97" s="2">
        <f t="shared" si="4"/>
        <v>0</v>
      </c>
      <c r="E97" s="2">
        <f t="shared" si="4"/>
        <v>0</v>
      </c>
      <c r="F97" s="2">
        <f t="shared" si="4"/>
        <v>0</v>
      </c>
      <c r="G97" s="2">
        <f t="shared" si="4"/>
        <v>0</v>
      </c>
      <c r="H97" s="2">
        <f t="shared" si="4"/>
        <v>0</v>
      </c>
      <c r="I97" s="2">
        <f t="shared" si="4"/>
        <v>0</v>
      </c>
      <c r="J97" s="2">
        <f t="shared" si="4"/>
        <v>0</v>
      </c>
      <c r="K97" s="2">
        <f t="shared" si="4"/>
        <v>0</v>
      </c>
      <c r="L97" s="2">
        <f t="shared" si="4"/>
        <v>0</v>
      </c>
      <c r="M97" s="79">
        <f t="shared" si="4"/>
        <v>0</v>
      </c>
      <c r="N97" s="76">
        <f t="shared" si="4"/>
        <v>0</v>
      </c>
      <c r="O97" s="76">
        <f t="shared" si="4"/>
        <v>0</v>
      </c>
      <c r="P97" s="76">
        <f t="shared" si="4"/>
        <v>0</v>
      </c>
      <c r="Q97" s="76">
        <f t="shared" si="4"/>
        <v>0</v>
      </c>
      <c r="R97" s="76">
        <f t="shared" si="4"/>
        <v>0</v>
      </c>
      <c r="S97" s="76">
        <f t="shared" si="4"/>
        <v>0</v>
      </c>
      <c r="T97" s="76">
        <f t="shared" si="4"/>
        <v>0</v>
      </c>
      <c r="U97" s="76">
        <f t="shared" si="4"/>
        <v>0</v>
      </c>
      <c r="V97" s="76">
        <f t="shared" si="4"/>
        <v>0</v>
      </c>
      <c r="W97" s="76">
        <f t="shared" si="4"/>
        <v>0</v>
      </c>
      <c r="X97" s="1"/>
    </row>
    <row r="98" spans="1:24">
      <c r="A98" s="65" t="s">
        <v>209</v>
      </c>
      <c r="B98" s="2">
        <f t="shared" ref="B98:W98" si="5">SUMIF($X$41:$X$70,800,B$41:B$70)</f>
        <v>0</v>
      </c>
      <c r="C98" s="2">
        <f t="shared" si="5"/>
        <v>0</v>
      </c>
      <c r="D98" s="2">
        <f t="shared" si="5"/>
        <v>0</v>
      </c>
      <c r="E98" s="2">
        <f t="shared" si="5"/>
        <v>0</v>
      </c>
      <c r="F98" s="2">
        <f t="shared" si="5"/>
        <v>0</v>
      </c>
      <c r="G98" s="2">
        <f t="shared" si="5"/>
        <v>0</v>
      </c>
      <c r="H98" s="2">
        <f t="shared" si="5"/>
        <v>0</v>
      </c>
      <c r="I98" s="2">
        <f t="shared" si="5"/>
        <v>0</v>
      </c>
      <c r="J98" s="2">
        <f t="shared" si="5"/>
        <v>0</v>
      </c>
      <c r="K98" s="2">
        <f t="shared" si="5"/>
        <v>0</v>
      </c>
      <c r="L98" s="2">
        <f t="shared" si="5"/>
        <v>0</v>
      </c>
      <c r="M98" s="79">
        <f t="shared" si="5"/>
        <v>0</v>
      </c>
      <c r="N98" s="76">
        <f t="shared" si="5"/>
        <v>0</v>
      </c>
      <c r="O98" s="76">
        <f t="shared" si="5"/>
        <v>0</v>
      </c>
      <c r="P98" s="76">
        <f t="shared" si="5"/>
        <v>0</v>
      </c>
      <c r="Q98" s="76">
        <f t="shared" si="5"/>
        <v>0</v>
      </c>
      <c r="R98" s="76">
        <f t="shared" si="5"/>
        <v>0</v>
      </c>
      <c r="S98" s="76">
        <f t="shared" si="5"/>
        <v>0</v>
      </c>
      <c r="T98" s="76">
        <f t="shared" si="5"/>
        <v>0</v>
      </c>
      <c r="U98" s="76">
        <f t="shared" si="5"/>
        <v>0</v>
      </c>
      <c r="V98" s="76">
        <f t="shared" si="5"/>
        <v>0</v>
      </c>
      <c r="W98" s="76">
        <f t="shared" si="5"/>
        <v>0</v>
      </c>
    </row>
    <row r="99" spans="1:24">
      <c r="A99" s="65" t="s">
        <v>211</v>
      </c>
      <c r="B99" s="2">
        <f t="shared" ref="B99:W99" si="6">SUMIF($X$41:$X$70,1600,B$41:B$70)</f>
        <v>0</v>
      </c>
      <c r="C99" s="2">
        <f t="shared" si="6"/>
        <v>0</v>
      </c>
      <c r="D99" s="2">
        <f t="shared" si="6"/>
        <v>0</v>
      </c>
      <c r="E99" s="2">
        <f t="shared" si="6"/>
        <v>0</v>
      </c>
      <c r="F99" s="2">
        <f t="shared" si="6"/>
        <v>0</v>
      </c>
      <c r="G99" s="2">
        <f t="shared" si="6"/>
        <v>0</v>
      </c>
      <c r="H99" s="2">
        <f t="shared" si="6"/>
        <v>0</v>
      </c>
      <c r="I99" s="2">
        <f t="shared" si="6"/>
        <v>0</v>
      </c>
      <c r="J99" s="2">
        <f t="shared" si="6"/>
        <v>0</v>
      </c>
      <c r="K99" s="2">
        <f t="shared" si="6"/>
        <v>0</v>
      </c>
      <c r="L99" s="2">
        <f t="shared" si="6"/>
        <v>0</v>
      </c>
      <c r="M99" s="79">
        <f t="shared" si="6"/>
        <v>0</v>
      </c>
      <c r="N99" s="76">
        <f t="shared" si="6"/>
        <v>0</v>
      </c>
      <c r="O99" s="76">
        <f t="shared" si="6"/>
        <v>0</v>
      </c>
      <c r="P99" s="76">
        <f t="shared" si="6"/>
        <v>0</v>
      </c>
      <c r="Q99" s="76">
        <f t="shared" si="6"/>
        <v>0</v>
      </c>
      <c r="R99" s="76">
        <f t="shared" si="6"/>
        <v>0</v>
      </c>
      <c r="S99" s="76">
        <f t="shared" si="6"/>
        <v>0</v>
      </c>
      <c r="T99" s="76">
        <f t="shared" si="6"/>
        <v>0</v>
      </c>
      <c r="U99" s="76">
        <f t="shared" si="6"/>
        <v>0</v>
      </c>
      <c r="V99" s="76">
        <f t="shared" si="6"/>
        <v>0</v>
      </c>
      <c r="W99" s="76">
        <f t="shared" si="6"/>
        <v>0</v>
      </c>
    </row>
    <row r="100" spans="1:24">
      <c r="A100" s="65" t="s">
        <v>276</v>
      </c>
      <c r="B100" s="2">
        <f>SUM(B41:B70)</f>
        <v>76122.551333436277</v>
      </c>
      <c r="C100" s="2">
        <f t="shared" ref="C100:W100" si="7">SUM(C41:C70)</f>
        <v>190173.3012245</v>
      </c>
      <c r="D100" s="2">
        <f t="shared" si="7"/>
        <v>0</v>
      </c>
      <c r="E100" s="2">
        <f t="shared" si="7"/>
        <v>0</v>
      </c>
      <c r="F100" s="2">
        <f t="shared" si="7"/>
        <v>0</v>
      </c>
      <c r="G100" s="2">
        <f t="shared" si="7"/>
        <v>0</v>
      </c>
      <c r="H100" s="2">
        <f t="shared" si="7"/>
        <v>0</v>
      </c>
      <c r="I100" s="2">
        <f t="shared" si="7"/>
        <v>0</v>
      </c>
      <c r="J100" s="2">
        <f t="shared" si="7"/>
        <v>0</v>
      </c>
      <c r="K100" s="2">
        <f t="shared" si="7"/>
        <v>0</v>
      </c>
      <c r="L100" s="2">
        <f t="shared" si="7"/>
        <v>0</v>
      </c>
      <c r="M100" s="79">
        <f t="shared" si="7"/>
        <v>11.161814788149441</v>
      </c>
      <c r="N100" s="76">
        <f t="shared" si="7"/>
        <v>18.299959612310282</v>
      </c>
      <c r="O100" s="76">
        <f t="shared" si="7"/>
        <v>0</v>
      </c>
      <c r="P100" s="76">
        <f t="shared" si="7"/>
        <v>0</v>
      </c>
      <c r="Q100" s="76">
        <f t="shared" si="7"/>
        <v>0</v>
      </c>
      <c r="R100" s="76">
        <f t="shared" si="7"/>
        <v>0</v>
      </c>
      <c r="S100" s="76">
        <f t="shared" si="7"/>
        <v>0</v>
      </c>
      <c r="T100" s="76">
        <f t="shared" si="7"/>
        <v>0</v>
      </c>
      <c r="U100" s="76">
        <f t="shared" si="7"/>
        <v>0</v>
      </c>
      <c r="V100" s="76">
        <f t="shared" si="7"/>
        <v>0</v>
      </c>
      <c r="W100" s="76">
        <f t="shared" si="7"/>
        <v>0</v>
      </c>
    </row>
    <row r="101" spans="1:24">
      <c r="A101" s="65"/>
    </row>
    <row r="102" spans="1:24">
      <c r="A102" s="176" t="s">
        <v>428</v>
      </c>
      <c r="B102" s="68">
        <v>2018</v>
      </c>
      <c r="C102" s="50">
        <v>2019</v>
      </c>
      <c r="D102" s="50">
        <v>2020</v>
      </c>
      <c r="E102" s="50">
        <v>2021</v>
      </c>
      <c r="F102" s="50">
        <v>2022</v>
      </c>
      <c r="G102" s="50">
        <v>2023</v>
      </c>
      <c r="H102" s="50">
        <v>2024</v>
      </c>
      <c r="I102" s="50">
        <v>2025</v>
      </c>
      <c r="J102" s="50">
        <v>2026</v>
      </c>
      <c r="K102" s="50">
        <v>2027</v>
      </c>
      <c r="L102" s="50">
        <v>2028</v>
      </c>
      <c r="M102" s="68">
        <v>2018</v>
      </c>
      <c r="N102" s="50">
        <v>2019</v>
      </c>
      <c r="O102" s="50">
        <v>2020</v>
      </c>
      <c r="P102" s="50">
        <v>2021</v>
      </c>
      <c r="Q102" s="50">
        <v>2022</v>
      </c>
      <c r="R102" s="50">
        <v>2023</v>
      </c>
      <c r="S102" s="50">
        <v>2024</v>
      </c>
      <c r="T102" s="50">
        <v>2025</v>
      </c>
      <c r="U102" s="50">
        <v>2026</v>
      </c>
      <c r="V102" s="50">
        <v>2027</v>
      </c>
      <c r="W102" s="50">
        <v>2028</v>
      </c>
    </row>
    <row r="103" spans="1:24">
      <c r="A103" s="65" t="s">
        <v>205</v>
      </c>
      <c r="B103" s="2">
        <f t="shared" ref="B103:W103" si="8">SUMIF($X$70:$X$75,100,B$70:B$75)</f>
        <v>2133.2250676470585</v>
      </c>
      <c r="C103" s="2">
        <f t="shared" si="8"/>
        <v>2075.1840000000002</v>
      </c>
      <c r="D103" s="2">
        <f t="shared" si="8"/>
        <v>0</v>
      </c>
      <c r="E103" s="2">
        <f t="shared" si="8"/>
        <v>0</v>
      </c>
      <c r="F103" s="2">
        <f t="shared" si="8"/>
        <v>0</v>
      </c>
      <c r="G103" s="2">
        <f t="shared" si="8"/>
        <v>0</v>
      </c>
      <c r="H103" s="2">
        <f t="shared" si="8"/>
        <v>0</v>
      </c>
      <c r="I103" s="2">
        <f t="shared" si="8"/>
        <v>0</v>
      </c>
      <c r="J103" s="2">
        <f t="shared" si="8"/>
        <v>0</v>
      </c>
      <c r="K103" s="2">
        <f t="shared" si="8"/>
        <v>0</v>
      </c>
      <c r="L103" s="2">
        <f t="shared" si="8"/>
        <v>0</v>
      </c>
      <c r="M103" s="79">
        <f t="shared" si="8"/>
        <v>16.700707531722685</v>
      </c>
      <c r="N103" s="76">
        <f t="shared" si="8"/>
        <v>12.663932800000001</v>
      </c>
      <c r="O103" s="76">
        <f t="shared" si="8"/>
        <v>0</v>
      </c>
      <c r="P103" s="76">
        <f t="shared" si="8"/>
        <v>0</v>
      </c>
      <c r="Q103" s="76">
        <f t="shared" si="8"/>
        <v>0</v>
      </c>
      <c r="R103" s="76">
        <f t="shared" si="8"/>
        <v>0</v>
      </c>
      <c r="S103" s="76">
        <f t="shared" si="8"/>
        <v>0</v>
      </c>
      <c r="T103" s="76">
        <f t="shared" si="8"/>
        <v>0</v>
      </c>
      <c r="U103" s="76">
        <f t="shared" si="8"/>
        <v>0</v>
      </c>
      <c r="V103" s="76">
        <f t="shared" si="8"/>
        <v>0</v>
      </c>
      <c r="W103" s="76">
        <f t="shared" si="8"/>
        <v>0</v>
      </c>
    </row>
    <row r="104" spans="1:24">
      <c r="A104" s="65" t="s">
        <v>206</v>
      </c>
      <c r="B104" s="2">
        <f t="shared" ref="B104:W104" si="9">SUMIF($X$70:$X$75,200,B$70:B$75)</f>
        <v>0</v>
      </c>
      <c r="C104" s="2">
        <f t="shared" si="9"/>
        <v>0</v>
      </c>
      <c r="D104" s="2">
        <f t="shared" si="9"/>
        <v>0</v>
      </c>
      <c r="E104" s="2">
        <f t="shared" si="9"/>
        <v>0</v>
      </c>
      <c r="F104" s="2">
        <f t="shared" si="9"/>
        <v>0</v>
      </c>
      <c r="G104" s="2">
        <f t="shared" si="9"/>
        <v>0</v>
      </c>
      <c r="H104" s="2">
        <f t="shared" si="9"/>
        <v>0</v>
      </c>
      <c r="I104" s="2">
        <f t="shared" si="9"/>
        <v>0</v>
      </c>
      <c r="J104" s="2">
        <f t="shared" si="9"/>
        <v>0</v>
      </c>
      <c r="K104" s="2">
        <f t="shared" si="9"/>
        <v>0</v>
      </c>
      <c r="L104" s="2">
        <f t="shared" si="9"/>
        <v>0</v>
      </c>
      <c r="M104" s="79">
        <f t="shared" si="9"/>
        <v>0</v>
      </c>
      <c r="N104" s="76">
        <f t="shared" si="9"/>
        <v>0</v>
      </c>
      <c r="O104" s="76">
        <f t="shared" si="9"/>
        <v>0</v>
      </c>
      <c r="P104" s="76">
        <f t="shared" si="9"/>
        <v>0</v>
      </c>
      <c r="Q104" s="76">
        <f t="shared" si="9"/>
        <v>0</v>
      </c>
      <c r="R104" s="76">
        <f t="shared" si="9"/>
        <v>0</v>
      </c>
      <c r="S104" s="76">
        <f t="shared" si="9"/>
        <v>0</v>
      </c>
      <c r="T104" s="76">
        <f t="shared" si="9"/>
        <v>0</v>
      </c>
      <c r="U104" s="76">
        <f t="shared" si="9"/>
        <v>0</v>
      </c>
      <c r="V104" s="76">
        <f t="shared" si="9"/>
        <v>0</v>
      </c>
      <c r="W104" s="76">
        <f t="shared" si="9"/>
        <v>0</v>
      </c>
    </row>
    <row r="105" spans="1:24">
      <c r="A105" s="65" t="s">
        <v>207</v>
      </c>
      <c r="B105" s="2">
        <f t="shared" ref="B105:W105" si="10">SUMIF($X$70:$X$75,400,B$70:B$75)</f>
        <v>0</v>
      </c>
      <c r="C105" s="2">
        <f t="shared" si="10"/>
        <v>0</v>
      </c>
      <c r="D105" s="2">
        <f t="shared" si="10"/>
        <v>0</v>
      </c>
      <c r="E105" s="2">
        <f t="shared" si="10"/>
        <v>0</v>
      </c>
      <c r="F105" s="2">
        <f t="shared" si="10"/>
        <v>0</v>
      </c>
      <c r="G105" s="2">
        <f t="shared" si="10"/>
        <v>0</v>
      </c>
      <c r="H105" s="2">
        <f t="shared" si="10"/>
        <v>0</v>
      </c>
      <c r="I105" s="2">
        <f t="shared" si="10"/>
        <v>0</v>
      </c>
      <c r="J105" s="2">
        <f t="shared" si="10"/>
        <v>0</v>
      </c>
      <c r="K105" s="2">
        <f t="shared" si="10"/>
        <v>0</v>
      </c>
      <c r="L105" s="2">
        <f t="shared" si="10"/>
        <v>0</v>
      </c>
      <c r="M105" s="79">
        <f t="shared" si="10"/>
        <v>0</v>
      </c>
      <c r="N105" s="76">
        <f t="shared" si="10"/>
        <v>0</v>
      </c>
      <c r="O105" s="76">
        <f t="shared" si="10"/>
        <v>0</v>
      </c>
      <c r="P105" s="76">
        <f t="shared" si="10"/>
        <v>0</v>
      </c>
      <c r="Q105" s="76">
        <f t="shared" si="10"/>
        <v>0</v>
      </c>
      <c r="R105" s="76">
        <f t="shared" si="10"/>
        <v>0</v>
      </c>
      <c r="S105" s="76">
        <f t="shared" si="10"/>
        <v>0</v>
      </c>
      <c r="T105" s="76">
        <f t="shared" si="10"/>
        <v>0</v>
      </c>
      <c r="U105" s="76">
        <f t="shared" si="10"/>
        <v>0</v>
      </c>
      <c r="V105" s="76">
        <f t="shared" si="10"/>
        <v>0</v>
      </c>
      <c r="W105" s="76">
        <f t="shared" si="10"/>
        <v>0</v>
      </c>
    </row>
    <row r="106" spans="1:24">
      <c r="A106" s="65" t="s">
        <v>429</v>
      </c>
      <c r="B106" s="2">
        <f t="shared" ref="B106:W106" si="11">SUMIF($X$70:$X$75,600,B$70:B$75)+SUMIF($X$70:$X$75,800,B$70:B$75)</f>
        <v>0</v>
      </c>
      <c r="C106" s="2">
        <f t="shared" si="11"/>
        <v>0</v>
      </c>
      <c r="D106" s="2">
        <f t="shared" si="11"/>
        <v>0</v>
      </c>
      <c r="E106" s="2">
        <f t="shared" si="11"/>
        <v>0</v>
      </c>
      <c r="F106" s="2">
        <f t="shared" si="11"/>
        <v>0</v>
      </c>
      <c r="G106" s="2">
        <f t="shared" si="11"/>
        <v>0</v>
      </c>
      <c r="H106" s="2">
        <f t="shared" si="11"/>
        <v>0</v>
      </c>
      <c r="I106" s="2">
        <f t="shared" si="11"/>
        <v>0</v>
      </c>
      <c r="J106" s="2">
        <f t="shared" si="11"/>
        <v>0</v>
      </c>
      <c r="K106" s="2">
        <f t="shared" si="11"/>
        <v>0</v>
      </c>
      <c r="L106" s="2">
        <f t="shared" si="11"/>
        <v>0</v>
      </c>
      <c r="M106" s="79">
        <f t="shared" si="11"/>
        <v>0</v>
      </c>
      <c r="N106" s="76">
        <f t="shared" si="11"/>
        <v>0</v>
      </c>
      <c r="O106" s="76">
        <f t="shared" si="11"/>
        <v>0</v>
      </c>
      <c r="P106" s="76">
        <f t="shared" si="11"/>
        <v>0</v>
      </c>
      <c r="Q106" s="76">
        <f t="shared" si="11"/>
        <v>0</v>
      </c>
      <c r="R106" s="76">
        <f t="shared" si="11"/>
        <v>0</v>
      </c>
      <c r="S106" s="76">
        <f t="shared" si="11"/>
        <v>0</v>
      </c>
      <c r="T106" s="76">
        <f t="shared" si="11"/>
        <v>0</v>
      </c>
      <c r="U106" s="76">
        <f t="shared" si="11"/>
        <v>0</v>
      </c>
      <c r="V106" s="76">
        <f t="shared" si="11"/>
        <v>0</v>
      </c>
      <c r="W106" s="76">
        <f t="shared" si="11"/>
        <v>0</v>
      </c>
    </row>
    <row r="107" spans="1:24">
      <c r="A107" s="65" t="s">
        <v>430</v>
      </c>
      <c r="B107" s="2">
        <f t="shared" ref="B107:W107" si="12">SUMIF($X$70:$X$75,1200,B$70:B$75)+SUMIF($X$70:$X$75,1600,B$70:B$75)</f>
        <v>0</v>
      </c>
      <c r="C107" s="2">
        <f t="shared" si="12"/>
        <v>0</v>
      </c>
      <c r="D107" s="2">
        <f t="shared" si="12"/>
        <v>0</v>
      </c>
      <c r="E107" s="2">
        <f t="shared" si="12"/>
        <v>0</v>
      </c>
      <c r="F107" s="2">
        <f t="shared" si="12"/>
        <v>0</v>
      </c>
      <c r="G107" s="2">
        <f t="shared" si="12"/>
        <v>0</v>
      </c>
      <c r="H107" s="2">
        <f t="shared" si="12"/>
        <v>0</v>
      </c>
      <c r="I107" s="2">
        <f t="shared" si="12"/>
        <v>0</v>
      </c>
      <c r="J107" s="2">
        <f t="shared" si="12"/>
        <v>0</v>
      </c>
      <c r="K107" s="2">
        <f t="shared" si="12"/>
        <v>0</v>
      </c>
      <c r="L107" s="2">
        <f t="shared" si="12"/>
        <v>0</v>
      </c>
      <c r="M107" s="79">
        <f t="shared" si="12"/>
        <v>0</v>
      </c>
      <c r="N107" s="76">
        <f t="shared" si="12"/>
        <v>0</v>
      </c>
      <c r="O107" s="76">
        <f t="shared" si="12"/>
        <v>0</v>
      </c>
      <c r="P107" s="76">
        <f t="shared" si="12"/>
        <v>0</v>
      </c>
      <c r="Q107" s="76">
        <f t="shared" si="12"/>
        <v>0</v>
      </c>
      <c r="R107" s="76">
        <f t="shared" si="12"/>
        <v>0</v>
      </c>
      <c r="S107" s="76">
        <f t="shared" si="12"/>
        <v>0</v>
      </c>
      <c r="T107" s="76">
        <f t="shared" si="12"/>
        <v>0</v>
      </c>
      <c r="U107" s="76">
        <f t="shared" si="12"/>
        <v>0</v>
      </c>
      <c r="V107" s="76">
        <f t="shared" si="12"/>
        <v>0</v>
      </c>
      <c r="W107" s="76">
        <f t="shared" si="12"/>
        <v>0</v>
      </c>
    </row>
    <row r="108" spans="1:24">
      <c r="A108" s="65" t="s">
        <v>277</v>
      </c>
      <c r="B108" s="2">
        <f>SUM(B71:B89)</f>
        <v>3407.6505971552547</v>
      </c>
      <c r="C108" s="2">
        <f t="shared" ref="C108:W108" si="13">SUM(C71:C89)</f>
        <v>3967.276657363002</v>
      </c>
      <c r="D108" s="2">
        <f t="shared" si="13"/>
        <v>0</v>
      </c>
      <c r="E108" s="2">
        <f t="shared" si="13"/>
        <v>0</v>
      </c>
      <c r="F108" s="2">
        <f t="shared" si="13"/>
        <v>0</v>
      </c>
      <c r="G108" s="2">
        <f t="shared" si="13"/>
        <v>0</v>
      </c>
      <c r="H108" s="2">
        <f t="shared" si="13"/>
        <v>0</v>
      </c>
      <c r="I108" s="2">
        <f t="shared" si="13"/>
        <v>0</v>
      </c>
      <c r="J108" s="2">
        <f t="shared" si="13"/>
        <v>0</v>
      </c>
      <c r="K108" s="2">
        <f t="shared" si="13"/>
        <v>0</v>
      </c>
      <c r="L108" s="2">
        <f t="shared" si="13"/>
        <v>0</v>
      </c>
      <c r="M108" s="79">
        <f t="shared" si="13"/>
        <v>17.519949711613268</v>
      </c>
      <c r="N108" s="76">
        <f t="shared" si="13"/>
        <v>14.538762793553481</v>
      </c>
      <c r="O108" s="76">
        <f t="shared" si="13"/>
        <v>0</v>
      </c>
      <c r="P108" s="76">
        <f t="shared" si="13"/>
        <v>0</v>
      </c>
      <c r="Q108" s="76">
        <f t="shared" si="13"/>
        <v>0</v>
      </c>
      <c r="R108" s="76">
        <f t="shared" si="13"/>
        <v>0</v>
      </c>
      <c r="S108" s="76">
        <f t="shared" si="13"/>
        <v>0</v>
      </c>
      <c r="T108" s="76">
        <f t="shared" si="13"/>
        <v>0</v>
      </c>
      <c r="U108" s="76">
        <f t="shared" si="13"/>
        <v>0</v>
      </c>
      <c r="V108" s="76">
        <f t="shared" si="13"/>
        <v>0</v>
      </c>
      <c r="W108" s="76">
        <f t="shared" si="13"/>
        <v>0</v>
      </c>
    </row>
    <row r="111" spans="1:24">
      <c r="M111" s="68">
        <v>2018</v>
      </c>
      <c r="N111" s="50">
        <v>2019</v>
      </c>
      <c r="O111" s="50">
        <v>2020</v>
      </c>
      <c r="P111" s="50">
        <v>2021</v>
      </c>
      <c r="Q111" s="50">
        <v>2022</v>
      </c>
      <c r="R111" s="112">
        <v>2023</v>
      </c>
      <c r="S111" s="50">
        <v>2024</v>
      </c>
      <c r="T111" s="50">
        <v>2025</v>
      </c>
      <c r="U111" s="50">
        <v>2026</v>
      </c>
      <c r="V111" s="50">
        <v>2027</v>
      </c>
      <c r="W111" s="50">
        <v>2028</v>
      </c>
    </row>
    <row r="112" spans="1:24">
      <c r="A112" s="25" t="s">
        <v>341</v>
      </c>
      <c r="M112" s="76">
        <v>1312.8124235688219</v>
      </c>
      <c r="N112" s="76">
        <v>937.89941189829528</v>
      </c>
      <c r="O112" s="76">
        <v>745.40045893414504</v>
      </c>
      <c r="P112" s="76">
        <v>1692.3408687402498</v>
      </c>
      <c r="Q112" s="76">
        <v>1233.5025367220087</v>
      </c>
      <c r="R112" s="76">
        <f>Q112*$R$113</f>
        <v>1356.8527903942097</v>
      </c>
      <c r="S112" s="76">
        <f t="shared" ref="S112:W112" si="14">R112*$R$113</f>
        <v>1492.5380694336309</v>
      </c>
      <c r="T112" s="76">
        <f t="shared" si="14"/>
        <v>1641.7918763769942</v>
      </c>
      <c r="U112" s="76">
        <f t="shared" si="14"/>
        <v>1805.9710640146939</v>
      </c>
      <c r="V112" s="76">
        <f t="shared" si="14"/>
        <v>1986.5681704161634</v>
      </c>
      <c r="W112" s="76">
        <f t="shared" si="14"/>
        <v>2185.2249874577801</v>
      </c>
    </row>
    <row r="113" spans="1:23">
      <c r="A113" s="25" t="s">
        <v>350</v>
      </c>
      <c r="N113" s="119">
        <f>N112/M112</f>
        <v>0.71441996972321276</v>
      </c>
      <c r="O113" s="119">
        <f>O112/N112</f>
        <v>0.79475522585675251</v>
      </c>
      <c r="P113" s="119">
        <f>P112/O112</f>
        <v>2.2703780879879569</v>
      </c>
      <c r="Q113" s="119">
        <f>Q112/P112</f>
        <v>0.72887357358462146</v>
      </c>
      <c r="R113" s="120">
        <v>1.1000000000000001</v>
      </c>
    </row>
    <row r="114" spans="1:23">
      <c r="A114" s="25" t="str">
        <f>"Ethernet transceivers % of total capex: "&amp;$A$39</f>
        <v>Ethernet transceivers % of total capex: Baidu</v>
      </c>
      <c r="M114" s="111">
        <f>M100/M112</f>
        <v>8.5022159965599236E-3</v>
      </c>
      <c r="N114" s="111">
        <f>N100/N112</f>
        <v>1.9511644191429249E-2</v>
      </c>
      <c r="O114" s="111">
        <f>O100/O112</f>
        <v>0</v>
      </c>
      <c r="P114" s="111">
        <f>P100/P112</f>
        <v>0</v>
      </c>
      <c r="Q114" s="111">
        <f>Q100/Q112</f>
        <v>0</v>
      </c>
      <c r="R114" s="111">
        <f t="shared" ref="R114:W114" si="15">R100/R112</f>
        <v>0</v>
      </c>
      <c r="S114" s="111">
        <f t="shared" si="15"/>
        <v>0</v>
      </c>
      <c r="T114" s="111">
        <f t="shared" si="15"/>
        <v>0</v>
      </c>
      <c r="U114" s="111">
        <f t="shared" si="15"/>
        <v>0</v>
      </c>
      <c r="V114" s="111">
        <f t="shared" si="15"/>
        <v>0</v>
      </c>
      <c r="W114" s="111">
        <f t="shared" si="15"/>
        <v>0</v>
      </c>
    </row>
    <row r="115" spans="1:23">
      <c r="A115" s="25" t="str">
        <f>"DWDM transceivers % of total capex: "&amp;$A$39</f>
        <v>DWDM transceivers % of total capex: Baidu</v>
      </c>
      <c r="M115" s="111">
        <f>M108/M112</f>
        <v>1.3345356424938505E-2</v>
      </c>
      <c r="N115" s="111">
        <f t="shared" ref="N115:W115" si="16">N108/N112</f>
        <v>1.5501409435930051E-2</v>
      </c>
      <c r="O115" s="111">
        <f t="shared" si="16"/>
        <v>0</v>
      </c>
      <c r="P115" s="111">
        <f t="shared" si="16"/>
        <v>0</v>
      </c>
      <c r="Q115" s="111">
        <f t="shared" si="16"/>
        <v>0</v>
      </c>
      <c r="R115" s="111">
        <f t="shared" si="16"/>
        <v>0</v>
      </c>
      <c r="S115" s="111">
        <f t="shared" si="16"/>
        <v>0</v>
      </c>
      <c r="T115" s="111">
        <f t="shared" si="16"/>
        <v>0</v>
      </c>
      <c r="U115" s="111">
        <f t="shared" si="16"/>
        <v>0</v>
      </c>
      <c r="V115" s="111">
        <f t="shared" si="16"/>
        <v>0</v>
      </c>
      <c r="W115" s="111">
        <f t="shared" si="16"/>
        <v>0</v>
      </c>
    </row>
    <row r="116" spans="1:23">
      <c r="A116" s="25" t="str">
        <f>"Ethernet&amp;DWDM transceivers % of total capex: "&amp;$A$39</f>
        <v>Ethernet&amp;DWDM transceivers % of total capex: Baidu</v>
      </c>
      <c r="M116" s="111">
        <f>M115+M114</f>
        <v>2.1847572421498429E-2</v>
      </c>
      <c r="N116" s="111">
        <f t="shared" ref="N116:W116" si="17">N115+N114</f>
        <v>3.5013053627359299E-2</v>
      </c>
      <c r="O116" s="111">
        <f t="shared" si="17"/>
        <v>0</v>
      </c>
      <c r="P116" s="111">
        <f t="shared" si="17"/>
        <v>0</v>
      </c>
      <c r="Q116" s="111">
        <f t="shared" si="17"/>
        <v>0</v>
      </c>
      <c r="R116" s="111">
        <f t="shared" si="17"/>
        <v>0</v>
      </c>
      <c r="S116" s="111">
        <f t="shared" si="17"/>
        <v>0</v>
      </c>
      <c r="T116" s="111">
        <f t="shared" si="17"/>
        <v>0</v>
      </c>
      <c r="U116" s="111">
        <f t="shared" si="17"/>
        <v>0</v>
      </c>
      <c r="V116" s="111">
        <f t="shared" si="17"/>
        <v>0</v>
      </c>
      <c r="W116" s="111">
        <f t="shared" si="17"/>
        <v>0</v>
      </c>
    </row>
    <row r="118" spans="1:23">
      <c r="A118" t="s">
        <v>275</v>
      </c>
      <c r="B118" s="17">
        <v>2018</v>
      </c>
      <c r="C118" s="17">
        <v>2019</v>
      </c>
      <c r="D118" s="17">
        <v>2020</v>
      </c>
      <c r="E118" s="17">
        <v>2021</v>
      </c>
      <c r="F118" s="17">
        <v>2022</v>
      </c>
      <c r="G118" s="17">
        <v>2023</v>
      </c>
      <c r="H118" s="17">
        <v>2024</v>
      </c>
      <c r="I118" s="17">
        <v>2025</v>
      </c>
      <c r="J118" s="17">
        <v>2026</v>
      </c>
      <c r="K118" s="17">
        <v>2027</v>
      </c>
      <c r="L118" s="17">
        <v>2028</v>
      </c>
    </row>
    <row r="119" spans="1:23">
      <c r="A119" s="40" t="s">
        <v>213</v>
      </c>
      <c r="B119" s="32">
        <f>SUMPRODUCT(B41:B$70,$X$41:$X$70)/10^6</f>
        <v>5.2186891493436276</v>
      </c>
      <c r="C119" s="32">
        <f>SUMPRODUCT(C41:C$70,$X$41:$X$70)/10^6</f>
        <v>13.874089214449999</v>
      </c>
      <c r="D119" s="32">
        <f>SUMPRODUCT(D41:D$70,$X$41:$X$70)/10^6</f>
        <v>0</v>
      </c>
      <c r="E119" s="32">
        <f>SUMPRODUCT(E41:E$70,$X$41:$X$70)/10^6</f>
        <v>0</v>
      </c>
      <c r="F119" s="32">
        <f>SUMPRODUCT(F41:F$70,$X$41:$X$70)/10^6</f>
        <v>0</v>
      </c>
      <c r="G119" s="32">
        <f>SUMPRODUCT(G41:G$70,$X$41:$X$70)/10^6</f>
        <v>0</v>
      </c>
      <c r="H119" s="32">
        <f>SUMPRODUCT(H41:H$70,$X$41:$X$70)/10^6</f>
        <v>0</v>
      </c>
      <c r="I119" s="32">
        <f>SUMPRODUCT(I41:I$70,$X$41:$X$70)/10^6</f>
        <v>0</v>
      </c>
      <c r="J119" s="32">
        <f>SUMPRODUCT(J41:J$70,$X$41:$X$70)/10^6</f>
        <v>0</v>
      </c>
      <c r="K119" s="32">
        <f>SUMPRODUCT(K41:K$70,$X$41:$X$70)/10^6</f>
        <v>0</v>
      </c>
      <c r="L119" s="32">
        <f>SUMPRODUCT(L41:L$70,$X$41:$X$70)/10^6</f>
        <v>0</v>
      </c>
    </row>
    <row r="120" spans="1:23">
      <c r="A120" s="25" t="s">
        <v>250</v>
      </c>
      <c r="B120" s="54">
        <f>B119*2</f>
        <v>10.437378298687255</v>
      </c>
      <c r="C120" s="29">
        <f>B120+C119</f>
        <v>24.311467513137252</v>
      </c>
      <c r="D120" s="29">
        <f>C120+D119</f>
        <v>24.311467513137252</v>
      </c>
      <c r="E120" s="29">
        <f t="shared" ref="E120:L120" si="18">D120+E119</f>
        <v>24.311467513137252</v>
      </c>
      <c r="F120" s="29">
        <f t="shared" si="18"/>
        <v>24.311467513137252</v>
      </c>
      <c r="G120" s="29">
        <f t="shared" si="18"/>
        <v>24.311467513137252</v>
      </c>
      <c r="H120" s="29">
        <f t="shared" si="18"/>
        <v>24.311467513137252</v>
      </c>
      <c r="I120" s="29">
        <f t="shared" si="18"/>
        <v>24.311467513137252</v>
      </c>
      <c r="J120" s="29">
        <f t="shared" si="18"/>
        <v>24.311467513137252</v>
      </c>
      <c r="K120" s="29">
        <f t="shared" si="18"/>
        <v>24.311467513137252</v>
      </c>
      <c r="L120" s="29">
        <f t="shared" si="18"/>
        <v>24.311467513137252</v>
      </c>
    </row>
    <row r="121" spans="1:23">
      <c r="A121" s="25" t="s">
        <v>251</v>
      </c>
      <c r="B121" s="26"/>
      <c r="C121" s="31">
        <f>C120/B120-1</f>
        <v>1.3292695557652623</v>
      </c>
      <c r="D121" s="31">
        <f t="shared" ref="D121:L121" si="19">D120/C120-1</f>
        <v>0</v>
      </c>
      <c r="E121" s="31">
        <f t="shared" si="19"/>
        <v>0</v>
      </c>
      <c r="F121" s="31">
        <f t="shared" si="19"/>
        <v>0</v>
      </c>
      <c r="G121" s="31">
        <f t="shared" si="19"/>
        <v>0</v>
      </c>
      <c r="H121" s="31">
        <f t="shared" si="19"/>
        <v>0</v>
      </c>
      <c r="I121" s="31">
        <f t="shared" si="19"/>
        <v>0</v>
      </c>
      <c r="J121" s="31">
        <f t="shared" si="19"/>
        <v>0</v>
      </c>
      <c r="K121" s="31">
        <f t="shared" si="19"/>
        <v>0</v>
      </c>
      <c r="L121" s="31">
        <f t="shared" si="19"/>
        <v>0</v>
      </c>
    </row>
    <row r="122" spans="1:23">
      <c r="A122" s="25" t="s">
        <v>252</v>
      </c>
    </row>
    <row r="127" spans="1:23">
      <c r="A127" t="s">
        <v>398</v>
      </c>
    </row>
    <row r="128" spans="1:23">
      <c r="A128" s="158">
        <v>45108</v>
      </c>
    </row>
    <row r="129" spans="1:1">
      <c r="A129" s="157" t="s">
        <v>394</v>
      </c>
    </row>
    <row r="130" spans="1:1">
      <c r="A130" s="157" t="s">
        <v>395</v>
      </c>
    </row>
    <row r="131" spans="1:1">
      <c r="A131" s="157" t="s">
        <v>396</v>
      </c>
    </row>
    <row r="132" spans="1:1">
      <c r="A132" s="157" t="s">
        <v>397</v>
      </c>
    </row>
  </sheetData>
  <mergeCells count="2">
    <mergeCell ref="B39:L39"/>
    <mergeCell ref="M39:W39"/>
  </mergeCells>
  <dataValidations count="1">
    <dataValidation type="list" allowBlank="1" showInputMessage="1" showErrorMessage="1" sqref="A41:A89" xr:uid="{00000000-0002-0000-0C00-000000000000}">
      <formula1>INDIRECT("Products[LookupCodes]")</formula1>
    </dataValidation>
  </dataValidations>
  <pageMargins left="0.7" right="0.7" top="0.75" bottom="0.75" header="0.3" footer="0.3"/>
  <pageSetup paperSize="9" orientation="portrait" horizontalDpi="0" verticalDpi="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J136"/>
  <sheetViews>
    <sheetView zoomScale="50" zoomScaleNormal="50" workbookViewId="0">
      <selection activeCell="A5" sqref="A5"/>
    </sheetView>
  </sheetViews>
  <sheetFormatPr defaultColWidth="8.5" defaultRowHeight="15.75"/>
  <cols>
    <col min="1" max="1" width="35.5" bestFit="1" customWidth="1"/>
    <col min="6" max="6" width="9.5" customWidth="1"/>
    <col min="7" max="12" width="12"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ByteDance</v>
      </c>
    </row>
    <row r="5" spans="1:36" s="1" customFormat="1" ht="14.25">
      <c r="A5" s="19"/>
    </row>
    <row r="8" spans="1:36">
      <c r="B8" s="162" t="str">
        <f>"Ethernet transceivers consumed annually by "&amp;A39</f>
        <v>Ethernet transceivers consumed annually by ByteDance</v>
      </c>
      <c r="C8" s="162"/>
      <c r="D8" s="162"/>
      <c r="E8" s="162"/>
      <c r="F8" s="162"/>
      <c r="H8" s="162"/>
      <c r="I8" s="162"/>
      <c r="J8" s="162" t="str">
        <f>"Annual spending on Ethernet transceivers by "&amp;A39</f>
        <v>Annual spending on Ethernet transceivers by ByteDance</v>
      </c>
      <c r="K8" s="162"/>
      <c r="L8" s="162"/>
      <c r="N8" s="162"/>
      <c r="O8" s="162"/>
      <c r="P8" s="162"/>
      <c r="Q8" s="162"/>
      <c r="R8" s="162"/>
      <c r="S8" s="162"/>
      <c r="T8" s="162"/>
      <c r="U8" s="162"/>
      <c r="V8" s="162"/>
      <c r="W8" s="162"/>
      <c r="X8" s="162"/>
      <c r="Y8" s="162"/>
      <c r="Z8" s="162"/>
      <c r="AA8" s="162"/>
      <c r="AB8" s="162"/>
      <c r="AC8" s="162"/>
      <c r="AD8" s="162"/>
      <c r="AE8" s="162"/>
      <c r="AF8" s="162"/>
      <c r="AG8" s="162"/>
      <c r="AH8" s="162"/>
      <c r="AI8" s="162"/>
      <c r="AJ8" s="162"/>
    </row>
    <row r="24" spans="10:10">
      <c r="J24" t="s">
        <v>412</v>
      </c>
    </row>
    <row r="39" spans="1:24">
      <c r="A39" s="12" t="s">
        <v>219</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0</v>
      </c>
      <c r="C41" s="8">
        <v>0</v>
      </c>
      <c r="D41" s="8"/>
      <c r="E41" s="8"/>
      <c r="F41" s="8"/>
      <c r="G41" s="8"/>
      <c r="H41" s="8"/>
      <c r="I41" s="8"/>
      <c r="J41" s="8"/>
      <c r="K41" s="8"/>
      <c r="L41" s="8"/>
      <c r="M41" s="62" cm="1">
        <f t="array" ref="M41">INDEX(tblPrices[cv_2018], MATCH(tblByteDanceUnits[[#This Row],[Products]],tblPrices[Products],0), 0)* tblByteDanceUnits[[#This Row],[cv_2018]]/10^6</f>
        <v>0</v>
      </c>
      <c r="N41" s="62" cm="1">
        <f t="array" ref="N41">INDEX(tblPrices[cv_2019], MATCH(tblByteDanceUnits[[#This Row],[Products]],tblPrices[Products],0), 0)* tblByteDanceUnits[[#This Row],[cv_2019]]/10^6</f>
        <v>0</v>
      </c>
      <c r="O41" s="62" cm="1">
        <f t="array" ref="O41">INDEX(tblPrices[cv_2020], MATCH(tblByteDanceUnits[[#This Row],[Products]],tblPrices[Products],0), 0)* tblByteDanceUnits[[#This Row],[cv_2020]]/10^6</f>
        <v>0</v>
      </c>
      <c r="P41" s="62" cm="1">
        <f t="array" ref="P41">INDEX(tblPrices[cv_2021], MATCH(tblByteDanceUnits[[#This Row],[Products]],tblPrices[Products],0), 0)* tblByteDanceUnits[[#This Row],[cv_2021]]/10^6</f>
        <v>0</v>
      </c>
      <c r="Q41" s="62" cm="1">
        <f t="array" ref="Q41">INDEX(tblPrices[cv_2022], MATCH(tblByteDanceUnits[[#This Row],[Products]],tblPrices[Products],0), 0)* tblByteDanceUnits[[#This Row],[cv_2022]]/10^6</f>
        <v>0</v>
      </c>
      <c r="R41" s="62" cm="1">
        <f t="array" ref="R41">INDEX(tblPrices[cv_2023], MATCH(tblByteDanceUnits[[#This Row],[Products]],tblPrices[Products],0), 0)* tblByteDanceUnits[[#This Row],[cv_2023]]/10^6</f>
        <v>0</v>
      </c>
      <c r="S41" s="62" cm="1">
        <f t="array" ref="S41">INDEX(tblPrices[cv_2024], MATCH(tblByteDanceUnits[[#This Row],[Products]],tblPrices[Products],0), 0)* tblByteDanceUnits[[#This Row],[cv_2024]]/10^6</f>
        <v>0</v>
      </c>
      <c r="T41" s="62" cm="1">
        <f t="array" ref="T41">INDEX(tblPrices[cv_2025], MATCH(tblByteDanceUnits[[#This Row],[Products]],tblPrices[Products],0), 0)* tblByteDanceUnits[[#This Row],[cv_2025]]/10^6</f>
        <v>0</v>
      </c>
      <c r="U41" s="62" cm="1">
        <f t="array" ref="U41">INDEX(tblPrices[cv_2026], MATCH(tblByteDanceUnits[[#This Row],[Products]],tblPrices[Products],0), 0)* tblByteDanceUnits[[#This Row],[cv_2026]]/10^6</f>
        <v>0</v>
      </c>
      <c r="V41" s="62" cm="1">
        <f t="array" ref="V41">INDEX(tblPrices[cv_2027], MATCH(tblByteDanceUnits[[#This Row],[Products]],tblPrices[Products],0), 0)* tblByteDanceUnits[[#This Row],[cv_2027]]/10^6</f>
        <v>0</v>
      </c>
      <c r="W41" s="62" cm="1">
        <f t="array" ref="W41">INDEX(tblPrices[cv_2028], MATCH(tblByteDanceUnits[[#This Row],[Products]],tblPrices[Products],0), 0)* tblByteDanceUnits[[#This Row],[cv_2028]]/10^6</f>
        <v>0</v>
      </c>
      <c r="X41" s="1">
        <f>VLOOKUP(A41,Products!$A$11:$F$110,6,FALSE)</f>
        <v>10</v>
      </c>
    </row>
    <row r="42" spans="1:24" s="1" customFormat="1" ht="13.15">
      <c r="A42" s="16" t="s">
        <v>158</v>
      </c>
      <c r="B42" s="36">
        <v>0</v>
      </c>
      <c r="C42" s="36">
        <v>0</v>
      </c>
      <c r="D42" s="36"/>
      <c r="E42" s="36"/>
      <c r="F42" s="36"/>
      <c r="G42" s="36"/>
      <c r="H42" s="36"/>
      <c r="I42" s="36"/>
      <c r="J42" s="36"/>
      <c r="K42" s="36"/>
      <c r="L42" s="36"/>
      <c r="M42" s="62" cm="1">
        <f t="array" ref="M42">INDEX(tblPrices[cv_2018], MATCH(tblByteDanceUnits[[#This Row],[Products]],tblPrices[Products],0), 0)* tblByteDanceUnits[[#This Row],[cv_2018]]/10^6</f>
        <v>0</v>
      </c>
      <c r="N42" s="62" cm="1">
        <f t="array" ref="N42">INDEX(tblPrices[cv_2019], MATCH(tblByteDanceUnits[[#This Row],[Products]],tblPrices[Products],0), 0)* tblByteDanceUnits[[#This Row],[cv_2019]]/10^6</f>
        <v>0</v>
      </c>
      <c r="O42" s="62" cm="1">
        <f t="array" ref="O42">INDEX(tblPrices[cv_2020], MATCH(tblByteDanceUnits[[#This Row],[Products]],tblPrices[Products],0), 0)* tblByteDanceUnits[[#This Row],[cv_2020]]/10^6</f>
        <v>0</v>
      </c>
      <c r="P42" s="62" cm="1">
        <f t="array" ref="P42">INDEX(tblPrices[cv_2021], MATCH(tblByteDanceUnits[[#This Row],[Products]],tblPrices[Products],0), 0)* tblByteDanceUnits[[#This Row],[cv_2021]]/10^6</f>
        <v>0</v>
      </c>
      <c r="Q42" s="62" cm="1">
        <f t="array" ref="Q42">INDEX(tblPrices[cv_2022], MATCH(tblByteDanceUnits[[#This Row],[Products]],tblPrices[Products],0), 0)* tblByteDanceUnits[[#This Row],[cv_2022]]/10^6</f>
        <v>0</v>
      </c>
      <c r="R42" s="62" cm="1">
        <f t="array" ref="R42">INDEX(tblPrices[cv_2023], MATCH(tblByteDanceUnits[[#This Row],[Products]],tblPrices[Products],0), 0)* tblByteDanceUnits[[#This Row],[cv_2023]]/10^6</f>
        <v>0</v>
      </c>
      <c r="S42" s="62" cm="1">
        <f t="array" ref="S42">INDEX(tblPrices[cv_2024], MATCH(tblByteDanceUnits[[#This Row],[Products]],tblPrices[Products],0), 0)* tblByteDanceUnits[[#This Row],[cv_2024]]/10^6</f>
        <v>0</v>
      </c>
      <c r="T42" s="62" cm="1">
        <f t="array" ref="T42">INDEX(tblPrices[cv_2025], MATCH(tblByteDanceUnits[[#This Row],[Products]],tblPrices[Products],0), 0)* tblByteDanceUnits[[#This Row],[cv_2025]]/10^6</f>
        <v>0</v>
      </c>
      <c r="U42" s="62" cm="1">
        <f t="array" ref="U42">INDEX(tblPrices[cv_2026], MATCH(tblByteDanceUnits[[#This Row],[Products]],tblPrices[Products],0), 0)* tblByteDanceUnits[[#This Row],[cv_2026]]/10^6</f>
        <v>0</v>
      </c>
      <c r="V42" s="62" cm="1">
        <f t="array" ref="V42">INDEX(tblPrices[cv_2027], MATCH(tblByteDanceUnits[[#This Row],[Products]],tblPrices[Products],0), 0)* tblByteDanceUnits[[#This Row],[cv_2027]]/10^6</f>
        <v>0</v>
      </c>
      <c r="W42" s="62" cm="1">
        <f t="array" ref="W42">INDEX(tblPrices[cv_2028], MATCH(tblByteDanceUnits[[#This Row],[Products]],tblPrices[Products],0), 0)* tblByteDanceUnits[[#This Row],[cv_2028]]/10^6</f>
        <v>0</v>
      </c>
      <c r="X42" s="1">
        <f>VLOOKUP(A42,Products!$A$11:$F$110,6,FALSE)</f>
        <v>10</v>
      </c>
    </row>
    <row r="43" spans="1:24" s="1" customFormat="1" ht="13.15">
      <c r="A43" s="16" t="s">
        <v>159</v>
      </c>
      <c r="B43" s="36">
        <v>0</v>
      </c>
      <c r="C43" s="36">
        <v>0</v>
      </c>
      <c r="D43" s="36"/>
      <c r="E43" s="36"/>
      <c r="F43" s="36"/>
      <c r="G43" s="36"/>
      <c r="H43" s="36"/>
      <c r="I43" s="36"/>
      <c r="J43" s="36"/>
      <c r="K43" s="36"/>
      <c r="L43" s="36"/>
      <c r="M43" s="62" cm="1">
        <f t="array" ref="M43">INDEX(tblPrices[cv_2018], MATCH(tblByteDanceUnits[[#This Row],[Products]],tblPrices[Products],0), 0)* tblByteDanceUnits[[#This Row],[cv_2018]]/10^6</f>
        <v>0</v>
      </c>
      <c r="N43" s="62" cm="1">
        <f t="array" ref="N43">INDEX(tblPrices[cv_2019], MATCH(tblByteDanceUnits[[#This Row],[Products]],tblPrices[Products],0), 0)* tblByteDanceUnits[[#This Row],[cv_2019]]/10^6</f>
        <v>0</v>
      </c>
      <c r="O43" s="62" cm="1">
        <f t="array" ref="O43">INDEX(tblPrices[cv_2020], MATCH(tblByteDanceUnits[[#This Row],[Products]],tblPrices[Products],0), 0)* tblByteDanceUnits[[#This Row],[cv_2020]]/10^6</f>
        <v>0</v>
      </c>
      <c r="P43" s="62" cm="1">
        <f t="array" ref="P43">INDEX(tblPrices[cv_2021], MATCH(tblByteDanceUnits[[#This Row],[Products]],tblPrices[Products],0), 0)* tblByteDanceUnits[[#This Row],[cv_2021]]/10^6</f>
        <v>0</v>
      </c>
      <c r="Q43" s="62" cm="1">
        <f t="array" ref="Q43">INDEX(tblPrices[cv_2022], MATCH(tblByteDanceUnits[[#This Row],[Products]],tblPrices[Products],0), 0)* tblByteDanceUnits[[#This Row],[cv_2022]]/10^6</f>
        <v>0</v>
      </c>
      <c r="R43" s="62" cm="1">
        <f t="array" ref="R43">INDEX(tblPrices[cv_2023], MATCH(tblByteDanceUnits[[#This Row],[Products]],tblPrices[Products],0), 0)* tblByteDanceUnits[[#This Row],[cv_2023]]/10^6</f>
        <v>0</v>
      </c>
      <c r="S43" s="62" cm="1">
        <f t="array" ref="S43">INDEX(tblPrices[cv_2024], MATCH(tblByteDanceUnits[[#This Row],[Products]],tblPrices[Products],0), 0)* tblByteDanceUnits[[#This Row],[cv_2024]]/10^6</f>
        <v>0</v>
      </c>
      <c r="T43" s="62" cm="1">
        <f t="array" ref="T43">INDEX(tblPrices[cv_2025], MATCH(tblByteDanceUnits[[#This Row],[Products]],tblPrices[Products],0), 0)* tblByteDanceUnits[[#This Row],[cv_2025]]/10^6</f>
        <v>0</v>
      </c>
      <c r="U43" s="62" cm="1">
        <f t="array" ref="U43">INDEX(tblPrices[cv_2026], MATCH(tblByteDanceUnits[[#This Row],[Products]],tblPrices[Products],0), 0)* tblByteDanceUnits[[#This Row],[cv_2026]]/10^6</f>
        <v>0</v>
      </c>
      <c r="V43" s="62" cm="1">
        <f t="array" ref="V43">INDEX(tblPrices[cv_2027], MATCH(tblByteDanceUnits[[#This Row],[Products]],tblPrices[Products],0), 0)* tblByteDanceUnits[[#This Row],[cv_2027]]/10^6</f>
        <v>0</v>
      </c>
      <c r="W43" s="62" cm="1">
        <f t="array" ref="W43">INDEX(tblPrices[cv_2028], MATCH(tblByteDanceUnits[[#This Row],[Products]],tblPrices[Products],0), 0)* tblByteDanceUnits[[#This Row],[cv_2028]]/10^6</f>
        <v>0</v>
      </c>
      <c r="X43" s="1">
        <f>VLOOKUP(A43,Products!$A$11:$F$110,6,FALSE)</f>
        <v>10</v>
      </c>
    </row>
    <row r="44" spans="1:24" s="1" customFormat="1" ht="13.15">
      <c r="A44" s="9" t="s">
        <v>0</v>
      </c>
      <c r="B44" s="8">
        <v>70222.74745000001</v>
      </c>
      <c r="C44" s="8">
        <v>52632.766699999993</v>
      </c>
      <c r="D44" s="8"/>
      <c r="E44" s="8"/>
      <c r="F44" s="8"/>
      <c r="G44" s="8"/>
      <c r="H44" s="8"/>
      <c r="I44" s="8"/>
      <c r="J44" s="8"/>
      <c r="K44" s="8"/>
      <c r="L44" s="8"/>
      <c r="M44" s="62" cm="1">
        <f t="array" ref="M44">INDEX(tblPrices[cv_2018], MATCH(tblByteDanceUnits[[#This Row],[Products]],tblPrices[Products],0), 0)* tblByteDanceUnits[[#This Row],[cv_2018]]/10^6</f>
        <v>4.1192849421862929</v>
      </c>
      <c r="N44" s="62" cm="1">
        <f t="array" ref="N44">INDEX(tblPrices[cv_2019], MATCH(tblByteDanceUnits[[#This Row],[Products]],tblPrices[Products],0), 0)* tblByteDanceUnits[[#This Row],[cv_2019]]/10^6</f>
        <v>2.4275344413214279</v>
      </c>
      <c r="O44" s="62" cm="1">
        <f t="array" ref="O44">INDEX(tblPrices[cv_2020], MATCH(tblByteDanceUnits[[#This Row],[Products]],tblPrices[Products],0), 0)* tblByteDanceUnits[[#This Row],[cv_2020]]/10^6</f>
        <v>0</v>
      </c>
      <c r="P44" s="62" cm="1">
        <f t="array" ref="P44">INDEX(tblPrices[cv_2021], MATCH(tblByteDanceUnits[[#This Row],[Products]],tblPrices[Products],0), 0)* tblByteDanceUnits[[#This Row],[cv_2021]]/10^6</f>
        <v>0</v>
      </c>
      <c r="Q44" s="62" cm="1">
        <f t="array" ref="Q44">INDEX(tblPrices[cv_2022], MATCH(tblByteDanceUnits[[#This Row],[Products]],tblPrices[Products],0), 0)* tblByteDanceUnits[[#This Row],[cv_2022]]/10^6</f>
        <v>0</v>
      </c>
      <c r="R44" s="62" cm="1">
        <f t="array" ref="R44">INDEX(tblPrices[cv_2023], MATCH(tblByteDanceUnits[[#This Row],[Products]],tblPrices[Products],0), 0)* tblByteDanceUnits[[#This Row],[cv_2023]]/10^6</f>
        <v>0</v>
      </c>
      <c r="S44" s="62" cm="1">
        <f t="array" ref="S44">INDEX(tblPrices[cv_2024], MATCH(tblByteDanceUnits[[#This Row],[Products]],tblPrices[Products],0), 0)* tblByteDanceUnits[[#This Row],[cv_2024]]/10^6</f>
        <v>0</v>
      </c>
      <c r="T44" s="62" cm="1">
        <f t="array" ref="T44">INDEX(tblPrices[cv_2025], MATCH(tblByteDanceUnits[[#This Row],[Products]],tblPrices[Products],0), 0)* tblByteDanceUnits[[#This Row],[cv_2025]]/10^6</f>
        <v>0</v>
      </c>
      <c r="U44" s="62" cm="1">
        <f t="array" ref="U44">INDEX(tblPrices[cv_2026], MATCH(tblByteDanceUnits[[#This Row],[Products]],tblPrices[Products],0), 0)* tblByteDanceUnits[[#This Row],[cv_2026]]/10^6</f>
        <v>0</v>
      </c>
      <c r="V44" s="62" cm="1">
        <f t="array" ref="V44">INDEX(tblPrices[cv_2027], MATCH(tblByteDanceUnits[[#This Row],[Products]],tblPrices[Products],0), 0)* tblByteDanceUnits[[#This Row],[cv_2027]]/10^6</f>
        <v>0</v>
      </c>
      <c r="W44" s="62" cm="1">
        <f t="array" ref="W44">INDEX(tblPrices[cv_2028], MATCH(tblByteDanceUnits[[#This Row],[Products]],tblPrices[Products],0), 0)* tblByteDanceUnits[[#This Row],[cv_2028]]/10^6</f>
        <v>0</v>
      </c>
      <c r="X44" s="1">
        <f>VLOOKUP(A44,Products!$A$29:$F$110,6,FALSE)</f>
        <v>40</v>
      </c>
    </row>
    <row r="45" spans="1:24" s="1" customFormat="1" ht="13.15">
      <c r="A45" s="9" t="s">
        <v>1</v>
      </c>
      <c r="B45" s="8">
        <v>35896.9977</v>
      </c>
      <c r="C45" s="8">
        <v>23459.758600000001</v>
      </c>
      <c r="D45" s="8"/>
      <c r="E45" s="8"/>
      <c r="F45" s="8"/>
      <c r="G45" s="8"/>
      <c r="H45" s="8"/>
      <c r="I45" s="8"/>
      <c r="J45" s="8"/>
      <c r="K45" s="8"/>
      <c r="L45" s="8"/>
      <c r="M45" s="62" cm="1">
        <f t="array" ref="M45">INDEX(tblPrices[cv_2018], MATCH(tblByteDanceUnits[[#This Row],[Products]],tblPrices[Products],0), 0)* tblByteDanceUnits[[#This Row],[cv_2018]]/10^6</f>
        <v>2.2920563473810511</v>
      </c>
      <c r="N45" s="62" cm="1">
        <f t="array" ref="N45">INDEX(tblPrices[cv_2019], MATCH(tblByteDanceUnits[[#This Row],[Products]],tblPrices[Products],0), 0)* tblByteDanceUnits[[#This Row],[cv_2019]]/10^6</f>
        <v>1.4555973460999998</v>
      </c>
      <c r="O45" s="62" cm="1">
        <f t="array" ref="O45">INDEX(tblPrices[cv_2020], MATCH(tblByteDanceUnits[[#This Row],[Products]],tblPrices[Products],0), 0)* tblByteDanceUnits[[#This Row],[cv_2020]]/10^6</f>
        <v>0</v>
      </c>
      <c r="P45" s="62" cm="1">
        <f t="array" ref="P45">INDEX(tblPrices[cv_2021], MATCH(tblByteDanceUnits[[#This Row],[Products]],tblPrices[Products],0), 0)* tblByteDanceUnits[[#This Row],[cv_2021]]/10^6</f>
        <v>0</v>
      </c>
      <c r="Q45" s="62" cm="1">
        <f t="array" ref="Q45">INDEX(tblPrices[cv_2022], MATCH(tblByteDanceUnits[[#This Row],[Products]],tblPrices[Products],0), 0)* tblByteDanceUnits[[#This Row],[cv_2022]]/10^6</f>
        <v>0</v>
      </c>
      <c r="R45" s="62" cm="1">
        <f t="array" ref="R45">INDEX(tblPrices[cv_2023], MATCH(tblByteDanceUnits[[#This Row],[Products]],tblPrices[Products],0), 0)* tblByteDanceUnits[[#This Row],[cv_2023]]/10^6</f>
        <v>0</v>
      </c>
      <c r="S45" s="62" cm="1">
        <f t="array" ref="S45">INDEX(tblPrices[cv_2024], MATCH(tblByteDanceUnits[[#This Row],[Products]],tblPrices[Products],0), 0)* tblByteDanceUnits[[#This Row],[cv_2024]]/10^6</f>
        <v>0</v>
      </c>
      <c r="T45" s="62" cm="1">
        <f t="array" ref="T45">INDEX(tblPrices[cv_2025], MATCH(tblByteDanceUnits[[#This Row],[Products]],tblPrices[Products],0), 0)* tblByteDanceUnits[[#This Row],[cv_2025]]/10^6</f>
        <v>0</v>
      </c>
      <c r="U45" s="62" cm="1">
        <f t="array" ref="U45">INDEX(tblPrices[cv_2026], MATCH(tblByteDanceUnits[[#This Row],[Products]],tblPrices[Products],0), 0)* tblByteDanceUnits[[#This Row],[cv_2026]]/10^6</f>
        <v>0</v>
      </c>
      <c r="V45" s="62" cm="1">
        <f t="array" ref="V45">INDEX(tblPrices[cv_2027], MATCH(tblByteDanceUnits[[#This Row],[Products]],tblPrices[Products],0), 0)* tblByteDanceUnits[[#This Row],[cv_2027]]/10^6</f>
        <v>0</v>
      </c>
      <c r="W45" s="62" cm="1">
        <f t="array" ref="W45">INDEX(tblPrices[cv_2028], MATCH(tblByteDanceUnits[[#This Row],[Products]],tblPrices[Products],0), 0)* tblByteDanceUnits[[#This Row],[cv_2028]]/10^6</f>
        <v>0</v>
      </c>
      <c r="X45" s="1">
        <f>VLOOKUP(A45,Products!$A$29:$F$110,6,FALSE)</f>
        <v>40</v>
      </c>
    </row>
    <row r="46" spans="1:24" s="1" customFormat="1" ht="13.15">
      <c r="A46" s="9" t="s">
        <v>2</v>
      </c>
      <c r="B46" s="8">
        <v>3995.7686999999992</v>
      </c>
      <c r="C46" s="8">
        <v>9628.1564999999991</v>
      </c>
      <c r="D46" s="8"/>
      <c r="E46" s="8"/>
      <c r="F46" s="8"/>
      <c r="G46" s="8"/>
      <c r="H46" s="8"/>
      <c r="I46" s="8"/>
      <c r="J46" s="8"/>
      <c r="K46" s="8"/>
      <c r="L46" s="8"/>
      <c r="M46" s="62" cm="1">
        <f t="array" ref="M46">INDEX(tblPrices[cv_2018], MATCH(tblByteDanceUnits[[#This Row],[Products]],tblPrices[Products],0), 0)* tblByteDanceUnits[[#This Row],[cv_2018]]/10^6</f>
        <v>1.2134597198219998</v>
      </c>
      <c r="N46" s="62" cm="1">
        <f t="array" ref="N46">INDEX(tblPrices[cv_2019], MATCH(tblByteDanceUnits[[#This Row],[Products]],tblPrices[Products],0), 0)* tblByteDanceUnits[[#This Row],[cv_2019]]/10^6</f>
        <v>2.4400779205494914</v>
      </c>
      <c r="O46" s="62" cm="1">
        <f t="array" ref="O46">INDEX(tblPrices[cv_2020], MATCH(tblByteDanceUnits[[#This Row],[Products]],tblPrices[Products],0), 0)* tblByteDanceUnits[[#This Row],[cv_2020]]/10^6</f>
        <v>0</v>
      </c>
      <c r="P46" s="62" cm="1">
        <f t="array" ref="P46">INDEX(tblPrices[cv_2021], MATCH(tblByteDanceUnits[[#This Row],[Products]],tblPrices[Products],0), 0)* tblByteDanceUnits[[#This Row],[cv_2021]]/10^6</f>
        <v>0</v>
      </c>
      <c r="Q46" s="62" cm="1">
        <f t="array" ref="Q46">INDEX(tblPrices[cv_2022], MATCH(tblByteDanceUnits[[#This Row],[Products]],tblPrices[Products],0), 0)* tblByteDanceUnits[[#This Row],[cv_2022]]/10^6</f>
        <v>0</v>
      </c>
      <c r="R46" s="62" cm="1">
        <f t="array" ref="R46">INDEX(tblPrices[cv_2023], MATCH(tblByteDanceUnits[[#This Row],[Products]],tblPrices[Products],0), 0)* tblByteDanceUnits[[#This Row],[cv_2023]]/10^6</f>
        <v>0</v>
      </c>
      <c r="S46" s="62" cm="1">
        <f t="array" ref="S46">INDEX(tblPrices[cv_2024], MATCH(tblByteDanceUnits[[#This Row],[Products]],tblPrices[Products],0), 0)* tblByteDanceUnits[[#This Row],[cv_2024]]/10^6</f>
        <v>0</v>
      </c>
      <c r="T46" s="62" cm="1">
        <f t="array" ref="T46">INDEX(tblPrices[cv_2025], MATCH(tblByteDanceUnits[[#This Row],[Products]],tblPrices[Products],0), 0)* tblByteDanceUnits[[#This Row],[cv_2025]]/10^6</f>
        <v>0</v>
      </c>
      <c r="U46" s="62" cm="1">
        <f t="array" ref="U46">INDEX(tblPrices[cv_2026], MATCH(tblByteDanceUnits[[#This Row],[Products]],tblPrices[Products],0), 0)* tblByteDanceUnits[[#This Row],[cv_2026]]/10^6</f>
        <v>0</v>
      </c>
      <c r="V46" s="62" cm="1">
        <f t="array" ref="V46">INDEX(tblPrices[cv_2027], MATCH(tblByteDanceUnits[[#This Row],[Products]],tblPrices[Products],0), 0)* tblByteDanceUnits[[#This Row],[cv_2027]]/10^6</f>
        <v>0</v>
      </c>
      <c r="W46" s="62" cm="1">
        <f t="array" ref="W46">INDEX(tblPrices[cv_2028], MATCH(tblByteDanceUnits[[#This Row],[Products]],tblPrices[Products],0), 0)* tblByteDanceUnits[[#This Row],[cv_2028]]/10^6</f>
        <v>0</v>
      </c>
      <c r="X46" s="1">
        <f>VLOOKUP(A46,Products!$A$29:$F$110,6,FALSE)</f>
        <v>40</v>
      </c>
    </row>
    <row r="47" spans="1:24" s="1" customFormat="1" ht="13.15">
      <c r="A47" s="9" t="s">
        <v>3</v>
      </c>
      <c r="B47" s="8">
        <v>28191.247155000001</v>
      </c>
      <c r="C47" s="8">
        <v>87473.848704000004</v>
      </c>
      <c r="D47" s="8"/>
      <c r="E47" s="8"/>
      <c r="F47" s="8"/>
      <c r="G47" s="8"/>
      <c r="H47" s="8"/>
      <c r="I47" s="8"/>
      <c r="J47" s="8"/>
      <c r="K47" s="8"/>
      <c r="L47" s="8"/>
      <c r="M47" s="62" cm="1">
        <f t="array" ref="M47">INDEX(tblPrices[cv_2018], MATCH(tblByteDanceUnits[[#This Row],[Products]],tblPrices[Products],0), 0)* tblByteDanceUnits[[#This Row],[cv_2018]]/10^6</f>
        <v>3.2010267431463451</v>
      </c>
      <c r="N47" s="62" cm="1">
        <f t="array" ref="N47">INDEX(tblPrices[cv_2019], MATCH(tblByteDanceUnits[[#This Row],[Products]],tblPrices[Products],0), 0)* tblByteDanceUnits[[#This Row],[cv_2019]]/10^6</f>
        <v>7.4344567413101714</v>
      </c>
      <c r="O47" s="62" cm="1">
        <f t="array" ref="O47">INDEX(tblPrices[cv_2020], MATCH(tblByteDanceUnits[[#This Row],[Products]],tblPrices[Products],0), 0)* tblByteDanceUnits[[#This Row],[cv_2020]]/10^6</f>
        <v>0</v>
      </c>
      <c r="P47" s="62" cm="1">
        <f t="array" ref="P47">INDEX(tblPrices[cv_2021], MATCH(tblByteDanceUnits[[#This Row],[Products]],tblPrices[Products],0), 0)* tblByteDanceUnits[[#This Row],[cv_2021]]/10^6</f>
        <v>0</v>
      </c>
      <c r="Q47" s="62" cm="1">
        <f t="array" ref="Q47">INDEX(tblPrices[cv_2022], MATCH(tblByteDanceUnits[[#This Row],[Products]],tblPrices[Products],0), 0)* tblByteDanceUnits[[#This Row],[cv_2022]]/10^6</f>
        <v>0</v>
      </c>
      <c r="R47" s="62" cm="1">
        <f t="array" ref="R47">INDEX(tblPrices[cv_2023], MATCH(tblByteDanceUnits[[#This Row],[Products]],tblPrices[Products],0), 0)* tblByteDanceUnits[[#This Row],[cv_2023]]/10^6</f>
        <v>0</v>
      </c>
      <c r="S47" s="62" cm="1">
        <f t="array" ref="S47">INDEX(tblPrices[cv_2024], MATCH(tblByteDanceUnits[[#This Row],[Products]],tblPrices[Products],0), 0)* tblByteDanceUnits[[#This Row],[cv_2024]]/10^6</f>
        <v>0</v>
      </c>
      <c r="T47" s="62" cm="1">
        <f t="array" ref="T47">INDEX(tblPrices[cv_2025], MATCH(tblByteDanceUnits[[#This Row],[Products]],tblPrices[Products],0), 0)* tblByteDanceUnits[[#This Row],[cv_2025]]/10^6</f>
        <v>0</v>
      </c>
      <c r="U47" s="62" cm="1">
        <f t="array" ref="U47">INDEX(tblPrices[cv_2026], MATCH(tblByteDanceUnits[[#This Row],[Products]],tblPrices[Products],0), 0)* tblByteDanceUnits[[#This Row],[cv_2026]]/10^6</f>
        <v>0</v>
      </c>
      <c r="V47" s="62" cm="1">
        <f t="array" ref="V47">INDEX(tblPrices[cv_2027], MATCH(tblByteDanceUnits[[#This Row],[Products]],tblPrices[Products],0), 0)* tblByteDanceUnits[[#This Row],[cv_2027]]/10^6</f>
        <v>0</v>
      </c>
      <c r="W47" s="62" cm="1">
        <f t="array" ref="W47">INDEX(tblPrices[cv_2028], MATCH(tblByteDanceUnits[[#This Row],[Products]],tblPrices[Products],0), 0)* tblByteDanceUnits[[#This Row],[cv_2028]]/10^6</f>
        <v>0</v>
      </c>
      <c r="X47" s="1">
        <f>VLOOKUP(A47,Products!$A$29:$F$110,6,FALSE)</f>
        <v>100</v>
      </c>
    </row>
    <row r="48" spans="1:24" s="1" customFormat="1" ht="13.15">
      <c r="A48" s="9" t="s">
        <v>4</v>
      </c>
      <c r="B48" s="8">
        <v>162.26999999999998</v>
      </c>
      <c r="C48" s="8">
        <v>957.21600000000012</v>
      </c>
      <c r="D48" s="8"/>
      <c r="E48" s="8"/>
      <c r="F48" s="8"/>
      <c r="G48" s="8"/>
      <c r="H48" s="8"/>
      <c r="I48" s="8"/>
      <c r="J48" s="8"/>
      <c r="K48" s="8"/>
      <c r="L48" s="8"/>
      <c r="M48" s="62" cm="1">
        <f t="array" ref="M48">INDEX(tblPrices[cv_2018], MATCH(tblByteDanceUnits[[#This Row],[Products]],tblPrices[Products],0), 0)* tblByteDanceUnits[[#This Row],[cv_2018]]/10^6</f>
        <v>2.7585899999999997E-2</v>
      </c>
      <c r="N48" s="62" cm="1">
        <f t="array" ref="N48">INDEX(tblPrices[cv_2019], MATCH(tblByteDanceUnits[[#This Row],[Products]],tblPrices[Products],0), 0)* tblByteDanceUnits[[#This Row],[cv_2019]]/10^6</f>
        <v>0.11965200000000001</v>
      </c>
      <c r="O48" s="62" cm="1">
        <f t="array" ref="O48">INDEX(tblPrices[cv_2020], MATCH(tblByteDanceUnits[[#This Row],[Products]],tblPrices[Products],0), 0)* tblByteDanceUnits[[#This Row],[cv_2020]]/10^6</f>
        <v>0</v>
      </c>
      <c r="P48" s="62" cm="1">
        <f t="array" ref="P48">INDEX(tblPrices[cv_2021], MATCH(tblByteDanceUnits[[#This Row],[Products]],tblPrices[Products],0), 0)* tblByteDanceUnits[[#This Row],[cv_2021]]/10^6</f>
        <v>0</v>
      </c>
      <c r="Q48" s="62" cm="1">
        <f t="array" ref="Q48">INDEX(tblPrices[cv_2022], MATCH(tblByteDanceUnits[[#This Row],[Products]],tblPrices[Products],0), 0)* tblByteDanceUnits[[#This Row],[cv_2022]]/10^6</f>
        <v>0</v>
      </c>
      <c r="R48" s="62" cm="1">
        <f t="array" ref="R48">INDEX(tblPrices[cv_2023], MATCH(tblByteDanceUnits[[#This Row],[Products]],tblPrices[Products],0), 0)* tblByteDanceUnits[[#This Row],[cv_2023]]/10^6</f>
        <v>0</v>
      </c>
      <c r="S48" s="62" cm="1">
        <f t="array" ref="S48">INDEX(tblPrices[cv_2024], MATCH(tblByteDanceUnits[[#This Row],[Products]],tblPrices[Products],0), 0)* tblByteDanceUnits[[#This Row],[cv_2024]]/10^6</f>
        <v>0</v>
      </c>
      <c r="T48" s="62" cm="1">
        <f t="array" ref="T48">INDEX(tblPrices[cv_2025], MATCH(tblByteDanceUnits[[#This Row],[Products]],tblPrices[Products],0), 0)* tblByteDanceUnits[[#This Row],[cv_2025]]/10^6</f>
        <v>0</v>
      </c>
      <c r="U48" s="62" cm="1">
        <f t="array" ref="U48">INDEX(tblPrices[cv_2026], MATCH(tblByteDanceUnits[[#This Row],[Products]],tblPrices[Products],0), 0)* tblByteDanceUnits[[#This Row],[cv_2026]]/10^6</f>
        <v>0</v>
      </c>
      <c r="V48" s="62" cm="1">
        <f t="array" ref="V48">INDEX(tblPrices[cv_2027], MATCH(tblByteDanceUnits[[#This Row],[Products]],tblPrices[Products],0), 0)* tblByteDanceUnits[[#This Row],[cv_2027]]/10^6</f>
        <v>0</v>
      </c>
      <c r="W48" s="62" cm="1">
        <f t="array" ref="W48">INDEX(tblPrices[cv_2028], MATCH(tblByteDanceUnits[[#This Row],[Products]],tblPrices[Products],0), 0)* tblByteDanceUnits[[#This Row],[cv_2028]]/10^6</f>
        <v>0</v>
      </c>
      <c r="X48" s="1">
        <f>VLOOKUP(A48,Products!$A$29:$F$110,6,FALSE)</f>
        <v>100</v>
      </c>
    </row>
    <row r="49" spans="1:24" s="1" customFormat="1" ht="13.15">
      <c r="A49" s="9" t="s">
        <v>5</v>
      </c>
      <c r="B49" s="8">
        <v>5813.5015083333337</v>
      </c>
      <c r="C49" s="8">
        <v>13759.514249999998</v>
      </c>
      <c r="D49" s="8"/>
      <c r="E49" s="8"/>
      <c r="F49" s="8"/>
      <c r="G49" s="8"/>
      <c r="H49" s="8"/>
      <c r="I49" s="8"/>
      <c r="J49" s="8"/>
      <c r="K49" s="8"/>
      <c r="L49" s="8"/>
      <c r="M49" s="62" cm="1">
        <f t="array" ref="M49">INDEX(tblPrices[cv_2018], MATCH(tblByteDanceUnits[[#This Row],[Products]],tblPrices[Products],0), 0)* tblByteDanceUnits[[#This Row],[cv_2018]]/10^6</f>
        <v>2.8486157390833333</v>
      </c>
      <c r="N49" s="62" cm="1">
        <f t="array" ref="N49">INDEX(tblPrices[cv_2019], MATCH(tblByteDanceUnits[[#This Row],[Products]],tblPrices[Products],0), 0)* tblByteDanceUnits[[#This Row],[cv_2019]]/10^6</f>
        <v>3.3022834199999993</v>
      </c>
      <c r="O49" s="62" cm="1">
        <f t="array" ref="O49">INDEX(tblPrices[cv_2020], MATCH(tblByteDanceUnits[[#This Row],[Products]],tblPrices[Products],0), 0)* tblByteDanceUnits[[#This Row],[cv_2020]]/10^6</f>
        <v>0</v>
      </c>
      <c r="P49" s="62" cm="1">
        <f t="array" ref="P49">INDEX(tblPrices[cv_2021], MATCH(tblByteDanceUnits[[#This Row],[Products]],tblPrices[Products],0), 0)* tblByteDanceUnits[[#This Row],[cv_2021]]/10^6</f>
        <v>0</v>
      </c>
      <c r="Q49" s="62" cm="1">
        <f t="array" ref="Q49">INDEX(tblPrices[cv_2022], MATCH(tblByteDanceUnits[[#This Row],[Products]],tblPrices[Products],0), 0)* tblByteDanceUnits[[#This Row],[cv_2022]]/10^6</f>
        <v>0</v>
      </c>
      <c r="R49" s="62" cm="1">
        <f t="array" ref="R49">INDEX(tblPrices[cv_2023], MATCH(tblByteDanceUnits[[#This Row],[Products]],tblPrices[Products],0), 0)* tblByteDanceUnits[[#This Row],[cv_2023]]/10^6</f>
        <v>0</v>
      </c>
      <c r="S49" s="62" cm="1">
        <f t="array" ref="S49">INDEX(tblPrices[cv_2024], MATCH(tblByteDanceUnits[[#This Row],[Products]],tblPrices[Products],0), 0)* tblByteDanceUnits[[#This Row],[cv_2024]]/10^6</f>
        <v>0</v>
      </c>
      <c r="T49" s="62" cm="1">
        <f t="array" ref="T49">INDEX(tblPrices[cv_2025], MATCH(tblByteDanceUnits[[#This Row],[Products]],tblPrices[Products],0), 0)* tblByteDanceUnits[[#This Row],[cv_2025]]/10^6</f>
        <v>0</v>
      </c>
      <c r="U49" s="62" cm="1">
        <f t="array" ref="U49">INDEX(tblPrices[cv_2026], MATCH(tblByteDanceUnits[[#This Row],[Products]],tblPrices[Products],0), 0)* tblByteDanceUnits[[#This Row],[cv_2026]]/10^6</f>
        <v>0</v>
      </c>
      <c r="V49" s="62" cm="1">
        <f t="array" ref="V49">INDEX(tblPrices[cv_2027], MATCH(tblByteDanceUnits[[#This Row],[Products]],tblPrices[Products],0), 0)* tblByteDanceUnits[[#This Row],[cv_2027]]/10^6</f>
        <v>0</v>
      </c>
      <c r="W49" s="62" cm="1">
        <f t="array" ref="W49">INDEX(tblPrices[cv_2028], MATCH(tblByteDanceUnits[[#This Row],[Products]],tblPrices[Products],0), 0)* tblByteDanceUnits[[#This Row],[cv_2028]]/10^6</f>
        <v>0</v>
      </c>
      <c r="X49" s="1">
        <f>VLOOKUP(A49,Products!$A$29:$F$110,6,FALSE)</f>
        <v>100</v>
      </c>
    </row>
    <row r="50" spans="1:24" s="1" customFormat="1" ht="13.15">
      <c r="A50" s="9" t="s">
        <v>6</v>
      </c>
      <c r="B50" s="8">
        <v>1798.7662701029412</v>
      </c>
      <c r="C50" s="8">
        <v>1884.7849504999997</v>
      </c>
      <c r="D50" s="8"/>
      <c r="E50" s="8"/>
      <c r="F50" s="8"/>
      <c r="G50" s="8"/>
      <c r="H50" s="8"/>
      <c r="I50" s="8"/>
      <c r="J50" s="8"/>
      <c r="K50" s="8"/>
      <c r="L50" s="8"/>
      <c r="M50" s="62" cm="1">
        <f t="array" ref="M50">INDEX(tblPrices[cv_2018], MATCH(tblByteDanceUnits[[#This Row],[Products]],tblPrices[Products],0), 0)* tblByteDanceUnits[[#This Row],[cv_2018]]/10^6</f>
        <v>1.4998703387167109</v>
      </c>
      <c r="N50" s="62" cm="1">
        <f t="array" ref="N50">INDEX(tblPrices[cv_2019], MATCH(tblByteDanceUnits[[#This Row],[Products]],tblPrices[Products],0), 0)* tblByteDanceUnits[[#This Row],[cv_2019]]/10^6</f>
        <v>0.99344599217647467</v>
      </c>
      <c r="O50" s="62" cm="1">
        <f t="array" ref="O50">INDEX(tblPrices[cv_2020], MATCH(tblByteDanceUnits[[#This Row],[Products]],tblPrices[Products],0), 0)* tblByteDanceUnits[[#This Row],[cv_2020]]/10^6</f>
        <v>0</v>
      </c>
      <c r="P50" s="62" cm="1">
        <f t="array" ref="P50">INDEX(tblPrices[cv_2021], MATCH(tblByteDanceUnits[[#This Row],[Products]],tblPrices[Products],0), 0)* tblByteDanceUnits[[#This Row],[cv_2021]]/10^6</f>
        <v>0</v>
      </c>
      <c r="Q50" s="62" cm="1">
        <f t="array" ref="Q50">INDEX(tblPrices[cv_2022], MATCH(tblByteDanceUnits[[#This Row],[Products]],tblPrices[Products],0), 0)* tblByteDanceUnits[[#This Row],[cv_2022]]/10^6</f>
        <v>0</v>
      </c>
      <c r="R50" s="62" cm="1">
        <f t="array" ref="R50">INDEX(tblPrices[cv_2023], MATCH(tblByteDanceUnits[[#This Row],[Products]],tblPrices[Products],0), 0)* tblByteDanceUnits[[#This Row],[cv_2023]]/10^6</f>
        <v>0</v>
      </c>
      <c r="S50" s="62" cm="1">
        <f t="array" ref="S50">INDEX(tblPrices[cv_2024], MATCH(tblByteDanceUnits[[#This Row],[Products]],tblPrices[Products],0), 0)* tblByteDanceUnits[[#This Row],[cv_2024]]/10^6</f>
        <v>0</v>
      </c>
      <c r="T50" s="62" cm="1">
        <f t="array" ref="T50">INDEX(tblPrices[cv_2025], MATCH(tblByteDanceUnits[[#This Row],[Products]],tblPrices[Products],0), 0)* tblByteDanceUnits[[#This Row],[cv_2025]]/10^6</f>
        <v>0</v>
      </c>
      <c r="U50" s="62" cm="1">
        <f t="array" ref="U50">INDEX(tblPrices[cv_2026], MATCH(tblByteDanceUnits[[#This Row],[Products]],tblPrices[Products],0), 0)* tblByteDanceUnits[[#This Row],[cv_2026]]/10^6</f>
        <v>0</v>
      </c>
      <c r="V50" s="62" cm="1">
        <f t="array" ref="V50">INDEX(tblPrices[cv_2027], MATCH(tblByteDanceUnits[[#This Row],[Products]],tblPrices[Products],0), 0)* tblByteDanceUnits[[#This Row],[cv_2027]]/10^6</f>
        <v>0</v>
      </c>
      <c r="W50" s="62" cm="1">
        <f t="array" ref="W50">INDEX(tblPrices[cv_2028], MATCH(tblByteDanceUnits[[#This Row],[Products]],tblPrices[Products],0), 0)* tblByteDanceUnits[[#This Row],[cv_2028]]/10^6</f>
        <v>0</v>
      </c>
      <c r="X50" s="1">
        <f>VLOOKUP(A50,Products!$A$29:$F$110,6,FALSE)</f>
        <v>100</v>
      </c>
    </row>
    <row r="51" spans="1:24" s="1" customFormat="1" ht="13.15">
      <c r="A51" s="9" t="s">
        <v>7</v>
      </c>
      <c r="B51" s="8">
        <v>264.00000000000006</v>
      </c>
      <c r="C51" s="8">
        <v>344.54352000000006</v>
      </c>
      <c r="D51" s="8"/>
      <c r="E51" s="8"/>
      <c r="F51" s="8"/>
      <c r="G51" s="8"/>
      <c r="H51" s="8"/>
      <c r="I51" s="8"/>
      <c r="J51" s="8"/>
      <c r="K51" s="8"/>
      <c r="L51" s="8"/>
      <c r="M51" s="62" cm="1">
        <f t="array" ref="M51">INDEX(tblPrices[cv_2018], MATCH(tblByteDanceUnits[[#This Row],[Products]],tblPrices[Products],0), 0)* tblByteDanceUnits[[#This Row],[cv_2018]]/10^6</f>
        <v>7.920000000000002E-2</v>
      </c>
      <c r="N51" s="62" cm="1">
        <f t="array" ref="N51">INDEX(tblPrices[cv_2019], MATCH(tblByteDanceUnits[[#This Row],[Products]],tblPrices[Products],0), 0)* tblByteDanceUnits[[#This Row],[cv_2019]]/10^6</f>
        <v>7.1051262854126163E-2</v>
      </c>
      <c r="O51" s="62" cm="1">
        <f t="array" ref="O51">INDEX(tblPrices[cv_2020], MATCH(tblByteDanceUnits[[#This Row],[Products]],tblPrices[Products],0), 0)* tblByteDanceUnits[[#This Row],[cv_2020]]/10^6</f>
        <v>0</v>
      </c>
      <c r="P51" s="62" cm="1">
        <f t="array" ref="P51">INDEX(tblPrices[cv_2021], MATCH(tblByteDanceUnits[[#This Row],[Products]],tblPrices[Products],0), 0)* tblByteDanceUnits[[#This Row],[cv_2021]]/10^6</f>
        <v>0</v>
      </c>
      <c r="Q51" s="62" cm="1">
        <f t="array" ref="Q51">INDEX(tblPrices[cv_2022], MATCH(tblByteDanceUnits[[#This Row],[Products]],tblPrices[Products],0), 0)* tblByteDanceUnits[[#This Row],[cv_2022]]/10^6</f>
        <v>0</v>
      </c>
      <c r="R51" s="62" cm="1">
        <f t="array" ref="R51">INDEX(tblPrices[cv_2023], MATCH(tblByteDanceUnits[[#This Row],[Products]],tblPrices[Products],0), 0)* tblByteDanceUnits[[#This Row],[cv_2023]]/10^6</f>
        <v>0</v>
      </c>
      <c r="S51" s="62" cm="1">
        <f t="array" ref="S51">INDEX(tblPrices[cv_2024], MATCH(tblByteDanceUnits[[#This Row],[Products]],tblPrices[Products],0), 0)* tblByteDanceUnits[[#This Row],[cv_2024]]/10^6</f>
        <v>0</v>
      </c>
      <c r="T51" s="62" cm="1">
        <f t="array" ref="T51">INDEX(tblPrices[cv_2025], MATCH(tblByteDanceUnits[[#This Row],[Products]],tblPrices[Products],0), 0)* tblByteDanceUnits[[#This Row],[cv_2025]]/10^6</f>
        <v>0</v>
      </c>
      <c r="U51" s="62" cm="1">
        <f t="array" ref="U51">INDEX(tblPrices[cv_2026], MATCH(tblByteDanceUnits[[#This Row],[Products]],tblPrices[Products],0), 0)* tblByteDanceUnits[[#This Row],[cv_2026]]/10^6</f>
        <v>0</v>
      </c>
      <c r="V51" s="62" cm="1">
        <f t="array" ref="V51">INDEX(tblPrices[cv_2027], MATCH(tblByteDanceUnits[[#This Row],[Products]],tblPrices[Products],0), 0)* tblByteDanceUnits[[#This Row],[cv_2027]]/10^6</f>
        <v>0</v>
      </c>
      <c r="W51" s="62" cm="1">
        <f t="array" ref="W51">INDEX(tblPrices[cv_2028], MATCH(tblByteDanceUnits[[#This Row],[Products]],tblPrices[Products],0), 0)* tblByteDanceUnits[[#This Row],[cv_2028]]/10^6</f>
        <v>0</v>
      </c>
      <c r="X51" s="1">
        <f>VLOOKUP(A51,Products!$A$29:$F$110,6,FALSE)</f>
        <v>100</v>
      </c>
    </row>
    <row r="52" spans="1:24" s="1" customFormat="1" ht="13.15">
      <c r="A52" s="9" t="s">
        <v>8</v>
      </c>
      <c r="B52" s="8">
        <v>0</v>
      </c>
      <c r="C52" s="8">
        <v>32.711999999999996</v>
      </c>
      <c r="D52" s="8"/>
      <c r="E52" s="8"/>
      <c r="F52" s="8"/>
      <c r="G52" s="8"/>
      <c r="H52" s="8"/>
      <c r="I52" s="8"/>
      <c r="J52" s="8"/>
      <c r="K52" s="8"/>
      <c r="L52" s="8"/>
      <c r="M52" s="62" cm="1">
        <f t="array" ref="M52">INDEX(tblPrices[cv_2018], MATCH(tblByteDanceUnits[[#This Row],[Products]],tblPrices[Products],0), 0)* tblByteDanceUnits[[#This Row],[cv_2018]]/10^6</f>
        <v>0</v>
      </c>
      <c r="N52" s="62" cm="1">
        <f t="array" ref="N52">INDEX(tblPrices[cv_2019], MATCH(tblByteDanceUnits[[#This Row],[Products]],tblPrices[Products],0), 0)* tblByteDanceUnits[[#This Row],[cv_2019]]/10^6</f>
        <v>5.5860487998590266E-2</v>
      </c>
      <c r="O52" s="62" cm="1">
        <f t="array" ref="O52">INDEX(tblPrices[cv_2020], MATCH(tblByteDanceUnits[[#This Row],[Products]],tblPrices[Products],0), 0)* tblByteDanceUnits[[#This Row],[cv_2020]]/10^6</f>
        <v>0</v>
      </c>
      <c r="P52" s="62" cm="1">
        <f t="array" ref="P52">INDEX(tblPrices[cv_2021], MATCH(tblByteDanceUnits[[#This Row],[Products]],tblPrices[Products],0), 0)* tblByteDanceUnits[[#This Row],[cv_2021]]/10^6</f>
        <v>0</v>
      </c>
      <c r="Q52" s="62" cm="1">
        <f t="array" ref="Q52">INDEX(tblPrices[cv_2022], MATCH(tblByteDanceUnits[[#This Row],[Products]],tblPrices[Products],0), 0)* tblByteDanceUnits[[#This Row],[cv_2022]]/10^6</f>
        <v>0</v>
      </c>
      <c r="R52" s="62" cm="1">
        <f t="array" ref="R52">INDEX(tblPrices[cv_2023], MATCH(tblByteDanceUnits[[#This Row],[Products]],tblPrices[Products],0), 0)* tblByteDanceUnits[[#This Row],[cv_2023]]/10^6</f>
        <v>0</v>
      </c>
      <c r="S52" s="62" cm="1">
        <f t="array" ref="S52">INDEX(tblPrices[cv_2024], MATCH(tblByteDanceUnits[[#This Row],[Products]],tblPrices[Products],0), 0)* tblByteDanceUnits[[#This Row],[cv_2024]]/10^6</f>
        <v>0</v>
      </c>
      <c r="T52" s="62" cm="1">
        <f t="array" ref="T52">INDEX(tblPrices[cv_2025], MATCH(tblByteDanceUnits[[#This Row],[Products]],tblPrices[Products],0), 0)* tblByteDanceUnits[[#This Row],[cv_2025]]/10^6</f>
        <v>0</v>
      </c>
      <c r="U52" s="62" cm="1">
        <f t="array" ref="U52">INDEX(tblPrices[cv_2026], MATCH(tblByteDanceUnits[[#This Row],[Products]],tblPrices[Products],0), 0)* tblByteDanceUnits[[#This Row],[cv_2026]]/10^6</f>
        <v>0</v>
      </c>
      <c r="V52" s="62" cm="1">
        <f t="array" ref="V52">INDEX(tblPrices[cv_2027], MATCH(tblByteDanceUnits[[#This Row],[Products]],tblPrices[Products],0), 0)* tblByteDanceUnits[[#This Row],[cv_2027]]/10^6</f>
        <v>0</v>
      </c>
      <c r="W52" s="62" cm="1">
        <f t="array" ref="W52">INDEX(tblPrices[cv_2028], MATCH(tblByteDanceUnits[[#This Row],[Products]],tblPrices[Products],0), 0)* tblByteDanceUnits[[#This Row],[cv_2028]]/10^6</f>
        <v>0</v>
      </c>
      <c r="X52" s="1">
        <f>VLOOKUP(A52,Products!$A$29:$F$110,6,FALSE)</f>
        <v>100</v>
      </c>
    </row>
    <row r="53" spans="1:24" s="1" customFormat="1" ht="13.15">
      <c r="A53" s="9" t="s">
        <v>44</v>
      </c>
      <c r="B53" s="8">
        <v>0</v>
      </c>
      <c r="C53" s="8">
        <v>0</v>
      </c>
      <c r="D53" s="8"/>
      <c r="E53" s="8"/>
      <c r="F53" s="8"/>
      <c r="G53" s="8"/>
      <c r="H53" s="8"/>
      <c r="I53" s="8"/>
      <c r="J53" s="8"/>
      <c r="K53" s="8"/>
      <c r="L53" s="8"/>
      <c r="M53" s="62" cm="1">
        <f t="array" ref="M53">INDEX(tblPrices[cv_2018], MATCH(tblByteDanceUnits[[#This Row],[Products]],tblPrices[Products],0), 0)* tblByteDanceUnits[[#This Row],[cv_2018]]/10^6</f>
        <v>0</v>
      </c>
      <c r="N53" s="62" cm="1">
        <f t="array" ref="N53">INDEX(tblPrices[cv_2019], MATCH(tblByteDanceUnits[[#This Row],[Products]],tblPrices[Products],0), 0)* tblByteDanceUnits[[#This Row],[cv_2019]]/10^6</f>
        <v>0</v>
      </c>
      <c r="O53" s="62" cm="1">
        <f t="array" ref="O53">INDEX(tblPrices[cv_2020], MATCH(tblByteDanceUnits[[#This Row],[Products]],tblPrices[Products],0), 0)* tblByteDanceUnits[[#This Row],[cv_2020]]/10^6</f>
        <v>0</v>
      </c>
      <c r="P53" s="62" cm="1">
        <f t="array" ref="P53">INDEX(tblPrices[cv_2021], MATCH(tblByteDanceUnits[[#This Row],[Products]],tblPrices[Products],0), 0)* tblByteDanceUnits[[#This Row],[cv_2021]]/10^6</f>
        <v>0</v>
      </c>
      <c r="Q53" s="62" cm="1">
        <f t="array" ref="Q53">INDEX(tblPrices[cv_2022], MATCH(tblByteDanceUnits[[#This Row],[Products]],tblPrices[Products],0), 0)* tblByteDanceUnits[[#This Row],[cv_2022]]/10^6</f>
        <v>0</v>
      </c>
      <c r="R53" s="62" cm="1">
        <f t="array" ref="R53">INDEX(tblPrices[cv_2023], MATCH(tblByteDanceUnits[[#This Row],[Products]],tblPrices[Products],0), 0)* tblByteDanceUnits[[#This Row],[cv_2023]]/10^6</f>
        <v>0</v>
      </c>
      <c r="S53" s="62" cm="1">
        <f t="array" ref="S53">INDEX(tblPrices[cv_2024], MATCH(tblByteDanceUnits[[#This Row],[Products]],tblPrices[Products],0), 0)* tblByteDanceUnits[[#This Row],[cv_2024]]/10^6</f>
        <v>0</v>
      </c>
      <c r="T53" s="62" cm="1">
        <f t="array" ref="T53">INDEX(tblPrices[cv_2025], MATCH(tblByteDanceUnits[[#This Row],[Products]],tblPrices[Products],0), 0)* tblByteDanceUnits[[#This Row],[cv_2025]]/10^6</f>
        <v>0</v>
      </c>
      <c r="U53" s="62" cm="1">
        <f t="array" ref="U53">INDEX(tblPrices[cv_2026], MATCH(tblByteDanceUnits[[#This Row],[Products]],tblPrices[Products],0), 0)* tblByteDanceUnits[[#This Row],[cv_2026]]/10^6</f>
        <v>0</v>
      </c>
      <c r="V53" s="62" cm="1">
        <f t="array" ref="V53">INDEX(tblPrices[cv_2027], MATCH(tblByteDanceUnits[[#This Row],[Products]],tblPrices[Products],0), 0)* tblByteDanceUnits[[#This Row],[cv_2027]]/10^6</f>
        <v>0</v>
      </c>
      <c r="W53" s="62" cm="1">
        <f t="array" ref="W53">INDEX(tblPrices[cv_2028], MATCH(tblByteDanceUnits[[#This Row],[Products]],tblPrices[Products],0), 0)* tblByteDanceUnits[[#This Row],[cv_2028]]/10^6</f>
        <v>0</v>
      </c>
      <c r="X53" s="1">
        <f>VLOOKUP(A53,Products!$A$29:$F$110,6,FALSE)</f>
        <v>100</v>
      </c>
    </row>
    <row r="54" spans="1:24" s="1" customFormat="1" ht="13.15">
      <c r="A54" s="9" t="s">
        <v>45</v>
      </c>
      <c r="B54" s="8">
        <v>0</v>
      </c>
      <c r="C54" s="8">
        <v>0</v>
      </c>
      <c r="D54" s="8"/>
      <c r="E54" s="8"/>
      <c r="F54" s="8"/>
      <c r="G54" s="8"/>
      <c r="H54" s="8"/>
      <c r="I54" s="8"/>
      <c r="J54" s="8"/>
      <c r="K54" s="8"/>
      <c r="L54" s="8"/>
      <c r="M54" s="62" cm="1">
        <f t="array" ref="M54">INDEX(tblPrices[cv_2018], MATCH(tblByteDanceUnits[[#This Row],[Products]],tblPrices[Products],0), 0)* tblByteDanceUnits[[#This Row],[cv_2018]]/10^6</f>
        <v>0</v>
      </c>
      <c r="N54" s="62" cm="1">
        <f t="array" ref="N54">INDEX(tblPrices[cv_2019], MATCH(tblByteDanceUnits[[#This Row],[Products]],tblPrices[Products],0), 0)* tblByteDanceUnits[[#This Row],[cv_2019]]/10^6</f>
        <v>0</v>
      </c>
      <c r="O54" s="62" cm="1">
        <f t="array" ref="O54">INDEX(tblPrices[cv_2020], MATCH(tblByteDanceUnits[[#This Row],[Products]],tblPrices[Products],0), 0)* tblByteDanceUnits[[#This Row],[cv_2020]]/10^6</f>
        <v>0</v>
      </c>
      <c r="P54" s="62" cm="1">
        <f t="array" ref="P54">INDEX(tblPrices[cv_2021], MATCH(tblByteDanceUnits[[#This Row],[Products]],tblPrices[Products],0), 0)* tblByteDanceUnits[[#This Row],[cv_2021]]/10^6</f>
        <v>0</v>
      </c>
      <c r="Q54" s="62" cm="1">
        <f t="array" ref="Q54">INDEX(tblPrices[cv_2022], MATCH(tblByteDanceUnits[[#This Row],[Products]],tblPrices[Products],0), 0)* tblByteDanceUnits[[#This Row],[cv_2022]]/10^6</f>
        <v>0</v>
      </c>
      <c r="R54" s="62" cm="1">
        <f t="array" ref="R54">INDEX(tblPrices[cv_2023], MATCH(tblByteDanceUnits[[#This Row],[Products]],tblPrices[Products],0), 0)* tblByteDanceUnits[[#This Row],[cv_2023]]/10^6</f>
        <v>0</v>
      </c>
      <c r="S54" s="62" cm="1">
        <f t="array" ref="S54">INDEX(tblPrices[cv_2024], MATCH(tblByteDanceUnits[[#This Row],[Products]],tblPrices[Products],0), 0)* tblByteDanceUnits[[#This Row],[cv_2024]]/10^6</f>
        <v>0</v>
      </c>
      <c r="T54" s="62" cm="1">
        <f t="array" ref="T54">INDEX(tblPrices[cv_2025], MATCH(tblByteDanceUnits[[#This Row],[Products]],tblPrices[Products],0), 0)* tblByteDanceUnits[[#This Row],[cv_2025]]/10^6</f>
        <v>0</v>
      </c>
      <c r="U54" s="62" cm="1">
        <f t="array" ref="U54">INDEX(tblPrices[cv_2026], MATCH(tblByteDanceUnits[[#This Row],[Products]],tblPrices[Products],0), 0)* tblByteDanceUnits[[#This Row],[cv_2026]]/10^6</f>
        <v>0</v>
      </c>
      <c r="V54" s="62" cm="1">
        <f t="array" ref="V54">INDEX(tblPrices[cv_2027], MATCH(tblByteDanceUnits[[#This Row],[Products]],tblPrices[Products],0), 0)* tblByteDanceUnits[[#This Row],[cv_2027]]/10^6</f>
        <v>0</v>
      </c>
      <c r="W54" s="62" cm="1">
        <f t="array" ref="W54">INDEX(tblPrices[cv_2028], MATCH(tblByteDanceUnits[[#This Row],[Products]],tblPrices[Products],0), 0)* tblByteDanceUnits[[#This Row],[cv_2028]]/10^6</f>
        <v>0</v>
      </c>
      <c r="X54" s="1">
        <f>VLOOKUP(A54,Products!$A$29:$F$110,6,FALSE)</f>
        <v>100</v>
      </c>
    </row>
    <row r="55" spans="1:24" s="1" customFormat="1" ht="13.15">
      <c r="A55" s="9" t="s">
        <v>47</v>
      </c>
      <c r="B55" s="8">
        <v>0</v>
      </c>
      <c r="C55" s="8">
        <v>0</v>
      </c>
      <c r="D55" s="8"/>
      <c r="E55" s="8"/>
      <c r="F55" s="8"/>
      <c r="G55" s="8"/>
      <c r="H55" s="8"/>
      <c r="I55" s="8"/>
      <c r="J55" s="8"/>
      <c r="K55" s="8"/>
      <c r="L55" s="8"/>
      <c r="M55" s="62" cm="1">
        <f t="array" ref="M55">INDEX(tblPrices[cv_2018], MATCH(tblByteDanceUnits[[#This Row],[Products]],tblPrices[Products],0), 0)* tblByteDanceUnits[[#This Row],[cv_2018]]/10^6</f>
        <v>0</v>
      </c>
      <c r="N55" s="62" cm="1">
        <f t="array" ref="N55">INDEX(tblPrices[cv_2019], MATCH(tblByteDanceUnits[[#This Row],[Products]],tblPrices[Products],0), 0)* tblByteDanceUnits[[#This Row],[cv_2019]]/10^6</f>
        <v>0</v>
      </c>
      <c r="O55" s="62" cm="1">
        <f t="array" ref="O55">INDEX(tblPrices[cv_2020], MATCH(tblByteDanceUnits[[#This Row],[Products]],tblPrices[Products],0), 0)* tblByteDanceUnits[[#This Row],[cv_2020]]/10^6</f>
        <v>0</v>
      </c>
      <c r="P55" s="62" cm="1">
        <f t="array" ref="P55">INDEX(tblPrices[cv_2021], MATCH(tblByteDanceUnits[[#This Row],[Products]],tblPrices[Products],0), 0)* tblByteDanceUnits[[#This Row],[cv_2021]]/10^6</f>
        <v>0</v>
      </c>
      <c r="Q55" s="62" cm="1">
        <f t="array" ref="Q55">INDEX(tblPrices[cv_2022], MATCH(tblByteDanceUnits[[#This Row],[Products]],tblPrices[Products],0), 0)* tblByteDanceUnits[[#This Row],[cv_2022]]/10^6</f>
        <v>0</v>
      </c>
      <c r="R55" s="62" cm="1">
        <f t="array" ref="R55">INDEX(tblPrices[cv_2023], MATCH(tblByteDanceUnits[[#This Row],[Products]],tblPrices[Products],0), 0)* tblByteDanceUnits[[#This Row],[cv_2023]]/10^6</f>
        <v>0</v>
      </c>
      <c r="S55" s="62" cm="1">
        <f t="array" ref="S55">INDEX(tblPrices[cv_2024], MATCH(tblByteDanceUnits[[#This Row],[Products]],tblPrices[Products],0), 0)* tblByteDanceUnits[[#This Row],[cv_2024]]/10^6</f>
        <v>0</v>
      </c>
      <c r="T55" s="62" cm="1">
        <f t="array" ref="T55">INDEX(tblPrices[cv_2025], MATCH(tblByteDanceUnits[[#This Row],[Products]],tblPrices[Products],0), 0)* tblByteDanceUnits[[#This Row],[cv_2025]]/10^6</f>
        <v>0</v>
      </c>
      <c r="U55" s="62" cm="1">
        <f t="array" ref="U55">INDEX(tblPrices[cv_2026], MATCH(tblByteDanceUnits[[#This Row],[Products]],tblPrices[Products],0), 0)* tblByteDanceUnits[[#This Row],[cv_2026]]/10^6</f>
        <v>0</v>
      </c>
      <c r="V55" s="62" cm="1">
        <f t="array" ref="V55">INDEX(tblPrices[cv_2027], MATCH(tblByteDanceUnits[[#This Row],[Products]],tblPrices[Products],0), 0)* tblByteDanceUnits[[#This Row],[cv_2027]]/10^6</f>
        <v>0</v>
      </c>
      <c r="W55" s="62" cm="1">
        <f t="array" ref="W55">INDEX(tblPrices[cv_2028], MATCH(tblByteDanceUnits[[#This Row],[Products]],tblPrices[Products],0), 0)* tblByteDanceUnits[[#This Row],[cv_2028]]/10^6</f>
        <v>0</v>
      </c>
      <c r="X55" s="1">
        <f>VLOOKUP(A55,Products!$A$29:$F$110,6,FALSE)</f>
        <v>200</v>
      </c>
    </row>
    <row r="56" spans="1:24" s="1" customFormat="1" ht="13.15">
      <c r="A56" s="9" t="s">
        <v>41</v>
      </c>
      <c r="B56" s="8">
        <v>0</v>
      </c>
      <c r="C56" s="8">
        <v>0</v>
      </c>
      <c r="D56" s="8"/>
      <c r="E56" s="8"/>
      <c r="F56" s="8"/>
      <c r="G56" s="8"/>
      <c r="H56" s="8"/>
      <c r="I56" s="8"/>
      <c r="J56" s="8"/>
      <c r="K56" s="8"/>
      <c r="L56" s="8"/>
      <c r="M56" s="62" cm="1">
        <f t="array" ref="M56">INDEX(tblPrices[cv_2018], MATCH(tblByteDanceUnits[[#This Row],[Products]],tblPrices[Products],0), 0)* tblByteDanceUnits[[#This Row],[cv_2018]]/10^6</f>
        <v>0</v>
      </c>
      <c r="N56" s="62" cm="1">
        <f t="array" ref="N56">INDEX(tblPrices[cv_2019], MATCH(tblByteDanceUnits[[#This Row],[Products]],tblPrices[Products],0), 0)* tblByteDanceUnits[[#This Row],[cv_2019]]/10^6</f>
        <v>0</v>
      </c>
      <c r="O56" s="62" cm="1">
        <f t="array" ref="O56">INDEX(tblPrices[cv_2020], MATCH(tblByteDanceUnits[[#This Row],[Products]],tblPrices[Products],0), 0)* tblByteDanceUnits[[#This Row],[cv_2020]]/10^6</f>
        <v>0</v>
      </c>
      <c r="P56" s="62" cm="1">
        <f t="array" ref="P56">INDEX(tblPrices[cv_2021], MATCH(tblByteDanceUnits[[#This Row],[Products]],tblPrices[Products],0), 0)* tblByteDanceUnits[[#This Row],[cv_2021]]/10^6</f>
        <v>0</v>
      </c>
      <c r="Q56" s="62" cm="1">
        <f t="array" ref="Q56">INDEX(tblPrices[cv_2022], MATCH(tblByteDanceUnits[[#This Row],[Products]],tblPrices[Products],0), 0)* tblByteDanceUnits[[#This Row],[cv_2022]]/10^6</f>
        <v>0</v>
      </c>
      <c r="R56" s="62" cm="1">
        <f t="array" ref="R56">INDEX(tblPrices[cv_2023], MATCH(tblByteDanceUnits[[#This Row],[Products]],tblPrices[Products],0), 0)* tblByteDanceUnits[[#This Row],[cv_2023]]/10^6</f>
        <v>0</v>
      </c>
      <c r="S56" s="62" cm="1">
        <f t="array" ref="S56">INDEX(tblPrices[cv_2024], MATCH(tblByteDanceUnits[[#This Row],[Products]],tblPrices[Products],0), 0)* tblByteDanceUnits[[#This Row],[cv_2024]]/10^6</f>
        <v>0</v>
      </c>
      <c r="T56" s="62" cm="1">
        <f t="array" ref="T56">INDEX(tblPrices[cv_2025], MATCH(tblByteDanceUnits[[#This Row],[Products]],tblPrices[Products],0), 0)* tblByteDanceUnits[[#This Row],[cv_2025]]/10^6</f>
        <v>0</v>
      </c>
      <c r="U56" s="62" cm="1">
        <f t="array" ref="U56">INDEX(tblPrices[cv_2026], MATCH(tblByteDanceUnits[[#This Row],[Products]],tblPrices[Products],0), 0)* tblByteDanceUnits[[#This Row],[cv_2026]]/10^6</f>
        <v>0</v>
      </c>
      <c r="V56" s="62" cm="1">
        <f t="array" ref="V56">INDEX(tblPrices[cv_2027], MATCH(tblByteDanceUnits[[#This Row],[Products]],tblPrices[Products],0), 0)* tblByteDanceUnits[[#This Row],[cv_2027]]/10^6</f>
        <v>0</v>
      </c>
      <c r="W56" s="62" cm="1">
        <f t="array" ref="W56">INDEX(tblPrices[cv_2028], MATCH(tblByteDanceUnits[[#This Row],[Products]],tblPrices[Products],0), 0)* tblByteDanceUnits[[#This Row],[cv_2028]]/10^6</f>
        <v>0</v>
      </c>
      <c r="X56" s="1">
        <f>VLOOKUP(A56,Products!$A$29:$F$110,6,FALSE)</f>
        <v>200</v>
      </c>
    </row>
    <row r="57" spans="1:24" s="1" customFormat="1" ht="13.15">
      <c r="A57" s="9" t="s">
        <v>9</v>
      </c>
      <c r="B57" s="8">
        <v>0</v>
      </c>
      <c r="C57" s="8">
        <v>0</v>
      </c>
      <c r="D57" s="8"/>
      <c r="E57" s="8"/>
      <c r="F57" s="8"/>
      <c r="G57" s="8"/>
      <c r="H57" s="8"/>
      <c r="I57" s="8"/>
      <c r="J57" s="8"/>
      <c r="K57" s="8"/>
      <c r="L57" s="8"/>
      <c r="M57" s="62" cm="1">
        <f t="array" ref="M57">INDEX(tblPrices[cv_2018], MATCH(tblByteDanceUnits[[#This Row],[Products]],tblPrices[Products],0), 0)* tblByteDanceUnits[[#This Row],[cv_2018]]/10^6</f>
        <v>0</v>
      </c>
      <c r="N57" s="62" cm="1">
        <f t="array" ref="N57">INDEX(tblPrices[cv_2019], MATCH(tblByteDanceUnits[[#This Row],[Products]],tblPrices[Products],0), 0)* tblByteDanceUnits[[#This Row],[cv_2019]]/10^6</f>
        <v>0</v>
      </c>
      <c r="O57" s="62" cm="1">
        <f t="array" ref="O57">INDEX(tblPrices[cv_2020], MATCH(tblByteDanceUnits[[#This Row],[Products]],tblPrices[Products],0), 0)* tblByteDanceUnits[[#This Row],[cv_2020]]/10^6</f>
        <v>0</v>
      </c>
      <c r="P57" s="62" cm="1">
        <f t="array" ref="P57">INDEX(tblPrices[cv_2021], MATCH(tblByteDanceUnits[[#This Row],[Products]],tblPrices[Products],0), 0)* tblByteDanceUnits[[#This Row],[cv_2021]]/10^6</f>
        <v>0</v>
      </c>
      <c r="Q57" s="62" cm="1">
        <f t="array" ref="Q57">INDEX(tblPrices[cv_2022], MATCH(tblByteDanceUnits[[#This Row],[Products]],tblPrices[Products],0), 0)* tblByteDanceUnits[[#This Row],[cv_2022]]/10^6</f>
        <v>0</v>
      </c>
      <c r="R57" s="62" cm="1">
        <f t="array" ref="R57">INDEX(tblPrices[cv_2023], MATCH(tblByteDanceUnits[[#This Row],[Products]],tblPrices[Products],0), 0)* tblByteDanceUnits[[#This Row],[cv_2023]]/10^6</f>
        <v>0</v>
      </c>
      <c r="S57" s="62" cm="1">
        <f t="array" ref="S57">INDEX(tblPrices[cv_2024], MATCH(tblByteDanceUnits[[#This Row],[Products]],tblPrices[Products],0), 0)* tblByteDanceUnits[[#This Row],[cv_2024]]/10^6</f>
        <v>0</v>
      </c>
      <c r="T57" s="62" cm="1">
        <f t="array" ref="T57">INDEX(tblPrices[cv_2025], MATCH(tblByteDanceUnits[[#This Row],[Products]],tblPrices[Products],0), 0)* tblByteDanceUnits[[#This Row],[cv_2025]]/10^6</f>
        <v>0</v>
      </c>
      <c r="U57" s="62" cm="1">
        <f t="array" ref="U57">INDEX(tblPrices[cv_2026], MATCH(tblByteDanceUnits[[#This Row],[Products]],tblPrices[Products],0), 0)* tblByteDanceUnits[[#This Row],[cv_2026]]/10^6</f>
        <v>0</v>
      </c>
      <c r="V57" s="62" cm="1">
        <f t="array" ref="V57">INDEX(tblPrices[cv_2027], MATCH(tblByteDanceUnits[[#This Row],[Products]],tblPrices[Products],0), 0)* tblByteDanceUnits[[#This Row],[cv_2027]]/10^6</f>
        <v>0</v>
      </c>
      <c r="W57" s="62" cm="1">
        <f t="array" ref="W57">INDEX(tblPrices[cv_2028], MATCH(tblByteDanceUnits[[#This Row],[Products]],tblPrices[Products],0), 0)* tblByteDanceUnits[[#This Row],[cv_2028]]/10^6</f>
        <v>0</v>
      </c>
      <c r="X57" s="1">
        <f>VLOOKUP(A57,Products!$A$29:$F$110,6,FALSE)</f>
        <v>400</v>
      </c>
    </row>
    <row r="58" spans="1:24" s="1" customFormat="1" ht="13.15">
      <c r="A58" s="9" t="s">
        <v>339</v>
      </c>
      <c r="B58" s="8">
        <v>0</v>
      </c>
      <c r="C58" s="8">
        <v>0</v>
      </c>
      <c r="D58" s="8"/>
      <c r="E58" s="8"/>
      <c r="F58" s="8"/>
      <c r="G58" s="8"/>
      <c r="H58" s="8"/>
      <c r="I58" s="8"/>
      <c r="J58" s="8"/>
      <c r="K58" s="8"/>
      <c r="L58" s="8"/>
      <c r="M58" s="62" cm="1">
        <f t="array" ref="M58">INDEX(tblPrices[cv_2018], MATCH(tblByteDanceUnits[[#This Row],[Products]],tblPrices[Products],0), 0)* tblByteDanceUnits[[#This Row],[cv_2018]]/10^6</f>
        <v>0</v>
      </c>
      <c r="N58" s="62" cm="1">
        <f t="array" ref="N58">INDEX(tblPrices[cv_2019], MATCH(tblByteDanceUnits[[#This Row],[Products]],tblPrices[Products],0), 0)* tblByteDanceUnits[[#This Row],[cv_2019]]/10^6</f>
        <v>0</v>
      </c>
      <c r="O58" s="62" cm="1">
        <f t="array" ref="O58">INDEX(tblPrices[cv_2020], MATCH(tblByteDanceUnits[[#This Row],[Products]],tblPrices[Products],0), 0)* tblByteDanceUnits[[#This Row],[cv_2020]]/10^6</f>
        <v>0</v>
      </c>
      <c r="P58" s="62" cm="1">
        <f t="array" ref="P58">INDEX(tblPrices[cv_2021], MATCH(tblByteDanceUnits[[#This Row],[Products]],tblPrices[Products],0), 0)* tblByteDanceUnits[[#This Row],[cv_2021]]/10^6</f>
        <v>0</v>
      </c>
      <c r="Q58" s="62" cm="1">
        <f t="array" ref="Q58">INDEX(tblPrices[cv_2022], MATCH(tblByteDanceUnits[[#This Row],[Products]],tblPrices[Products],0), 0)* tblByteDanceUnits[[#This Row],[cv_2022]]/10^6</f>
        <v>0</v>
      </c>
      <c r="R58" s="62" cm="1">
        <f t="array" ref="R58">INDEX(tblPrices[cv_2023], MATCH(tblByteDanceUnits[[#This Row],[Products]],tblPrices[Products],0), 0)* tblByteDanceUnits[[#This Row],[cv_2023]]/10^6</f>
        <v>0</v>
      </c>
      <c r="S58" s="62" cm="1">
        <f t="array" ref="S58">INDEX(tblPrices[cv_2024], MATCH(tblByteDanceUnits[[#This Row],[Products]],tblPrices[Products],0), 0)* tblByteDanceUnits[[#This Row],[cv_2024]]/10^6</f>
        <v>0</v>
      </c>
      <c r="T58" s="62" cm="1">
        <f t="array" ref="T58">INDEX(tblPrices[cv_2025], MATCH(tblByteDanceUnits[[#This Row],[Products]],tblPrices[Products],0), 0)* tblByteDanceUnits[[#This Row],[cv_2025]]/10^6</f>
        <v>0</v>
      </c>
      <c r="U58" s="62" cm="1">
        <f t="array" ref="U58">INDEX(tblPrices[cv_2026], MATCH(tblByteDanceUnits[[#This Row],[Products]],tblPrices[Products],0), 0)* tblByteDanceUnits[[#This Row],[cv_2026]]/10^6</f>
        <v>0</v>
      </c>
      <c r="V58" s="62" cm="1">
        <f t="array" ref="V58">INDEX(tblPrices[cv_2027], MATCH(tblByteDanceUnits[[#This Row],[Products]],tblPrices[Products],0), 0)* tblByteDanceUnits[[#This Row],[cv_2027]]/10^6</f>
        <v>0</v>
      </c>
      <c r="W58" s="62" cm="1">
        <f t="array" ref="W58">INDEX(tblPrices[cv_2028], MATCH(tblByteDanceUnits[[#This Row],[Products]],tblPrices[Products],0), 0)* tblByteDanceUnits[[#This Row],[cv_2028]]/10^6</f>
        <v>0</v>
      </c>
      <c r="X58" s="1">
        <f>VLOOKUP(A58,Products!$A$29:$F$110,6,FALSE)</f>
        <v>400</v>
      </c>
    </row>
    <row r="59" spans="1:24" s="1" customFormat="1" ht="13.15">
      <c r="A59" s="9" t="s">
        <v>11</v>
      </c>
      <c r="B59" s="8">
        <v>0</v>
      </c>
      <c r="C59" s="8">
        <v>0</v>
      </c>
      <c r="D59" s="8"/>
      <c r="E59" s="8"/>
      <c r="F59" s="8"/>
      <c r="G59" s="8"/>
      <c r="H59" s="8"/>
      <c r="I59" s="8"/>
      <c r="J59" s="8"/>
      <c r="K59" s="8"/>
      <c r="L59" s="8"/>
      <c r="M59" s="62" cm="1">
        <f t="array" ref="M59">INDEX(tblPrices[cv_2018], MATCH(tblByteDanceUnits[[#This Row],[Products]],tblPrices[Products],0), 0)* tblByteDanceUnits[[#This Row],[cv_2018]]/10^6</f>
        <v>0</v>
      </c>
      <c r="N59" s="62" cm="1">
        <f t="array" ref="N59">INDEX(tblPrices[cv_2019], MATCH(tblByteDanceUnits[[#This Row],[Products]],tblPrices[Products],0), 0)* tblByteDanceUnits[[#This Row],[cv_2019]]/10^6</f>
        <v>0</v>
      </c>
      <c r="O59" s="62" cm="1">
        <f t="array" ref="O59">INDEX(tblPrices[cv_2020], MATCH(tblByteDanceUnits[[#This Row],[Products]],tblPrices[Products],0), 0)* tblByteDanceUnits[[#This Row],[cv_2020]]/10^6</f>
        <v>0</v>
      </c>
      <c r="P59" s="62" cm="1">
        <f t="array" ref="P59">INDEX(tblPrices[cv_2021], MATCH(tblByteDanceUnits[[#This Row],[Products]],tblPrices[Products],0), 0)* tblByteDanceUnits[[#This Row],[cv_2021]]/10^6</f>
        <v>0</v>
      </c>
      <c r="Q59" s="62" cm="1">
        <f t="array" ref="Q59">INDEX(tblPrices[cv_2022], MATCH(tblByteDanceUnits[[#This Row],[Products]],tblPrices[Products],0), 0)* tblByteDanceUnits[[#This Row],[cv_2022]]/10^6</f>
        <v>0</v>
      </c>
      <c r="R59" s="62" cm="1">
        <f t="array" ref="R59">INDEX(tblPrices[cv_2023], MATCH(tblByteDanceUnits[[#This Row],[Products]],tblPrices[Products],0), 0)* tblByteDanceUnits[[#This Row],[cv_2023]]/10^6</f>
        <v>0</v>
      </c>
      <c r="S59" s="62" cm="1">
        <f t="array" ref="S59">INDEX(tblPrices[cv_2024], MATCH(tblByteDanceUnits[[#This Row],[Products]],tblPrices[Products],0), 0)* tblByteDanceUnits[[#This Row],[cv_2024]]/10^6</f>
        <v>0</v>
      </c>
      <c r="T59" s="62" cm="1">
        <f t="array" ref="T59">INDEX(tblPrices[cv_2025], MATCH(tblByteDanceUnits[[#This Row],[Products]],tblPrices[Products],0), 0)* tblByteDanceUnits[[#This Row],[cv_2025]]/10^6</f>
        <v>0</v>
      </c>
      <c r="U59" s="62" cm="1">
        <f t="array" ref="U59">INDEX(tblPrices[cv_2026], MATCH(tblByteDanceUnits[[#This Row],[Products]],tblPrices[Products],0), 0)* tblByteDanceUnits[[#This Row],[cv_2026]]/10^6</f>
        <v>0</v>
      </c>
      <c r="V59" s="62" cm="1">
        <f t="array" ref="V59">INDEX(tblPrices[cv_2027], MATCH(tblByteDanceUnits[[#This Row],[Products]],tblPrices[Products],0), 0)* tblByteDanceUnits[[#This Row],[cv_2027]]/10^6</f>
        <v>0</v>
      </c>
      <c r="W59" s="62" cm="1">
        <f t="array" ref="W59">INDEX(tblPrices[cv_2028], MATCH(tblByteDanceUnits[[#This Row],[Products]],tblPrices[Products],0), 0)* tblByteDanceUnits[[#This Row],[cv_2028]]/10^6</f>
        <v>0</v>
      </c>
      <c r="X59" s="1">
        <f>VLOOKUP(A59,Products!$A$29:$F$110,6,FALSE)</f>
        <v>400</v>
      </c>
    </row>
    <row r="60" spans="1:24" s="1" customFormat="1" ht="13.15">
      <c r="A60" s="9" t="s">
        <v>42</v>
      </c>
      <c r="B60" s="8">
        <v>0</v>
      </c>
      <c r="C60" s="8">
        <v>0</v>
      </c>
      <c r="D60" s="8"/>
      <c r="E60" s="8"/>
      <c r="F60" s="8"/>
      <c r="G60" s="8"/>
      <c r="H60" s="8"/>
      <c r="I60" s="8"/>
      <c r="J60" s="8"/>
      <c r="K60" s="8"/>
      <c r="L60" s="8"/>
      <c r="M60" s="62" cm="1">
        <f t="array" ref="M60">INDEX(tblPrices[cv_2018], MATCH(tblByteDanceUnits[[#This Row],[Products]],tblPrices[Products],0), 0)* tblByteDanceUnits[[#This Row],[cv_2018]]/10^6</f>
        <v>0</v>
      </c>
      <c r="N60" s="62" cm="1">
        <f t="array" ref="N60">INDEX(tblPrices[cv_2019], MATCH(tblByteDanceUnits[[#This Row],[Products]],tblPrices[Products],0), 0)* tblByteDanceUnits[[#This Row],[cv_2019]]/10^6</f>
        <v>0</v>
      </c>
      <c r="O60" s="62" cm="1">
        <f t="array" ref="O60">INDEX(tblPrices[cv_2020], MATCH(tblByteDanceUnits[[#This Row],[Products]],tblPrices[Products],0), 0)* tblByteDanceUnits[[#This Row],[cv_2020]]/10^6</f>
        <v>0</v>
      </c>
      <c r="P60" s="62" cm="1">
        <f t="array" ref="P60">INDEX(tblPrices[cv_2021], MATCH(tblByteDanceUnits[[#This Row],[Products]],tblPrices[Products],0), 0)* tblByteDanceUnits[[#This Row],[cv_2021]]/10^6</f>
        <v>0</v>
      </c>
      <c r="Q60" s="62" cm="1">
        <f t="array" ref="Q60">INDEX(tblPrices[cv_2022], MATCH(tblByteDanceUnits[[#This Row],[Products]],tblPrices[Products],0), 0)* tblByteDanceUnits[[#This Row],[cv_2022]]/10^6</f>
        <v>0</v>
      </c>
      <c r="R60" s="62" cm="1">
        <f t="array" ref="R60">INDEX(tblPrices[cv_2023], MATCH(tblByteDanceUnits[[#This Row],[Products]],tblPrices[Products],0), 0)* tblByteDanceUnits[[#This Row],[cv_2023]]/10^6</f>
        <v>0</v>
      </c>
      <c r="S60" s="62" cm="1">
        <f t="array" ref="S60">INDEX(tblPrices[cv_2024], MATCH(tblByteDanceUnits[[#This Row],[Products]],tblPrices[Products],0), 0)* tblByteDanceUnits[[#This Row],[cv_2024]]/10^6</f>
        <v>0</v>
      </c>
      <c r="T60" s="62" cm="1">
        <f t="array" ref="T60">INDEX(tblPrices[cv_2025], MATCH(tblByteDanceUnits[[#This Row],[Products]],tblPrices[Products],0), 0)* tblByteDanceUnits[[#This Row],[cv_2025]]/10^6</f>
        <v>0</v>
      </c>
      <c r="U60" s="62" cm="1">
        <f t="array" ref="U60">INDEX(tblPrices[cv_2026], MATCH(tblByteDanceUnits[[#This Row],[Products]],tblPrices[Products],0), 0)* tblByteDanceUnits[[#This Row],[cv_2026]]/10^6</f>
        <v>0</v>
      </c>
      <c r="V60" s="62" cm="1">
        <f t="array" ref="V60">INDEX(tblPrices[cv_2027], MATCH(tblByteDanceUnits[[#This Row],[Products]],tblPrices[Products],0), 0)* tblByteDanceUnits[[#This Row],[cv_2027]]/10^6</f>
        <v>0</v>
      </c>
      <c r="W60" s="62" cm="1">
        <f t="array" ref="W60">INDEX(tblPrices[cv_2028], MATCH(tblByteDanceUnits[[#This Row],[Products]],tblPrices[Products],0), 0)* tblByteDanceUnits[[#This Row],[cv_2028]]/10^6</f>
        <v>0</v>
      </c>
      <c r="X60" s="1">
        <f>VLOOKUP(A60,Products!$A$29:$F$110,6,FALSE)</f>
        <v>400</v>
      </c>
    </row>
    <row r="61" spans="1:24" s="1" customFormat="1" ht="13.15">
      <c r="A61" s="9" t="s">
        <v>48</v>
      </c>
      <c r="B61" s="8">
        <v>0</v>
      </c>
      <c r="C61" s="8">
        <v>0</v>
      </c>
      <c r="D61" s="8"/>
      <c r="E61" s="8"/>
      <c r="F61" s="8"/>
      <c r="G61" s="8"/>
      <c r="H61" s="8"/>
      <c r="I61" s="8"/>
      <c r="J61" s="8"/>
      <c r="K61" s="8"/>
      <c r="L61" s="8"/>
      <c r="M61" s="62" cm="1">
        <f t="array" ref="M61">INDEX(tblPrices[cv_2018], MATCH(tblByteDanceUnits[[#This Row],[Products]],tblPrices[Products],0), 0)* tblByteDanceUnits[[#This Row],[cv_2018]]/10^6</f>
        <v>0</v>
      </c>
      <c r="N61" s="62" cm="1">
        <f t="array" ref="N61">INDEX(tblPrices[cv_2019], MATCH(tblByteDanceUnits[[#This Row],[Products]],tblPrices[Products],0), 0)* tblByteDanceUnits[[#This Row],[cv_2019]]/10^6</f>
        <v>0</v>
      </c>
      <c r="O61" s="62" cm="1">
        <f t="array" ref="O61">INDEX(tblPrices[cv_2020], MATCH(tblByteDanceUnits[[#This Row],[Products]],tblPrices[Products],0), 0)* tblByteDanceUnits[[#This Row],[cv_2020]]/10^6</f>
        <v>0</v>
      </c>
      <c r="P61" s="62" cm="1">
        <f t="array" ref="P61">INDEX(tblPrices[cv_2021], MATCH(tblByteDanceUnits[[#This Row],[Products]],tblPrices[Products],0), 0)* tblByteDanceUnits[[#This Row],[cv_2021]]/10^6</f>
        <v>0</v>
      </c>
      <c r="Q61" s="62" cm="1">
        <f t="array" ref="Q61">INDEX(tblPrices[cv_2022], MATCH(tblByteDanceUnits[[#This Row],[Products]],tblPrices[Products],0), 0)* tblByteDanceUnits[[#This Row],[cv_2022]]/10^6</f>
        <v>0</v>
      </c>
      <c r="R61" s="62" cm="1">
        <f t="array" ref="R61">INDEX(tblPrices[cv_2023], MATCH(tblByteDanceUnits[[#This Row],[Products]],tblPrices[Products],0), 0)* tblByteDanceUnits[[#This Row],[cv_2023]]/10^6</f>
        <v>0</v>
      </c>
      <c r="S61" s="62" cm="1">
        <f t="array" ref="S61">INDEX(tblPrices[cv_2024], MATCH(tblByteDanceUnits[[#This Row],[Products]],tblPrices[Products],0), 0)* tblByteDanceUnits[[#This Row],[cv_2024]]/10^6</f>
        <v>0</v>
      </c>
      <c r="T61" s="62" cm="1">
        <f t="array" ref="T61">INDEX(tblPrices[cv_2025], MATCH(tblByteDanceUnits[[#This Row],[Products]],tblPrices[Products],0), 0)* tblByteDanceUnits[[#This Row],[cv_2025]]/10^6</f>
        <v>0</v>
      </c>
      <c r="U61" s="62" cm="1">
        <f t="array" ref="U61">INDEX(tblPrices[cv_2026], MATCH(tblByteDanceUnits[[#This Row],[Products]],tblPrices[Products],0), 0)* tblByteDanceUnits[[#This Row],[cv_2026]]/10^6</f>
        <v>0</v>
      </c>
      <c r="V61" s="62" cm="1">
        <f t="array" ref="V61">INDEX(tblPrices[cv_2027], MATCH(tblByteDanceUnits[[#This Row],[Products]],tblPrices[Products],0), 0)* tblByteDanceUnits[[#This Row],[cv_2027]]/10^6</f>
        <v>0</v>
      </c>
      <c r="W61" s="62" cm="1">
        <f t="array" ref="W61">INDEX(tblPrices[cv_2028], MATCH(tblByteDanceUnits[[#This Row],[Products]],tblPrices[Products],0), 0)* tblByteDanceUnits[[#This Row],[cv_2028]]/10^6</f>
        <v>0</v>
      </c>
      <c r="X61" s="1">
        <f>VLOOKUP(A61,Products!$A$29:$F$110,6,FALSE)</f>
        <v>800</v>
      </c>
    </row>
    <row r="62" spans="1:24" s="1" customFormat="1" ht="13.15">
      <c r="A62" s="9" t="s">
        <v>13</v>
      </c>
      <c r="B62" s="8">
        <v>0</v>
      </c>
      <c r="C62" s="8">
        <v>0</v>
      </c>
      <c r="D62" s="8"/>
      <c r="E62" s="8"/>
      <c r="F62" s="8"/>
      <c r="G62" s="8"/>
      <c r="H62" s="8"/>
      <c r="I62" s="8"/>
      <c r="J62" s="8"/>
      <c r="K62" s="8"/>
      <c r="L62" s="8"/>
      <c r="M62" s="62" cm="1">
        <f t="array" ref="M62">INDEX(tblPrices[cv_2018], MATCH(tblByteDanceUnits[[#This Row],[Products]],tblPrices[Products],0), 0)* tblByteDanceUnits[[#This Row],[cv_2018]]/10^6</f>
        <v>0</v>
      </c>
      <c r="N62" s="62" cm="1">
        <f t="array" ref="N62">INDEX(tblPrices[cv_2019], MATCH(tblByteDanceUnits[[#This Row],[Products]],tblPrices[Products],0), 0)* tblByteDanceUnits[[#This Row],[cv_2019]]/10^6</f>
        <v>0</v>
      </c>
      <c r="O62" s="62" cm="1">
        <f t="array" ref="O62">INDEX(tblPrices[cv_2020], MATCH(tblByteDanceUnits[[#This Row],[Products]],tblPrices[Products],0), 0)* tblByteDanceUnits[[#This Row],[cv_2020]]/10^6</f>
        <v>0</v>
      </c>
      <c r="P62" s="62" cm="1">
        <f t="array" ref="P62">INDEX(tblPrices[cv_2021], MATCH(tblByteDanceUnits[[#This Row],[Products]],tblPrices[Products],0), 0)* tblByteDanceUnits[[#This Row],[cv_2021]]/10^6</f>
        <v>0</v>
      </c>
      <c r="Q62" s="62" cm="1">
        <f t="array" ref="Q62">INDEX(tblPrices[cv_2022], MATCH(tblByteDanceUnits[[#This Row],[Products]],tblPrices[Products],0), 0)* tblByteDanceUnits[[#This Row],[cv_2022]]/10^6</f>
        <v>0</v>
      </c>
      <c r="R62" s="62" cm="1">
        <f t="array" ref="R62">INDEX(tblPrices[cv_2023], MATCH(tblByteDanceUnits[[#This Row],[Products]],tblPrices[Products],0), 0)* tblByteDanceUnits[[#This Row],[cv_2023]]/10^6</f>
        <v>0</v>
      </c>
      <c r="S62" s="62" cm="1">
        <f t="array" ref="S62">INDEX(tblPrices[cv_2024], MATCH(tblByteDanceUnits[[#This Row],[Products]],tblPrices[Products],0), 0)* tblByteDanceUnits[[#This Row],[cv_2024]]/10^6</f>
        <v>0</v>
      </c>
      <c r="T62" s="62" cm="1">
        <f t="array" ref="T62">INDEX(tblPrices[cv_2025], MATCH(tblByteDanceUnits[[#This Row],[Products]],tblPrices[Products],0), 0)* tblByteDanceUnits[[#This Row],[cv_2025]]/10^6</f>
        <v>0</v>
      </c>
      <c r="U62" s="62" cm="1">
        <f t="array" ref="U62">INDEX(tblPrices[cv_2026], MATCH(tblByteDanceUnits[[#This Row],[Products]],tblPrices[Products],0), 0)* tblByteDanceUnits[[#This Row],[cv_2026]]/10^6</f>
        <v>0</v>
      </c>
      <c r="V62" s="62" cm="1">
        <f t="array" ref="V62">INDEX(tblPrices[cv_2027], MATCH(tblByteDanceUnits[[#This Row],[Products]],tblPrices[Products],0), 0)* tblByteDanceUnits[[#This Row],[cv_2027]]/10^6</f>
        <v>0</v>
      </c>
      <c r="W62" s="62" cm="1">
        <f t="array" ref="W62">INDEX(tblPrices[cv_2028], MATCH(tblByteDanceUnits[[#This Row],[Products]],tblPrices[Products],0), 0)* tblByteDanceUnits[[#This Row],[cv_2028]]/10^6</f>
        <v>0</v>
      </c>
      <c r="X62" s="1">
        <f>VLOOKUP(A62,Products!$A$29:$F$110,6,FALSE)</f>
        <v>800</v>
      </c>
    </row>
    <row r="63" spans="1:24" s="1" customFormat="1" ht="13.15">
      <c r="A63" s="9" t="s">
        <v>14</v>
      </c>
      <c r="B63" s="8">
        <v>0</v>
      </c>
      <c r="C63" s="8">
        <v>0</v>
      </c>
      <c r="D63" s="8"/>
      <c r="E63" s="8"/>
      <c r="F63" s="8"/>
      <c r="G63" s="8"/>
      <c r="H63" s="8"/>
      <c r="I63" s="8"/>
      <c r="J63" s="8"/>
      <c r="K63" s="8"/>
      <c r="L63" s="8"/>
      <c r="M63" s="62" cm="1">
        <f t="array" ref="M63">INDEX(tblPrices[cv_2018], MATCH(tblByteDanceUnits[[#This Row],[Products]],tblPrices[Products],0), 0)* tblByteDanceUnits[[#This Row],[cv_2018]]/10^6</f>
        <v>0</v>
      </c>
      <c r="N63" s="62" cm="1">
        <f t="array" ref="N63">INDEX(tblPrices[cv_2019], MATCH(tblByteDanceUnits[[#This Row],[Products]],tblPrices[Products],0), 0)* tblByteDanceUnits[[#This Row],[cv_2019]]/10^6</f>
        <v>0</v>
      </c>
      <c r="O63" s="62" cm="1">
        <f t="array" ref="O63">INDEX(tblPrices[cv_2020], MATCH(tblByteDanceUnits[[#This Row],[Products]],tblPrices[Products],0), 0)* tblByteDanceUnits[[#This Row],[cv_2020]]/10^6</f>
        <v>0</v>
      </c>
      <c r="P63" s="62" cm="1">
        <f t="array" ref="P63">INDEX(tblPrices[cv_2021], MATCH(tblByteDanceUnits[[#This Row],[Products]],tblPrices[Products],0), 0)* tblByteDanceUnits[[#This Row],[cv_2021]]/10^6</f>
        <v>0</v>
      </c>
      <c r="Q63" s="62" cm="1">
        <f t="array" ref="Q63">INDEX(tblPrices[cv_2022], MATCH(tblByteDanceUnits[[#This Row],[Products]],tblPrices[Products],0), 0)* tblByteDanceUnits[[#This Row],[cv_2022]]/10^6</f>
        <v>0</v>
      </c>
      <c r="R63" s="62" cm="1">
        <f t="array" ref="R63">INDEX(tblPrices[cv_2023], MATCH(tblByteDanceUnits[[#This Row],[Products]],tblPrices[Products],0), 0)* tblByteDanceUnits[[#This Row],[cv_2023]]/10^6</f>
        <v>0</v>
      </c>
      <c r="S63" s="62" cm="1">
        <f t="array" ref="S63">INDEX(tblPrices[cv_2024], MATCH(tblByteDanceUnits[[#This Row],[Products]],tblPrices[Products],0), 0)* tblByteDanceUnits[[#This Row],[cv_2024]]/10^6</f>
        <v>0</v>
      </c>
      <c r="T63" s="62" cm="1">
        <f t="array" ref="T63">INDEX(tblPrices[cv_2025], MATCH(tblByteDanceUnits[[#This Row],[Products]],tblPrices[Products],0), 0)* tblByteDanceUnits[[#This Row],[cv_2025]]/10^6</f>
        <v>0</v>
      </c>
      <c r="U63" s="62" cm="1">
        <f t="array" ref="U63">INDEX(tblPrices[cv_2026], MATCH(tblByteDanceUnits[[#This Row],[Products]],tblPrices[Products],0), 0)* tblByteDanceUnits[[#This Row],[cv_2026]]/10^6</f>
        <v>0</v>
      </c>
      <c r="V63" s="62" cm="1">
        <f t="array" ref="V63">INDEX(tblPrices[cv_2027], MATCH(tblByteDanceUnits[[#This Row],[Products]],tblPrices[Products],0), 0)* tblByteDanceUnits[[#This Row],[cv_2027]]/10^6</f>
        <v>0</v>
      </c>
      <c r="W63" s="62" cm="1">
        <f t="array" ref="W63">INDEX(tblPrices[cv_2028], MATCH(tblByteDanceUnits[[#This Row],[Products]],tblPrices[Products],0), 0)* tblByteDanceUnits[[#This Row],[cv_2028]]/10^6</f>
        <v>0</v>
      </c>
      <c r="X63" s="1">
        <f>VLOOKUP(A63,Products!$A$29:$F$110,6,FALSE)</f>
        <v>800</v>
      </c>
    </row>
    <row r="64" spans="1:24" s="1" customFormat="1" ht="13.15">
      <c r="A64" s="9" t="s">
        <v>15</v>
      </c>
      <c r="B64" s="8">
        <v>0</v>
      </c>
      <c r="C64" s="8">
        <v>0</v>
      </c>
      <c r="D64" s="8"/>
      <c r="E64" s="8"/>
      <c r="F64" s="8"/>
      <c r="G64" s="8"/>
      <c r="H64" s="8"/>
      <c r="I64" s="8"/>
      <c r="J64" s="8"/>
      <c r="K64" s="8"/>
      <c r="L64" s="8"/>
      <c r="M64" s="62" cm="1">
        <f t="array" ref="M64">INDEX(tblPrices[cv_2018], MATCH(tblByteDanceUnits[[#This Row],[Products]],tblPrices[Products],0), 0)* tblByteDanceUnits[[#This Row],[cv_2018]]/10^6</f>
        <v>0</v>
      </c>
      <c r="N64" s="62" cm="1">
        <f t="array" ref="N64">INDEX(tblPrices[cv_2019], MATCH(tblByteDanceUnits[[#This Row],[Products]],tblPrices[Products],0), 0)* tblByteDanceUnits[[#This Row],[cv_2019]]/10^6</f>
        <v>0</v>
      </c>
      <c r="O64" s="62" cm="1">
        <f t="array" ref="O64">INDEX(tblPrices[cv_2020], MATCH(tblByteDanceUnits[[#This Row],[Products]],tblPrices[Products],0), 0)* tblByteDanceUnits[[#This Row],[cv_2020]]/10^6</f>
        <v>0</v>
      </c>
      <c r="P64" s="62" cm="1">
        <f t="array" ref="P64">INDEX(tblPrices[cv_2021], MATCH(tblByteDanceUnits[[#This Row],[Products]],tblPrices[Products],0), 0)* tblByteDanceUnits[[#This Row],[cv_2021]]/10^6</f>
        <v>0</v>
      </c>
      <c r="Q64" s="62" cm="1">
        <f t="array" ref="Q64">INDEX(tblPrices[cv_2022], MATCH(tblByteDanceUnits[[#This Row],[Products]],tblPrices[Products],0), 0)* tblByteDanceUnits[[#This Row],[cv_2022]]/10^6</f>
        <v>0</v>
      </c>
      <c r="R64" s="62" cm="1">
        <f t="array" ref="R64">INDEX(tblPrices[cv_2023], MATCH(tblByteDanceUnits[[#This Row],[Products]],tblPrices[Products],0), 0)* tblByteDanceUnits[[#This Row],[cv_2023]]/10^6</f>
        <v>0</v>
      </c>
      <c r="S64" s="62" cm="1">
        <f t="array" ref="S64">INDEX(tblPrices[cv_2024], MATCH(tblByteDanceUnits[[#This Row],[Products]],tblPrices[Products],0), 0)* tblByteDanceUnits[[#This Row],[cv_2024]]/10^6</f>
        <v>0</v>
      </c>
      <c r="T64" s="62" cm="1">
        <f t="array" ref="T64">INDEX(tblPrices[cv_2025], MATCH(tblByteDanceUnits[[#This Row],[Products]],tblPrices[Products],0), 0)* tblByteDanceUnits[[#This Row],[cv_2025]]/10^6</f>
        <v>0</v>
      </c>
      <c r="U64" s="62" cm="1">
        <f t="array" ref="U64">INDEX(tblPrices[cv_2026], MATCH(tblByteDanceUnits[[#This Row],[Products]],tblPrices[Products],0), 0)* tblByteDanceUnits[[#This Row],[cv_2026]]/10^6</f>
        <v>0</v>
      </c>
      <c r="V64" s="62" cm="1">
        <f t="array" ref="V64">INDEX(tblPrices[cv_2027], MATCH(tblByteDanceUnits[[#This Row],[Products]],tblPrices[Products],0), 0)* tblByteDanceUnits[[#This Row],[cv_2027]]/10^6</f>
        <v>0</v>
      </c>
      <c r="W64" s="62" cm="1">
        <f t="array" ref="W64">INDEX(tblPrices[cv_2028], MATCH(tblByteDanceUnits[[#This Row],[Products]],tblPrices[Products],0), 0)* tblByteDanceUnits[[#This Row],[cv_2028]]/10^6</f>
        <v>0</v>
      </c>
      <c r="X64" s="1">
        <f>VLOOKUP(A64,Products!$A$29:$F$110,6,FALSE)</f>
        <v>800</v>
      </c>
    </row>
    <row r="65" spans="1:24" s="1" customFormat="1" ht="13.15">
      <c r="A65" s="9" t="s">
        <v>16</v>
      </c>
      <c r="B65" s="8">
        <v>0</v>
      </c>
      <c r="C65" s="8">
        <v>0</v>
      </c>
      <c r="D65" s="8"/>
      <c r="E65" s="8"/>
      <c r="F65" s="8"/>
      <c r="G65" s="8"/>
      <c r="H65" s="8"/>
      <c r="I65" s="8"/>
      <c r="J65" s="8"/>
      <c r="K65" s="8"/>
      <c r="L65" s="8"/>
      <c r="M65" s="62" cm="1">
        <f t="array" ref="M65">INDEX(tblPrices[cv_2018], MATCH(tblByteDanceUnits[[#This Row],[Products]],tblPrices[Products],0), 0)* tblByteDanceUnits[[#This Row],[cv_2018]]/10^6</f>
        <v>0</v>
      </c>
      <c r="N65" s="62" cm="1">
        <f t="array" ref="N65">INDEX(tblPrices[cv_2019], MATCH(tblByteDanceUnits[[#This Row],[Products]],tblPrices[Products],0), 0)* tblByteDanceUnits[[#This Row],[cv_2019]]/10^6</f>
        <v>0</v>
      </c>
      <c r="O65" s="62" cm="1">
        <f t="array" ref="O65">INDEX(tblPrices[cv_2020], MATCH(tblByteDanceUnits[[#This Row],[Products]],tblPrices[Products],0), 0)* tblByteDanceUnits[[#This Row],[cv_2020]]/10^6</f>
        <v>0</v>
      </c>
      <c r="P65" s="62" cm="1">
        <f t="array" ref="P65">INDEX(tblPrices[cv_2021], MATCH(tblByteDanceUnits[[#This Row],[Products]],tblPrices[Products],0), 0)* tblByteDanceUnits[[#This Row],[cv_2021]]/10^6</f>
        <v>0</v>
      </c>
      <c r="Q65" s="62" cm="1">
        <f t="array" ref="Q65">INDEX(tblPrices[cv_2022], MATCH(tblByteDanceUnits[[#This Row],[Products]],tblPrices[Products],0), 0)* tblByteDanceUnits[[#This Row],[cv_2022]]/10^6</f>
        <v>0</v>
      </c>
      <c r="R65" s="62" cm="1">
        <f t="array" ref="R65">INDEX(tblPrices[cv_2023], MATCH(tblByteDanceUnits[[#This Row],[Products]],tblPrices[Products],0), 0)* tblByteDanceUnits[[#This Row],[cv_2023]]/10^6</f>
        <v>0</v>
      </c>
      <c r="S65" s="62" cm="1">
        <f t="array" ref="S65">INDEX(tblPrices[cv_2024], MATCH(tblByteDanceUnits[[#This Row],[Products]],tblPrices[Products],0), 0)* tblByteDanceUnits[[#This Row],[cv_2024]]/10^6</f>
        <v>0</v>
      </c>
      <c r="T65" s="62" cm="1">
        <f t="array" ref="T65">INDEX(tblPrices[cv_2025], MATCH(tblByteDanceUnits[[#This Row],[Products]],tblPrices[Products],0), 0)* tblByteDanceUnits[[#This Row],[cv_2025]]/10^6</f>
        <v>0</v>
      </c>
      <c r="U65" s="62" cm="1">
        <f t="array" ref="U65">INDEX(tblPrices[cv_2026], MATCH(tblByteDanceUnits[[#This Row],[Products]],tblPrices[Products],0), 0)* tblByteDanceUnits[[#This Row],[cv_2026]]/10^6</f>
        <v>0</v>
      </c>
      <c r="V65" s="62" cm="1">
        <f t="array" ref="V65">INDEX(tblPrices[cv_2027], MATCH(tblByteDanceUnits[[#This Row],[Products]],tblPrices[Products],0), 0)* tblByteDanceUnits[[#This Row],[cv_2027]]/10^6</f>
        <v>0</v>
      </c>
      <c r="W65" s="62" cm="1">
        <f t="array" ref="W65">INDEX(tblPrices[cv_2028], MATCH(tblByteDanceUnits[[#This Row],[Products]],tblPrices[Products],0), 0)* tblByteDanceUnits[[#This Row],[cv_2028]]/10^6</f>
        <v>0</v>
      </c>
      <c r="X65" s="1">
        <f>VLOOKUP(A65,Products!$A$29:$F$110,6,FALSE)</f>
        <v>800</v>
      </c>
    </row>
    <row r="66" spans="1:24" s="1" customFormat="1" ht="13.15">
      <c r="A66" s="9" t="s">
        <v>17</v>
      </c>
      <c r="B66" s="8">
        <v>0</v>
      </c>
      <c r="C66" s="8">
        <v>0</v>
      </c>
      <c r="D66" s="8"/>
      <c r="E66" s="8"/>
      <c r="F66" s="8"/>
      <c r="G66" s="8"/>
      <c r="H66" s="8"/>
      <c r="I66" s="8"/>
      <c r="J66" s="8"/>
      <c r="K66" s="8"/>
      <c r="L66" s="8"/>
      <c r="M66" s="62" cm="1">
        <f t="array" ref="M66">INDEX(tblPrices[cv_2018], MATCH(tblByteDanceUnits[[#This Row],[Products]],tblPrices[Products],0), 0)* tblByteDanceUnits[[#This Row],[cv_2018]]/10^6</f>
        <v>0</v>
      </c>
      <c r="N66" s="62" cm="1">
        <f t="array" ref="N66">INDEX(tblPrices[cv_2019], MATCH(tblByteDanceUnits[[#This Row],[Products]],tblPrices[Products],0), 0)* tblByteDanceUnits[[#This Row],[cv_2019]]/10^6</f>
        <v>0</v>
      </c>
      <c r="O66" s="62" cm="1">
        <f t="array" ref="O66">INDEX(tblPrices[cv_2020], MATCH(tblByteDanceUnits[[#This Row],[Products]],tblPrices[Products],0), 0)* tblByteDanceUnits[[#This Row],[cv_2020]]/10^6</f>
        <v>0</v>
      </c>
      <c r="P66" s="62" cm="1">
        <f t="array" ref="P66">INDEX(tblPrices[cv_2021], MATCH(tblByteDanceUnits[[#This Row],[Products]],tblPrices[Products],0), 0)* tblByteDanceUnits[[#This Row],[cv_2021]]/10^6</f>
        <v>0</v>
      </c>
      <c r="Q66" s="62" cm="1">
        <f t="array" ref="Q66">INDEX(tblPrices[cv_2022], MATCH(tblByteDanceUnits[[#This Row],[Products]],tblPrices[Products],0), 0)* tblByteDanceUnits[[#This Row],[cv_2022]]/10^6</f>
        <v>0</v>
      </c>
      <c r="R66" s="62" cm="1">
        <f t="array" ref="R66">INDEX(tblPrices[cv_2023], MATCH(tblByteDanceUnits[[#This Row],[Products]],tblPrices[Products],0), 0)* tblByteDanceUnits[[#This Row],[cv_2023]]/10^6</f>
        <v>0</v>
      </c>
      <c r="S66" s="62" cm="1">
        <f t="array" ref="S66">INDEX(tblPrices[cv_2024], MATCH(tblByteDanceUnits[[#This Row],[Products]],tblPrices[Products],0), 0)* tblByteDanceUnits[[#This Row],[cv_2024]]/10^6</f>
        <v>0</v>
      </c>
      <c r="T66" s="62" cm="1">
        <f t="array" ref="T66">INDEX(tblPrices[cv_2025], MATCH(tblByteDanceUnits[[#This Row],[Products]],tblPrices[Products],0), 0)* tblByteDanceUnits[[#This Row],[cv_2025]]/10^6</f>
        <v>0</v>
      </c>
      <c r="U66" s="62" cm="1">
        <f t="array" ref="U66">INDEX(tblPrices[cv_2026], MATCH(tblByteDanceUnits[[#This Row],[Products]],tblPrices[Products],0), 0)* tblByteDanceUnits[[#This Row],[cv_2026]]/10^6</f>
        <v>0</v>
      </c>
      <c r="V66" s="62" cm="1">
        <f t="array" ref="V66">INDEX(tblPrices[cv_2027], MATCH(tblByteDanceUnits[[#This Row],[Products]],tblPrices[Products],0), 0)* tblByteDanceUnits[[#This Row],[cv_2027]]/10^6</f>
        <v>0</v>
      </c>
      <c r="W66" s="62" cm="1">
        <f t="array" ref="W66">INDEX(tblPrices[cv_2028], MATCH(tblByteDanceUnits[[#This Row],[Products]],tblPrices[Products],0), 0)* tblByteDanceUnits[[#This Row],[cv_2028]]/10^6</f>
        <v>0</v>
      </c>
      <c r="X66" s="1">
        <f>VLOOKUP(A66,Products!$A$29:$F$110,6,FALSE)</f>
        <v>800</v>
      </c>
    </row>
    <row r="67" spans="1:24" s="1" customFormat="1" ht="13.15">
      <c r="A67" s="9" t="s">
        <v>18</v>
      </c>
      <c r="B67" s="8">
        <v>0</v>
      </c>
      <c r="C67" s="8">
        <v>0</v>
      </c>
      <c r="D67" s="8"/>
      <c r="E67" s="8"/>
      <c r="F67" s="8"/>
      <c r="G67" s="8"/>
      <c r="H67" s="8"/>
      <c r="I67" s="8"/>
      <c r="J67" s="8"/>
      <c r="K67" s="8"/>
      <c r="L67" s="8"/>
      <c r="M67" s="62" cm="1">
        <f t="array" ref="M67">INDEX(tblPrices[cv_2018], MATCH(tblByteDanceUnits[[#This Row],[Products]],tblPrices[Products],0), 0)* tblByteDanceUnits[[#This Row],[cv_2018]]/10^6</f>
        <v>0</v>
      </c>
      <c r="N67" s="62" cm="1">
        <f t="array" ref="N67">INDEX(tblPrices[cv_2019], MATCH(tblByteDanceUnits[[#This Row],[Products]],tblPrices[Products],0), 0)* tblByteDanceUnits[[#This Row],[cv_2019]]/10^6</f>
        <v>0</v>
      </c>
      <c r="O67" s="62" cm="1">
        <f t="array" ref="O67">INDEX(tblPrices[cv_2020], MATCH(tblByteDanceUnits[[#This Row],[Products]],tblPrices[Products],0), 0)* tblByteDanceUnits[[#This Row],[cv_2020]]/10^6</f>
        <v>0</v>
      </c>
      <c r="P67" s="62" cm="1">
        <f t="array" ref="P67">INDEX(tblPrices[cv_2021], MATCH(tblByteDanceUnits[[#This Row],[Products]],tblPrices[Products],0), 0)* tblByteDanceUnits[[#This Row],[cv_2021]]/10^6</f>
        <v>0</v>
      </c>
      <c r="Q67" s="62" cm="1">
        <f t="array" ref="Q67">INDEX(tblPrices[cv_2022], MATCH(tblByteDanceUnits[[#This Row],[Products]],tblPrices[Products],0), 0)* tblByteDanceUnits[[#This Row],[cv_2022]]/10^6</f>
        <v>0</v>
      </c>
      <c r="R67" s="62" cm="1">
        <f t="array" ref="R67">INDEX(tblPrices[cv_2023], MATCH(tblByteDanceUnits[[#This Row],[Products]],tblPrices[Products],0), 0)* tblByteDanceUnits[[#This Row],[cv_2023]]/10^6</f>
        <v>0</v>
      </c>
      <c r="S67" s="62" cm="1">
        <f t="array" ref="S67">INDEX(tblPrices[cv_2024], MATCH(tblByteDanceUnits[[#This Row],[Products]],tblPrices[Products],0), 0)* tblByteDanceUnits[[#This Row],[cv_2024]]/10^6</f>
        <v>0</v>
      </c>
      <c r="T67" s="62" cm="1">
        <f t="array" ref="T67">INDEX(tblPrices[cv_2025], MATCH(tblByteDanceUnits[[#This Row],[Products]],tblPrices[Products],0), 0)* tblByteDanceUnits[[#This Row],[cv_2025]]/10^6</f>
        <v>0</v>
      </c>
      <c r="U67" s="62" cm="1">
        <f t="array" ref="U67">INDEX(tblPrices[cv_2026], MATCH(tblByteDanceUnits[[#This Row],[Products]],tblPrices[Products],0), 0)* tblByteDanceUnits[[#This Row],[cv_2026]]/10^6</f>
        <v>0</v>
      </c>
      <c r="V67" s="62" cm="1">
        <f t="array" ref="V67">INDEX(tblPrices[cv_2027], MATCH(tblByteDanceUnits[[#This Row],[Products]],tblPrices[Products],0), 0)* tblByteDanceUnits[[#This Row],[cv_2027]]/10^6</f>
        <v>0</v>
      </c>
      <c r="W67" s="62" cm="1">
        <f t="array" ref="W67">INDEX(tblPrices[cv_2028], MATCH(tblByteDanceUnits[[#This Row],[Products]],tblPrices[Products],0), 0)* tblByteDanceUnits[[#This Row],[cv_2028]]/10^6</f>
        <v>0</v>
      </c>
      <c r="X67" s="1">
        <f>VLOOKUP(A67,Products!$A$29:$F$110,6,FALSE)</f>
        <v>1600</v>
      </c>
    </row>
    <row r="68" spans="1:24" s="1" customFormat="1" ht="13.15">
      <c r="A68" s="9" t="s">
        <v>19</v>
      </c>
      <c r="B68" s="8">
        <v>0</v>
      </c>
      <c r="C68" s="8">
        <v>0</v>
      </c>
      <c r="D68" s="8"/>
      <c r="E68" s="8"/>
      <c r="F68" s="8"/>
      <c r="G68" s="8"/>
      <c r="H68" s="8"/>
      <c r="I68" s="8"/>
      <c r="J68" s="8"/>
      <c r="K68" s="8"/>
      <c r="L68" s="8"/>
      <c r="M68" s="62" cm="1">
        <f t="array" ref="M68">INDEX(tblPrices[cv_2018], MATCH(tblByteDanceUnits[[#This Row],[Products]],tblPrices[Products],0), 0)* tblByteDanceUnits[[#This Row],[cv_2018]]/10^6</f>
        <v>0</v>
      </c>
      <c r="N68" s="62" cm="1">
        <f t="array" ref="N68">INDEX(tblPrices[cv_2019], MATCH(tblByteDanceUnits[[#This Row],[Products]],tblPrices[Products],0), 0)* tblByteDanceUnits[[#This Row],[cv_2019]]/10^6</f>
        <v>0</v>
      </c>
      <c r="O68" s="62" cm="1">
        <f t="array" ref="O68">INDEX(tblPrices[cv_2020], MATCH(tblByteDanceUnits[[#This Row],[Products]],tblPrices[Products],0), 0)* tblByteDanceUnits[[#This Row],[cv_2020]]/10^6</f>
        <v>0</v>
      </c>
      <c r="P68" s="62" cm="1">
        <f t="array" ref="P68">INDEX(tblPrices[cv_2021], MATCH(tblByteDanceUnits[[#This Row],[Products]],tblPrices[Products],0), 0)* tblByteDanceUnits[[#This Row],[cv_2021]]/10^6</f>
        <v>0</v>
      </c>
      <c r="Q68" s="62" cm="1">
        <f t="array" ref="Q68">INDEX(tblPrices[cv_2022], MATCH(tblByteDanceUnits[[#This Row],[Products]],tblPrices[Products],0), 0)* tblByteDanceUnits[[#This Row],[cv_2022]]/10^6</f>
        <v>0</v>
      </c>
      <c r="R68" s="62" cm="1">
        <f t="array" ref="R68">INDEX(tblPrices[cv_2023], MATCH(tblByteDanceUnits[[#This Row],[Products]],tblPrices[Products],0), 0)* tblByteDanceUnits[[#This Row],[cv_2023]]/10^6</f>
        <v>0</v>
      </c>
      <c r="S68" s="62" cm="1">
        <f t="array" ref="S68">INDEX(tblPrices[cv_2024], MATCH(tblByteDanceUnits[[#This Row],[Products]],tblPrices[Products],0), 0)* tblByteDanceUnits[[#This Row],[cv_2024]]/10^6</f>
        <v>0</v>
      </c>
      <c r="T68" s="62" cm="1">
        <f t="array" ref="T68">INDEX(tblPrices[cv_2025], MATCH(tblByteDanceUnits[[#This Row],[Products]],tblPrices[Products],0), 0)* tblByteDanceUnits[[#This Row],[cv_2025]]/10^6</f>
        <v>0</v>
      </c>
      <c r="U68" s="62" cm="1">
        <f t="array" ref="U68">INDEX(tblPrices[cv_2026], MATCH(tblByteDanceUnits[[#This Row],[Products]],tblPrices[Products],0), 0)* tblByteDanceUnits[[#This Row],[cv_2026]]/10^6</f>
        <v>0</v>
      </c>
      <c r="V68" s="62" cm="1">
        <f t="array" ref="V68">INDEX(tblPrices[cv_2027], MATCH(tblByteDanceUnits[[#This Row],[Products]],tblPrices[Products],0), 0)* tblByteDanceUnits[[#This Row],[cv_2027]]/10^6</f>
        <v>0</v>
      </c>
      <c r="W68" s="62" cm="1">
        <f t="array" ref="W68">INDEX(tblPrices[cv_2028], MATCH(tblByteDanceUnits[[#This Row],[Products]],tblPrices[Products],0), 0)* tblByteDanceUnits[[#This Row],[cv_2028]]/10^6</f>
        <v>0</v>
      </c>
      <c r="X68" s="1">
        <f>VLOOKUP(A68,Products!$A$29:$F$110,6,FALSE)</f>
        <v>1600</v>
      </c>
    </row>
    <row r="69" spans="1:24" s="1" customFormat="1" ht="13.15">
      <c r="A69" s="9" t="s">
        <v>20</v>
      </c>
      <c r="B69" s="8">
        <v>0</v>
      </c>
      <c r="C69" s="8">
        <v>0</v>
      </c>
      <c r="D69" s="8"/>
      <c r="E69" s="8"/>
      <c r="F69" s="8"/>
      <c r="G69" s="8"/>
      <c r="H69" s="8"/>
      <c r="I69" s="8"/>
      <c r="J69" s="8"/>
      <c r="K69" s="8"/>
      <c r="L69" s="8"/>
      <c r="M69" s="62" cm="1">
        <f t="array" ref="M69">INDEX(tblPrices[cv_2018], MATCH(tblByteDanceUnits[[#This Row],[Products]],tblPrices[Products],0), 0)* tblByteDanceUnits[[#This Row],[cv_2018]]/10^6</f>
        <v>0</v>
      </c>
      <c r="N69" s="62" cm="1">
        <f t="array" ref="N69">INDEX(tblPrices[cv_2019], MATCH(tblByteDanceUnits[[#This Row],[Products]],tblPrices[Products],0), 0)* tblByteDanceUnits[[#This Row],[cv_2019]]/10^6</f>
        <v>0</v>
      </c>
      <c r="O69" s="62" cm="1">
        <f t="array" ref="O69">INDEX(tblPrices[cv_2020], MATCH(tblByteDanceUnits[[#This Row],[Products]],tblPrices[Products],0), 0)* tblByteDanceUnits[[#This Row],[cv_2020]]/10^6</f>
        <v>0</v>
      </c>
      <c r="P69" s="62" cm="1">
        <f t="array" ref="P69">INDEX(tblPrices[cv_2021], MATCH(tblByteDanceUnits[[#This Row],[Products]],tblPrices[Products],0), 0)* tblByteDanceUnits[[#This Row],[cv_2021]]/10^6</f>
        <v>0</v>
      </c>
      <c r="Q69" s="62" cm="1">
        <f t="array" ref="Q69">INDEX(tblPrices[cv_2022], MATCH(tblByteDanceUnits[[#This Row],[Products]],tblPrices[Products],0), 0)* tblByteDanceUnits[[#This Row],[cv_2022]]/10^6</f>
        <v>0</v>
      </c>
      <c r="R69" s="62" cm="1">
        <f t="array" ref="R69">INDEX(tblPrices[cv_2023], MATCH(tblByteDanceUnits[[#This Row],[Products]],tblPrices[Products],0), 0)* tblByteDanceUnits[[#This Row],[cv_2023]]/10^6</f>
        <v>0</v>
      </c>
      <c r="S69" s="62" cm="1">
        <f t="array" ref="S69">INDEX(tblPrices[cv_2024], MATCH(tblByteDanceUnits[[#This Row],[Products]],tblPrices[Products],0), 0)* tblByteDanceUnits[[#This Row],[cv_2024]]/10^6</f>
        <v>0</v>
      </c>
      <c r="T69" s="62" cm="1">
        <f t="array" ref="T69">INDEX(tblPrices[cv_2025], MATCH(tblByteDanceUnits[[#This Row],[Products]],tblPrices[Products],0), 0)* tblByteDanceUnits[[#This Row],[cv_2025]]/10^6</f>
        <v>0</v>
      </c>
      <c r="U69" s="62" cm="1">
        <f t="array" ref="U69">INDEX(tblPrices[cv_2026], MATCH(tblByteDanceUnits[[#This Row],[Products]],tblPrices[Products],0), 0)* tblByteDanceUnits[[#This Row],[cv_2026]]/10^6</f>
        <v>0</v>
      </c>
      <c r="V69" s="62" cm="1">
        <f t="array" ref="V69">INDEX(tblPrices[cv_2027], MATCH(tblByteDanceUnits[[#This Row],[Products]],tblPrices[Products],0), 0)* tblByteDanceUnits[[#This Row],[cv_2027]]/10^6</f>
        <v>0</v>
      </c>
      <c r="W69" s="62" cm="1">
        <f t="array" ref="W69">INDEX(tblPrices[cv_2028], MATCH(tblByteDanceUnits[[#This Row],[Products]],tblPrices[Products],0), 0)* tblByteDanceUnits[[#This Row],[cv_2028]]/10^6</f>
        <v>0</v>
      </c>
      <c r="X69" s="1">
        <f>VLOOKUP(A69,Products!$A$29:$F$110,6,FALSE)</f>
        <v>1600</v>
      </c>
    </row>
    <row r="70" spans="1:24" s="1" customFormat="1" ht="13.15">
      <c r="A70" s="72" t="s">
        <v>49</v>
      </c>
      <c r="B70" s="73">
        <v>0</v>
      </c>
      <c r="C70" s="73">
        <v>0</v>
      </c>
      <c r="D70" s="73"/>
      <c r="E70" s="73"/>
      <c r="F70" s="73"/>
      <c r="G70" s="73"/>
      <c r="H70" s="73"/>
      <c r="I70" s="73"/>
      <c r="J70" s="73"/>
      <c r="K70" s="73"/>
      <c r="L70" s="73"/>
      <c r="M70" s="115" cm="1">
        <f t="array" ref="M70">INDEX(tblPrices[cv_2018], MATCH(tblByteDanceUnits[[#This Row],[Products]],tblPrices[Products],0), 0)* tblByteDanceUnits[[#This Row],[cv_2018]]/10^6</f>
        <v>0</v>
      </c>
      <c r="N70" s="115" cm="1">
        <f t="array" ref="N70">INDEX(tblPrices[cv_2019], MATCH(tblByteDanceUnits[[#This Row],[Products]],tblPrices[Products],0), 0)* tblByteDanceUnits[[#This Row],[cv_2019]]/10^6</f>
        <v>0</v>
      </c>
      <c r="O70" s="115" cm="1">
        <f t="array" ref="O70">INDEX(tblPrices[cv_2020], MATCH(tblByteDanceUnits[[#This Row],[Products]],tblPrices[Products],0), 0)* tblByteDanceUnits[[#This Row],[cv_2020]]/10^6</f>
        <v>0</v>
      </c>
      <c r="P70" s="115" cm="1">
        <f t="array" ref="P70">INDEX(tblPrices[cv_2021], MATCH(tblByteDanceUnits[[#This Row],[Products]],tblPrices[Products],0), 0)* tblByteDanceUnits[[#This Row],[cv_2021]]/10^6</f>
        <v>0</v>
      </c>
      <c r="Q70" s="115" cm="1">
        <f t="array" ref="Q70">INDEX(tblPrices[cv_2022], MATCH(tblByteDanceUnits[[#This Row],[Products]],tblPrices[Products],0), 0)* tblByteDanceUnits[[#This Row],[cv_2022]]/10^6</f>
        <v>0</v>
      </c>
      <c r="R70" s="115" cm="1">
        <f t="array" ref="R70">INDEX(tblPrices[cv_2023], MATCH(tblByteDanceUnits[[#This Row],[Products]],tblPrices[Products],0), 0)* tblByteDanceUnits[[#This Row],[cv_2023]]/10^6</f>
        <v>0</v>
      </c>
      <c r="S70" s="115" cm="1">
        <f t="array" ref="S70">INDEX(tblPrices[cv_2024], MATCH(tblByteDanceUnits[[#This Row],[Products]],tblPrices[Products],0), 0)* tblByteDanceUnits[[#This Row],[cv_2024]]/10^6</f>
        <v>0</v>
      </c>
      <c r="T70" s="115" cm="1">
        <f t="array" ref="T70">INDEX(tblPrices[cv_2025], MATCH(tblByteDanceUnits[[#This Row],[Products]],tblPrices[Products],0), 0)* tblByteDanceUnits[[#This Row],[cv_2025]]/10^6</f>
        <v>0</v>
      </c>
      <c r="U70" s="115" cm="1">
        <f t="array" ref="U70">INDEX(tblPrices[cv_2026], MATCH(tblByteDanceUnits[[#This Row],[Products]],tblPrices[Products],0), 0)* tblByteDanceUnits[[#This Row],[cv_2026]]/10^6</f>
        <v>0</v>
      </c>
      <c r="V70" s="115" cm="1">
        <f t="array" ref="V70">INDEX(tblPrices[cv_2027], MATCH(tblByteDanceUnits[[#This Row],[Products]],tblPrices[Products],0), 0)* tblByteDanceUnits[[#This Row],[cv_2027]]/10^6</f>
        <v>0</v>
      </c>
      <c r="W70" s="115" cm="1">
        <f t="array" ref="W70">INDEX(tblPrices[cv_2028], MATCH(tblByteDanceUnits[[#This Row],[Products]],tblPrices[Products],0), 0)* tblByteDanceUnits[[#This Row],[cv_2028]]/10^6</f>
        <v>0</v>
      </c>
      <c r="X70" s="1">
        <f>VLOOKUP(A70,Products!$A$29:$F$110,6,FALSE)</f>
        <v>1600</v>
      </c>
    </row>
    <row r="71" spans="1:24">
      <c r="A71" s="9" t="s">
        <v>21</v>
      </c>
      <c r="B71" s="8">
        <v>0</v>
      </c>
      <c r="C71" s="8">
        <v>0</v>
      </c>
      <c r="D71" s="8"/>
      <c r="E71" s="8"/>
      <c r="F71" s="8"/>
      <c r="G71" s="8"/>
      <c r="H71" s="8"/>
      <c r="I71" s="8"/>
      <c r="J71" s="8"/>
      <c r="K71" s="8"/>
      <c r="L71" s="8"/>
      <c r="M71" s="62" cm="1">
        <f t="array" ref="M71">INDEX(tblPrices[cv_2018], MATCH(tblByteDanceUnits[[#This Row],[Products]],tblPrices[Products],0), 0)* tblByteDanceUnits[[#This Row],[cv_2018]]/10^6</f>
        <v>0</v>
      </c>
      <c r="N71" s="62" cm="1">
        <f t="array" ref="N71">INDEX(tblPrices[cv_2019], MATCH(tblByteDanceUnits[[#This Row],[Products]],tblPrices[Products],0), 0)* tblByteDanceUnits[[#This Row],[cv_2019]]/10^6</f>
        <v>0</v>
      </c>
      <c r="O71" s="62" cm="1">
        <f t="array" ref="O71">INDEX(tblPrices[cv_2020], MATCH(tblByteDanceUnits[[#This Row],[Products]],tblPrices[Products],0), 0)* tblByteDanceUnits[[#This Row],[cv_2020]]/10^6</f>
        <v>0</v>
      </c>
      <c r="P71" s="62" cm="1">
        <f t="array" ref="P71">INDEX(tblPrices[cv_2021], MATCH(tblByteDanceUnits[[#This Row],[Products]],tblPrices[Products],0), 0)* tblByteDanceUnits[[#This Row],[cv_2021]]/10^6</f>
        <v>0</v>
      </c>
      <c r="Q71" s="62" cm="1">
        <f t="array" ref="Q71">INDEX(tblPrices[cv_2022], MATCH(tblByteDanceUnits[[#This Row],[Products]],tblPrices[Products],0), 0)* tblByteDanceUnits[[#This Row],[cv_2022]]/10^6</f>
        <v>0</v>
      </c>
      <c r="R71" s="62" cm="1">
        <f t="array" ref="R71">INDEX(tblPrices[cv_2023], MATCH(tblByteDanceUnits[[#This Row],[Products]],tblPrices[Products],0), 0)* tblByteDanceUnits[[#This Row],[cv_2023]]/10^6</f>
        <v>0</v>
      </c>
      <c r="S71" s="62" cm="1">
        <f t="array" ref="S71">INDEX(tblPrices[cv_2024], MATCH(tblByteDanceUnits[[#This Row],[Products]],tblPrices[Products],0), 0)* tblByteDanceUnits[[#This Row],[cv_2024]]/10^6</f>
        <v>0</v>
      </c>
      <c r="T71" s="62" cm="1">
        <f t="array" ref="T71">INDEX(tblPrices[cv_2025], MATCH(tblByteDanceUnits[[#This Row],[Products]],tblPrices[Products],0), 0)* tblByteDanceUnits[[#This Row],[cv_2025]]/10^6</f>
        <v>0</v>
      </c>
      <c r="U71" s="62" cm="1">
        <f t="array" ref="U71">INDEX(tblPrices[cv_2026], MATCH(tblByteDanceUnits[[#This Row],[Products]],tblPrices[Products],0), 0)* tblByteDanceUnits[[#This Row],[cv_2026]]/10^6</f>
        <v>0</v>
      </c>
      <c r="V71" s="62" cm="1">
        <f t="array" ref="V71">INDEX(tblPrices[cv_2027], MATCH(tblByteDanceUnits[[#This Row],[Products]],tblPrices[Products],0), 0)* tblByteDanceUnits[[#This Row],[cv_2027]]/10^6</f>
        <v>0</v>
      </c>
      <c r="W71" s="62" cm="1">
        <f t="array" ref="W71">INDEX(tblPrices[cv_2028], MATCH(tblByteDanceUnits[[#This Row],[Products]],tblPrices[Products],0), 0)* tblByteDanceUnits[[#This Row],[cv_2028]]/10^6</f>
        <v>0</v>
      </c>
      <c r="X71" s="1">
        <f>VLOOKUP(A71,Products!$A$29:$F$110,6,FALSE)</f>
        <v>10</v>
      </c>
    </row>
    <row r="72" spans="1:24">
      <c r="A72" s="9" t="s">
        <v>22</v>
      </c>
      <c r="B72" s="8">
        <v>0</v>
      </c>
      <c r="C72" s="8">
        <v>0</v>
      </c>
      <c r="D72" s="8"/>
      <c r="E72" s="8"/>
      <c r="F72" s="8"/>
      <c r="G72" s="8"/>
      <c r="H72" s="8"/>
      <c r="I72" s="8"/>
      <c r="J72" s="8"/>
      <c r="K72" s="8"/>
      <c r="L72" s="8"/>
      <c r="M72" s="62" cm="1">
        <f t="array" ref="M72">INDEX(tblPrices[cv_2018], MATCH(tblByteDanceUnits[[#This Row],[Products]],tblPrices[Products],0), 0)* tblByteDanceUnits[[#This Row],[cv_2018]]/10^6</f>
        <v>0</v>
      </c>
      <c r="N72" s="62" cm="1">
        <f t="array" ref="N72">INDEX(tblPrices[cv_2019], MATCH(tblByteDanceUnits[[#This Row],[Products]],tblPrices[Products],0), 0)* tblByteDanceUnits[[#This Row],[cv_2019]]/10^6</f>
        <v>0</v>
      </c>
      <c r="O72" s="62" cm="1">
        <f t="array" ref="O72">INDEX(tblPrices[cv_2020], MATCH(tblByteDanceUnits[[#This Row],[Products]],tblPrices[Products],0), 0)* tblByteDanceUnits[[#This Row],[cv_2020]]/10^6</f>
        <v>0</v>
      </c>
      <c r="P72" s="62" cm="1">
        <f t="array" ref="P72">INDEX(tblPrices[cv_2021], MATCH(tblByteDanceUnits[[#This Row],[Products]],tblPrices[Products],0), 0)* tblByteDanceUnits[[#This Row],[cv_2021]]/10^6</f>
        <v>0</v>
      </c>
      <c r="Q72" s="62" cm="1">
        <f t="array" ref="Q72">INDEX(tblPrices[cv_2022], MATCH(tblByteDanceUnits[[#This Row],[Products]],tblPrices[Products],0), 0)* tblByteDanceUnits[[#This Row],[cv_2022]]/10^6</f>
        <v>0</v>
      </c>
      <c r="R72" s="62" cm="1">
        <f t="array" ref="R72">INDEX(tblPrices[cv_2023], MATCH(tblByteDanceUnits[[#This Row],[Products]],tblPrices[Products],0), 0)* tblByteDanceUnits[[#This Row],[cv_2023]]/10^6</f>
        <v>0</v>
      </c>
      <c r="S72" s="62" cm="1">
        <f t="array" ref="S72">INDEX(tblPrices[cv_2024], MATCH(tblByteDanceUnits[[#This Row],[Products]],tblPrices[Products],0), 0)* tblByteDanceUnits[[#This Row],[cv_2024]]/10^6</f>
        <v>0</v>
      </c>
      <c r="T72" s="62" cm="1">
        <f t="array" ref="T72">INDEX(tblPrices[cv_2025], MATCH(tblByteDanceUnits[[#This Row],[Products]],tblPrices[Products],0), 0)* tblByteDanceUnits[[#This Row],[cv_2025]]/10^6</f>
        <v>0</v>
      </c>
      <c r="U72" s="62" cm="1">
        <f t="array" ref="U72">INDEX(tblPrices[cv_2026], MATCH(tblByteDanceUnits[[#This Row],[Products]],tblPrices[Products],0), 0)* tblByteDanceUnits[[#This Row],[cv_2026]]/10^6</f>
        <v>0</v>
      </c>
      <c r="V72" s="62" cm="1">
        <f t="array" ref="V72">INDEX(tblPrices[cv_2027], MATCH(tblByteDanceUnits[[#This Row],[Products]],tblPrices[Products],0), 0)* tblByteDanceUnits[[#This Row],[cv_2027]]/10^6</f>
        <v>0</v>
      </c>
      <c r="W72" s="62" cm="1">
        <f t="array" ref="W72">INDEX(tblPrices[cv_2028], MATCH(tblByteDanceUnits[[#This Row],[Products]],tblPrices[Products],0), 0)* tblByteDanceUnits[[#This Row],[cv_2028]]/10^6</f>
        <v>0</v>
      </c>
      <c r="X72" s="1">
        <f>VLOOKUP(A72,Products!$A$29:$F$110,6,FALSE)</f>
        <v>40</v>
      </c>
    </row>
    <row r="73" spans="1:24">
      <c r="A73" s="9" t="s">
        <v>23</v>
      </c>
      <c r="B73" s="8">
        <v>0</v>
      </c>
      <c r="C73" s="8">
        <v>0</v>
      </c>
      <c r="D73" s="8"/>
      <c r="E73" s="8"/>
      <c r="F73" s="8"/>
      <c r="G73" s="8"/>
      <c r="H73" s="8"/>
      <c r="I73" s="8"/>
      <c r="J73" s="8"/>
      <c r="K73" s="8"/>
      <c r="L73" s="8"/>
      <c r="M73" s="62" cm="1">
        <f t="array" ref="M73">INDEX(tblPrices[cv_2018], MATCH(tblByteDanceUnits[[#This Row],[Products]],tblPrices[Products],0), 0)* tblByteDanceUnits[[#This Row],[cv_2018]]/10^6</f>
        <v>0</v>
      </c>
      <c r="N73" s="62" cm="1">
        <f t="array" ref="N73">INDEX(tblPrices[cv_2019], MATCH(tblByteDanceUnits[[#This Row],[Products]],tblPrices[Products],0), 0)* tblByteDanceUnits[[#This Row],[cv_2019]]/10^6</f>
        <v>0</v>
      </c>
      <c r="O73" s="62" cm="1">
        <f t="array" ref="O73">INDEX(tblPrices[cv_2020], MATCH(tblByteDanceUnits[[#This Row],[Products]],tblPrices[Products],0), 0)* tblByteDanceUnits[[#This Row],[cv_2020]]/10^6</f>
        <v>0</v>
      </c>
      <c r="P73" s="62" cm="1">
        <f t="array" ref="P73">INDEX(tblPrices[cv_2021], MATCH(tblByteDanceUnits[[#This Row],[Products]],tblPrices[Products],0), 0)* tblByteDanceUnits[[#This Row],[cv_2021]]/10^6</f>
        <v>0</v>
      </c>
      <c r="Q73" s="62" cm="1">
        <f t="array" ref="Q73">INDEX(tblPrices[cv_2022], MATCH(tblByteDanceUnits[[#This Row],[Products]],tblPrices[Products],0), 0)* tblByteDanceUnits[[#This Row],[cv_2022]]/10^6</f>
        <v>0</v>
      </c>
      <c r="R73" s="62" cm="1">
        <f t="array" ref="R73">INDEX(tblPrices[cv_2023], MATCH(tblByteDanceUnits[[#This Row],[Products]],tblPrices[Products],0), 0)* tblByteDanceUnits[[#This Row],[cv_2023]]/10^6</f>
        <v>0</v>
      </c>
      <c r="S73" s="62" cm="1">
        <f t="array" ref="S73">INDEX(tblPrices[cv_2024], MATCH(tblByteDanceUnits[[#This Row],[Products]],tblPrices[Products],0), 0)* tblByteDanceUnits[[#This Row],[cv_2024]]/10^6</f>
        <v>0</v>
      </c>
      <c r="T73" s="62" cm="1">
        <f t="array" ref="T73">INDEX(tblPrices[cv_2025], MATCH(tblByteDanceUnits[[#This Row],[Products]],tblPrices[Products],0), 0)* tblByteDanceUnits[[#This Row],[cv_2025]]/10^6</f>
        <v>0</v>
      </c>
      <c r="U73" s="62" cm="1">
        <f t="array" ref="U73">INDEX(tblPrices[cv_2026], MATCH(tblByteDanceUnits[[#This Row],[Products]],tblPrices[Products],0), 0)* tblByteDanceUnits[[#This Row],[cv_2026]]/10^6</f>
        <v>0</v>
      </c>
      <c r="V73" s="62" cm="1">
        <f t="array" ref="V73">INDEX(tblPrices[cv_2027], MATCH(tblByteDanceUnits[[#This Row],[Products]],tblPrices[Products],0), 0)* tblByteDanceUnits[[#This Row],[cv_2027]]/10^6</f>
        <v>0</v>
      </c>
      <c r="W73" s="62" cm="1">
        <f t="array" ref="W73">INDEX(tblPrices[cv_2028], MATCH(tblByteDanceUnits[[#This Row],[Products]],tblPrices[Products],0), 0)* tblByteDanceUnits[[#This Row],[cv_2028]]/10^6</f>
        <v>0</v>
      </c>
      <c r="X73" s="1">
        <f>VLOOKUP(A73,Products!$A$29:$F$110,6,FALSE)</f>
        <v>100</v>
      </c>
    </row>
    <row r="74" spans="1:24">
      <c r="A74" s="9" t="s">
        <v>24</v>
      </c>
      <c r="B74" s="8">
        <v>0</v>
      </c>
      <c r="C74" s="8">
        <v>0</v>
      </c>
      <c r="D74" s="8"/>
      <c r="E74" s="8"/>
      <c r="F74" s="8"/>
      <c r="G74" s="8"/>
      <c r="H74" s="8"/>
      <c r="I74" s="8"/>
      <c r="J74" s="8"/>
      <c r="K74" s="8"/>
      <c r="L74" s="8"/>
      <c r="M74" s="62" cm="1">
        <f t="array" ref="M74">INDEX(tblPrices[cv_2018], MATCH(tblByteDanceUnits[[#This Row],[Products]],tblPrices[Products],0), 0)* tblByteDanceUnits[[#This Row],[cv_2018]]/10^6</f>
        <v>0</v>
      </c>
      <c r="N74" s="62" cm="1">
        <f t="array" ref="N74">INDEX(tblPrices[cv_2019], MATCH(tblByteDanceUnits[[#This Row],[Products]],tblPrices[Products],0), 0)* tblByteDanceUnits[[#This Row],[cv_2019]]/10^6</f>
        <v>0</v>
      </c>
      <c r="O74" s="62" cm="1">
        <f t="array" ref="O74">INDEX(tblPrices[cv_2020], MATCH(tblByteDanceUnits[[#This Row],[Products]],tblPrices[Products],0), 0)* tblByteDanceUnits[[#This Row],[cv_2020]]/10^6</f>
        <v>0</v>
      </c>
      <c r="P74" s="62" cm="1">
        <f t="array" ref="P74">INDEX(tblPrices[cv_2021], MATCH(tblByteDanceUnits[[#This Row],[Products]],tblPrices[Products],0), 0)* tblByteDanceUnits[[#This Row],[cv_2021]]/10^6</f>
        <v>0</v>
      </c>
      <c r="Q74" s="62" cm="1">
        <f t="array" ref="Q74">INDEX(tblPrices[cv_2022], MATCH(tblByteDanceUnits[[#This Row],[Products]],tblPrices[Products],0), 0)* tblByteDanceUnits[[#This Row],[cv_2022]]/10^6</f>
        <v>0</v>
      </c>
      <c r="R74" s="62" cm="1">
        <f t="array" ref="R74">INDEX(tblPrices[cv_2023], MATCH(tblByteDanceUnits[[#This Row],[Products]],tblPrices[Products],0), 0)* tblByteDanceUnits[[#This Row],[cv_2023]]/10^6</f>
        <v>0</v>
      </c>
      <c r="S74" s="62" cm="1">
        <f t="array" ref="S74">INDEX(tblPrices[cv_2024], MATCH(tblByteDanceUnits[[#This Row],[Products]],tblPrices[Products],0), 0)* tblByteDanceUnits[[#This Row],[cv_2024]]/10^6</f>
        <v>0</v>
      </c>
      <c r="T74" s="62" cm="1">
        <f t="array" ref="T74">INDEX(tblPrices[cv_2025], MATCH(tblByteDanceUnits[[#This Row],[Products]],tblPrices[Products],0), 0)* tblByteDanceUnits[[#This Row],[cv_2025]]/10^6</f>
        <v>0</v>
      </c>
      <c r="U74" s="62" cm="1">
        <f t="array" ref="U74">INDEX(tblPrices[cv_2026], MATCH(tblByteDanceUnits[[#This Row],[Products]],tblPrices[Products],0), 0)* tblByteDanceUnits[[#This Row],[cv_2026]]/10^6</f>
        <v>0</v>
      </c>
      <c r="V74" s="62" cm="1">
        <f t="array" ref="V74">INDEX(tblPrices[cv_2027], MATCH(tblByteDanceUnits[[#This Row],[Products]],tblPrices[Products],0), 0)* tblByteDanceUnits[[#This Row],[cv_2027]]/10^6</f>
        <v>0</v>
      </c>
      <c r="W74" s="62" cm="1">
        <f t="array" ref="W74">INDEX(tblPrices[cv_2028], MATCH(tblByteDanceUnits[[#This Row],[Products]],tblPrices[Products],0), 0)* tblByteDanceUnits[[#This Row],[cv_2028]]/10^6</f>
        <v>0</v>
      </c>
      <c r="X74" s="1">
        <f>VLOOKUP(A74,Products!$A$29:$F$110,6,FALSE)</f>
        <v>100</v>
      </c>
    </row>
    <row r="75" spans="1:24">
      <c r="A75" s="9" t="s">
        <v>25</v>
      </c>
      <c r="B75" s="8">
        <v>0</v>
      </c>
      <c r="C75" s="8">
        <v>0</v>
      </c>
      <c r="D75" s="8"/>
      <c r="E75" s="8"/>
      <c r="F75" s="8"/>
      <c r="G75" s="8"/>
      <c r="H75" s="8"/>
      <c r="I75" s="8"/>
      <c r="J75" s="8"/>
      <c r="K75" s="8"/>
      <c r="L75" s="8"/>
      <c r="M75" s="62" cm="1">
        <f t="array" ref="M75">INDEX(tblPrices[cv_2018], MATCH(tblByteDanceUnits[[#This Row],[Products]],tblPrices[Products],0), 0)* tblByteDanceUnits[[#This Row],[cv_2018]]/10^6</f>
        <v>0</v>
      </c>
      <c r="N75" s="62" cm="1">
        <f t="array" ref="N75">INDEX(tblPrices[cv_2019], MATCH(tblByteDanceUnits[[#This Row],[Products]],tblPrices[Products],0), 0)* tblByteDanceUnits[[#This Row],[cv_2019]]/10^6</f>
        <v>0</v>
      </c>
      <c r="O75" s="62" cm="1">
        <f t="array" ref="O75">INDEX(tblPrices[cv_2020], MATCH(tblByteDanceUnits[[#This Row],[Products]],tblPrices[Products],0), 0)* tblByteDanceUnits[[#This Row],[cv_2020]]/10^6</f>
        <v>0</v>
      </c>
      <c r="P75" s="62" cm="1">
        <f t="array" ref="P75">INDEX(tblPrices[cv_2021], MATCH(tblByteDanceUnits[[#This Row],[Products]],tblPrices[Products],0), 0)* tblByteDanceUnits[[#This Row],[cv_2021]]/10^6</f>
        <v>0</v>
      </c>
      <c r="Q75" s="62" cm="1">
        <f t="array" ref="Q75">INDEX(tblPrices[cv_2022], MATCH(tblByteDanceUnits[[#This Row],[Products]],tblPrices[Products],0), 0)* tblByteDanceUnits[[#This Row],[cv_2022]]/10^6</f>
        <v>0</v>
      </c>
      <c r="R75" s="62" cm="1">
        <f t="array" ref="R75">INDEX(tblPrices[cv_2023], MATCH(tblByteDanceUnits[[#This Row],[Products]],tblPrices[Products],0), 0)* tblByteDanceUnits[[#This Row],[cv_2023]]/10^6</f>
        <v>0</v>
      </c>
      <c r="S75" s="62" cm="1">
        <f t="array" ref="S75">INDEX(tblPrices[cv_2024], MATCH(tblByteDanceUnits[[#This Row],[Products]],tblPrices[Products],0), 0)* tblByteDanceUnits[[#This Row],[cv_2024]]/10^6</f>
        <v>0</v>
      </c>
      <c r="T75" s="62" cm="1">
        <f t="array" ref="T75">INDEX(tblPrices[cv_2025], MATCH(tblByteDanceUnits[[#This Row],[Products]],tblPrices[Products],0), 0)* tblByteDanceUnits[[#This Row],[cv_2025]]/10^6</f>
        <v>0</v>
      </c>
      <c r="U75" s="62" cm="1">
        <f t="array" ref="U75">INDEX(tblPrices[cv_2026], MATCH(tblByteDanceUnits[[#This Row],[Products]],tblPrices[Products],0), 0)* tblByteDanceUnits[[#This Row],[cv_2026]]/10^6</f>
        <v>0</v>
      </c>
      <c r="V75" s="62" cm="1">
        <f t="array" ref="V75">INDEX(tblPrices[cv_2027], MATCH(tblByteDanceUnits[[#This Row],[Products]],tblPrices[Products],0), 0)* tblByteDanceUnits[[#This Row],[cv_2027]]/10^6</f>
        <v>0</v>
      </c>
      <c r="W75" s="62" cm="1">
        <f t="array" ref="W75">INDEX(tblPrices[cv_2028], MATCH(tblByteDanceUnits[[#This Row],[Products]],tblPrices[Products],0), 0)* tblByteDanceUnits[[#This Row],[cv_2028]]/10^6</f>
        <v>0</v>
      </c>
      <c r="X75" s="1">
        <f>VLOOKUP(A75,Products!$A$29:$F$110,6,FALSE)</f>
        <v>100</v>
      </c>
    </row>
    <row r="76" spans="1:24">
      <c r="A76" s="9" t="s">
        <v>26</v>
      </c>
      <c r="B76" s="8">
        <v>0</v>
      </c>
      <c r="C76" s="8">
        <v>0</v>
      </c>
      <c r="D76" s="8"/>
      <c r="E76" s="8"/>
      <c r="F76" s="8"/>
      <c r="G76" s="8"/>
      <c r="H76" s="8"/>
      <c r="I76" s="8"/>
      <c r="J76" s="8"/>
      <c r="K76" s="8"/>
      <c r="L76" s="8"/>
      <c r="M76" s="62" cm="1">
        <f t="array" ref="M76">INDEX(tblPrices[cv_2018], MATCH(tblByteDanceUnits[[#This Row],[Products]],tblPrices[Products],0), 0)* tblByteDanceUnits[[#This Row],[cv_2018]]/10^6</f>
        <v>0</v>
      </c>
      <c r="N76" s="62" cm="1">
        <f t="array" ref="N76">INDEX(tblPrices[cv_2019], MATCH(tblByteDanceUnits[[#This Row],[Products]],tblPrices[Products],0), 0)* tblByteDanceUnits[[#This Row],[cv_2019]]/10^6</f>
        <v>0</v>
      </c>
      <c r="O76" s="62" cm="1">
        <f t="array" ref="O76">INDEX(tblPrices[cv_2020], MATCH(tblByteDanceUnits[[#This Row],[Products]],tblPrices[Products],0), 0)* tblByteDanceUnits[[#This Row],[cv_2020]]/10^6</f>
        <v>0</v>
      </c>
      <c r="P76" s="62" cm="1">
        <f t="array" ref="P76">INDEX(tblPrices[cv_2021], MATCH(tblByteDanceUnits[[#This Row],[Products]],tblPrices[Products],0), 0)* tblByteDanceUnits[[#This Row],[cv_2021]]/10^6</f>
        <v>0</v>
      </c>
      <c r="Q76" s="62" cm="1">
        <f t="array" ref="Q76">INDEX(tblPrices[cv_2022], MATCH(tblByteDanceUnits[[#This Row],[Products]],tblPrices[Products],0), 0)* tblByteDanceUnits[[#This Row],[cv_2022]]/10^6</f>
        <v>0</v>
      </c>
      <c r="R76" s="62" cm="1">
        <f t="array" ref="R76">INDEX(tblPrices[cv_2023], MATCH(tblByteDanceUnits[[#This Row],[Products]],tblPrices[Products],0), 0)* tblByteDanceUnits[[#This Row],[cv_2023]]/10^6</f>
        <v>0</v>
      </c>
      <c r="S76" s="62" cm="1">
        <f t="array" ref="S76">INDEX(tblPrices[cv_2024], MATCH(tblByteDanceUnits[[#This Row],[Products]],tblPrices[Products],0), 0)* tblByteDanceUnits[[#This Row],[cv_2024]]/10^6</f>
        <v>0</v>
      </c>
      <c r="T76" s="62" cm="1">
        <f t="array" ref="T76">INDEX(tblPrices[cv_2025], MATCH(tblByteDanceUnits[[#This Row],[Products]],tblPrices[Products],0), 0)* tblByteDanceUnits[[#This Row],[cv_2025]]/10^6</f>
        <v>0</v>
      </c>
      <c r="U76" s="62" cm="1">
        <f t="array" ref="U76">INDEX(tblPrices[cv_2026], MATCH(tblByteDanceUnits[[#This Row],[Products]],tblPrices[Products],0), 0)* tblByteDanceUnits[[#This Row],[cv_2026]]/10^6</f>
        <v>0</v>
      </c>
      <c r="V76" s="62" cm="1">
        <f t="array" ref="V76">INDEX(tblPrices[cv_2027], MATCH(tblByteDanceUnits[[#This Row],[Products]],tblPrices[Products],0), 0)* tblByteDanceUnits[[#This Row],[cv_2027]]/10^6</f>
        <v>0</v>
      </c>
      <c r="W76" s="62" cm="1">
        <f t="array" ref="W76">INDEX(tblPrices[cv_2028], MATCH(tblByteDanceUnits[[#This Row],[Products]],tblPrices[Products],0), 0)* tblByteDanceUnits[[#This Row],[cv_2028]]/10^6</f>
        <v>0</v>
      </c>
      <c r="X76" s="1">
        <f>VLOOKUP(A76,Products!$A$29:$F$110,6,FALSE)</f>
        <v>100</v>
      </c>
    </row>
    <row r="77" spans="1:24">
      <c r="A77" s="9" t="s">
        <v>27</v>
      </c>
      <c r="B77" s="8">
        <v>0</v>
      </c>
      <c r="C77" s="8">
        <v>0</v>
      </c>
      <c r="D77" s="8"/>
      <c r="E77" s="8"/>
      <c r="F77" s="8"/>
      <c r="G77" s="8"/>
      <c r="H77" s="8"/>
      <c r="I77" s="8"/>
      <c r="J77" s="8"/>
      <c r="K77" s="8"/>
      <c r="L77" s="8"/>
      <c r="M77" s="62" cm="1">
        <f t="array" ref="M77">INDEX(tblPrices[cv_2018], MATCH(tblByteDanceUnits[[#This Row],[Products]],tblPrices[Products],0), 0)* tblByteDanceUnits[[#This Row],[cv_2018]]/10^6</f>
        <v>0</v>
      </c>
      <c r="N77" s="62" cm="1">
        <f t="array" ref="N77">INDEX(tblPrices[cv_2019], MATCH(tblByteDanceUnits[[#This Row],[Products]],tblPrices[Products],0), 0)* tblByteDanceUnits[[#This Row],[cv_2019]]/10^6</f>
        <v>0</v>
      </c>
      <c r="O77" s="62" cm="1">
        <f t="array" ref="O77">INDEX(tblPrices[cv_2020], MATCH(tblByteDanceUnits[[#This Row],[Products]],tblPrices[Products],0), 0)* tblByteDanceUnits[[#This Row],[cv_2020]]/10^6</f>
        <v>0</v>
      </c>
      <c r="P77" s="62" cm="1">
        <f t="array" ref="P77">INDEX(tblPrices[cv_2021], MATCH(tblByteDanceUnits[[#This Row],[Products]],tblPrices[Products],0), 0)* tblByteDanceUnits[[#This Row],[cv_2021]]/10^6</f>
        <v>0</v>
      </c>
      <c r="Q77" s="62" cm="1">
        <f t="array" ref="Q77">INDEX(tblPrices[cv_2022], MATCH(tblByteDanceUnits[[#This Row],[Products]],tblPrices[Products],0), 0)* tblByteDanceUnits[[#This Row],[cv_2022]]/10^6</f>
        <v>0</v>
      </c>
      <c r="R77" s="62" cm="1">
        <f t="array" ref="R77">INDEX(tblPrices[cv_2023], MATCH(tblByteDanceUnits[[#This Row],[Products]],tblPrices[Products],0), 0)* tblByteDanceUnits[[#This Row],[cv_2023]]/10^6</f>
        <v>0</v>
      </c>
      <c r="S77" s="62" cm="1">
        <f t="array" ref="S77">INDEX(tblPrices[cv_2024], MATCH(tblByteDanceUnits[[#This Row],[Products]],tblPrices[Products],0), 0)* tblByteDanceUnits[[#This Row],[cv_2024]]/10^6</f>
        <v>0</v>
      </c>
      <c r="T77" s="62" cm="1">
        <f t="array" ref="T77">INDEX(tblPrices[cv_2025], MATCH(tblByteDanceUnits[[#This Row],[Products]],tblPrices[Products],0), 0)* tblByteDanceUnits[[#This Row],[cv_2025]]/10^6</f>
        <v>0</v>
      </c>
      <c r="U77" s="62" cm="1">
        <f t="array" ref="U77">INDEX(tblPrices[cv_2026], MATCH(tblByteDanceUnits[[#This Row],[Products]],tblPrices[Products],0), 0)* tblByteDanceUnits[[#This Row],[cv_2026]]/10^6</f>
        <v>0</v>
      </c>
      <c r="V77" s="62" cm="1">
        <f t="array" ref="V77">INDEX(tblPrices[cv_2027], MATCH(tblByteDanceUnits[[#This Row],[Products]],tblPrices[Products],0), 0)* tblByteDanceUnits[[#This Row],[cv_2027]]/10^6</f>
        <v>0</v>
      </c>
      <c r="W77" s="62" cm="1">
        <f t="array" ref="W77">INDEX(tblPrices[cv_2028], MATCH(tblByteDanceUnits[[#This Row],[Products]],tblPrices[Products],0), 0)* tblByteDanceUnits[[#This Row],[cv_2028]]/10^6</f>
        <v>0</v>
      </c>
      <c r="X77" s="1">
        <f>VLOOKUP(A77,Products!$A$29:$F$110,6,FALSE)</f>
        <v>100</v>
      </c>
    </row>
    <row r="78" spans="1:24">
      <c r="A78" s="9" t="s">
        <v>28</v>
      </c>
      <c r="B78" s="8">
        <v>0</v>
      </c>
      <c r="C78" s="8">
        <v>0</v>
      </c>
      <c r="D78" s="8"/>
      <c r="E78" s="8"/>
      <c r="F78" s="8"/>
      <c r="G78" s="8"/>
      <c r="H78" s="8"/>
      <c r="I78" s="8"/>
      <c r="J78" s="8"/>
      <c r="K78" s="8"/>
      <c r="L78" s="8"/>
      <c r="M78" s="62" cm="1">
        <f t="array" ref="M78">INDEX(tblPrices[cv_2018], MATCH(tblByteDanceUnits[[#This Row],[Products]],tblPrices[Products],0), 0)* tblByteDanceUnits[[#This Row],[cv_2018]]/10^6</f>
        <v>0</v>
      </c>
      <c r="N78" s="62" cm="1">
        <f t="array" ref="N78">INDEX(tblPrices[cv_2019], MATCH(tblByteDanceUnits[[#This Row],[Products]],tblPrices[Products],0), 0)* tblByteDanceUnits[[#This Row],[cv_2019]]/10^6</f>
        <v>0</v>
      </c>
      <c r="O78" s="62" cm="1">
        <f t="array" ref="O78">INDEX(tblPrices[cv_2020], MATCH(tblByteDanceUnits[[#This Row],[Products]],tblPrices[Products],0), 0)* tblByteDanceUnits[[#This Row],[cv_2020]]/10^6</f>
        <v>0</v>
      </c>
      <c r="P78" s="62" cm="1">
        <f t="array" ref="P78">INDEX(tblPrices[cv_2021], MATCH(tblByteDanceUnits[[#This Row],[Products]],tblPrices[Products],0), 0)* tblByteDanceUnits[[#This Row],[cv_2021]]/10^6</f>
        <v>0</v>
      </c>
      <c r="Q78" s="62" cm="1">
        <f t="array" ref="Q78">INDEX(tblPrices[cv_2022], MATCH(tblByteDanceUnits[[#This Row],[Products]],tblPrices[Products],0), 0)* tblByteDanceUnits[[#This Row],[cv_2022]]/10^6</f>
        <v>0</v>
      </c>
      <c r="R78" s="62" cm="1">
        <f t="array" ref="R78">INDEX(tblPrices[cv_2023], MATCH(tblByteDanceUnits[[#This Row],[Products]],tblPrices[Products],0), 0)* tblByteDanceUnits[[#This Row],[cv_2023]]/10^6</f>
        <v>0</v>
      </c>
      <c r="S78" s="62" cm="1">
        <f t="array" ref="S78">INDEX(tblPrices[cv_2024], MATCH(tblByteDanceUnits[[#This Row],[Products]],tblPrices[Products],0), 0)* tblByteDanceUnits[[#This Row],[cv_2024]]/10^6</f>
        <v>0</v>
      </c>
      <c r="T78" s="62" cm="1">
        <f t="array" ref="T78">INDEX(tblPrices[cv_2025], MATCH(tblByteDanceUnits[[#This Row],[Products]],tblPrices[Products],0), 0)* tblByteDanceUnits[[#This Row],[cv_2025]]/10^6</f>
        <v>0</v>
      </c>
      <c r="U78" s="62" cm="1">
        <f t="array" ref="U78">INDEX(tblPrices[cv_2026], MATCH(tblByteDanceUnits[[#This Row],[Products]],tblPrices[Products],0), 0)* tblByteDanceUnits[[#This Row],[cv_2026]]/10^6</f>
        <v>0</v>
      </c>
      <c r="V78" s="62" cm="1">
        <f t="array" ref="V78">INDEX(tblPrices[cv_2027], MATCH(tblByteDanceUnits[[#This Row],[Products]],tblPrices[Products],0), 0)* tblByteDanceUnits[[#This Row],[cv_2027]]/10^6</f>
        <v>0</v>
      </c>
      <c r="W78" s="62" cm="1">
        <f t="array" ref="W78">INDEX(tblPrices[cv_2028], MATCH(tblByteDanceUnits[[#This Row],[Products]],tblPrices[Products],0), 0)* tblByteDanceUnits[[#This Row],[cv_2028]]/10^6</f>
        <v>0</v>
      </c>
      <c r="X78" s="1">
        <f>VLOOKUP(A78,Products!$A$29:$F$110,6,FALSE)</f>
        <v>200</v>
      </c>
    </row>
    <row r="79" spans="1:24">
      <c r="A79" s="9" t="s">
        <v>29</v>
      </c>
      <c r="B79" s="8">
        <v>0</v>
      </c>
      <c r="C79" s="8">
        <v>0</v>
      </c>
      <c r="D79" s="8"/>
      <c r="E79" s="8"/>
      <c r="F79" s="8"/>
      <c r="G79" s="8"/>
      <c r="H79" s="8"/>
      <c r="I79" s="8"/>
      <c r="J79" s="8"/>
      <c r="K79" s="8"/>
      <c r="L79" s="8"/>
      <c r="M79" s="62" cm="1">
        <f t="array" ref="M79">INDEX(tblPrices[cv_2018], MATCH(tblByteDanceUnits[[#This Row],[Products]],tblPrices[Products],0), 0)* tblByteDanceUnits[[#This Row],[cv_2018]]/10^6</f>
        <v>0</v>
      </c>
      <c r="N79" s="62" cm="1">
        <f t="array" ref="N79">INDEX(tblPrices[cv_2019], MATCH(tblByteDanceUnits[[#This Row],[Products]],tblPrices[Products],0), 0)* tblByteDanceUnits[[#This Row],[cv_2019]]/10^6</f>
        <v>0</v>
      </c>
      <c r="O79" s="62" cm="1">
        <f t="array" ref="O79">INDEX(tblPrices[cv_2020], MATCH(tblByteDanceUnits[[#This Row],[Products]],tblPrices[Products],0), 0)* tblByteDanceUnits[[#This Row],[cv_2020]]/10^6</f>
        <v>0</v>
      </c>
      <c r="P79" s="62" cm="1">
        <f t="array" ref="P79">INDEX(tblPrices[cv_2021], MATCH(tblByteDanceUnits[[#This Row],[Products]],tblPrices[Products],0), 0)* tblByteDanceUnits[[#This Row],[cv_2021]]/10^6</f>
        <v>0</v>
      </c>
      <c r="Q79" s="62" cm="1">
        <f t="array" ref="Q79">INDEX(tblPrices[cv_2022], MATCH(tblByteDanceUnits[[#This Row],[Products]],tblPrices[Products],0), 0)* tblByteDanceUnits[[#This Row],[cv_2022]]/10^6</f>
        <v>0</v>
      </c>
      <c r="R79" s="62" cm="1">
        <f t="array" ref="R79">INDEX(tblPrices[cv_2023], MATCH(tblByteDanceUnits[[#This Row],[Products]],tblPrices[Products],0), 0)* tblByteDanceUnits[[#This Row],[cv_2023]]/10^6</f>
        <v>0</v>
      </c>
      <c r="S79" s="62" cm="1">
        <f t="array" ref="S79">INDEX(tblPrices[cv_2024], MATCH(tblByteDanceUnits[[#This Row],[Products]],tblPrices[Products],0), 0)* tblByteDanceUnits[[#This Row],[cv_2024]]/10^6</f>
        <v>0</v>
      </c>
      <c r="T79" s="62" cm="1">
        <f t="array" ref="T79">INDEX(tblPrices[cv_2025], MATCH(tblByteDanceUnits[[#This Row],[Products]],tblPrices[Products],0), 0)* tblByteDanceUnits[[#This Row],[cv_2025]]/10^6</f>
        <v>0</v>
      </c>
      <c r="U79" s="62" cm="1">
        <f t="array" ref="U79">INDEX(tblPrices[cv_2026], MATCH(tblByteDanceUnits[[#This Row],[Products]],tblPrices[Products],0), 0)* tblByteDanceUnits[[#This Row],[cv_2026]]/10^6</f>
        <v>0</v>
      </c>
      <c r="V79" s="62" cm="1">
        <f t="array" ref="V79">INDEX(tblPrices[cv_2027], MATCH(tblByteDanceUnits[[#This Row],[Products]],tblPrices[Products],0), 0)* tblByteDanceUnits[[#This Row],[cv_2027]]/10^6</f>
        <v>0</v>
      </c>
      <c r="W79" s="62" cm="1">
        <f t="array" ref="W79">INDEX(tblPrices[cv_2028], MATCH(tblByteDanceUnits[[#This Row],[Products]],tblPrices[Products],0), 0)* tblByteDanceUnits[[#This Row],[cv_2028]]/10^6</f>
        <v>0</v>
      </c>
      <c r="X79" s="1">
        <f>VLOOKUP(A79,Products!$A$29:$F$110,6,FALSE)</f>
        <v>200</v>
      </c>
    </row>
    <row r="80" spans="1:24">
      <c r="A80" s="9" t="s">
        <v>30</v>
      </c>
      <c r="B80" s="8">
        <v>0</v>
      </c>
      <c r="C80" s="8">
        <v>0</v>
      </c>
      <c r="D80" s="8"/>
      <c r="E80" s="8"/>
      <c r="F80" s="8"/>
      <c r="G80" s="8"/>
      <c r="H80" s="8"/>
      <c r="I80" s="8"/>
      <c r="J80" s="8"/>
      <c r="K80" s="8"/>
      <c r="L80" s="8"/>
      <c r="M80" s="62" cm="1">
        <f t="array" ref="M80">INDEX(tblPrices[cv_2018], MATCH(tblByteDanceUnits[[#This Row],[Products]],tblPrices[Products],0), 0)* tblByteDanceUnits[[#This Row],[cv_2018]]/10^6</f>
        <v>0</v>
      </c>
      <c r="N80" s="62" cm="1">
        <f t="array" ref="N80">INDEX(tblPrices[cv_2019], MATCH(tblByteDanceUnits[[#This Row],[Products]],tblPrices[Products],0), 0)* tblByteDanceUnits[[#This Row],[cv_2019]]/10^6</f>
        <v>0</v>
      </c>
      <c r="O80" s="62" cm="1">
        <f t="array" ref="O80">INDEX(tblPrices[cv_2020], MATCH(tblByteDanceUnits[[#This Row],[Products]],tblPrices[Products],0), 0)* tblByteDanceUnits[[#This Row],[cv_2020]]/10^6</f>
        <v>0</v>
      </c>
      <c r="P80" s="62" cm="1">
        <f t="array" ref="P80">INDEX(tblPrices[cv_2021], MATCH(tblByteDanceUnits[[#This Row],[Products]],tblPrices[Products],0), 0)* tblByteDanceUnits[[#This Row],[cv_2021]]/10^6</f>
        <v>0</v>
      </c>
      <c r="Q80" s="62" cm="1">
        <f t="array" ref="Q80">INDEX(tblPrices[cv_2022], MATCH(tblByteDanceUnits[[#This Row],[Products]],tblPrices[Products],0), 0)* tblByteDanceUnits[[#This Row],[cv_2022]]/10^6</f>
        <v>0</v>
      </c>
      <c r="R80" s="62" cm="1">
        <f t="array" ref="R80">INDEX(tblPrices[cv_2023], MATCH(tblByteDanceUnits[[#This Row],[Products]],tblPrices[Products],0), 0)* tblByteDanceUnits[[#This Row],[cv_2023]]/10^6</f>
        <v>0</v>
      </c>
      <c r="S80" s="62" cm="1">
        <f t="array" ref="S80">INDEX(tblPrices[cv_2024], MATCH(tblByteDanceUnits[[#This Row],[Products]],tblPrices[Products],0), 0)* tblByteDanceUnits[[#This Row],[cv_2024]]/10^6</f>
        <v>0</v>
      </c>
      <c r="T80" s="62" cm="1">
        <f t="array" ref="T80">INDEX(tblPrices[cv_2025], MATCH(tblByteDanceUnits[[#This Row],[Products]],tblPrices[Products],0), 0)* tblByteDanceUnits[[#This Row],[cv_2025]]/10^6</f>
        <v>0</v>
      </c>
      <c r="U80" s="62" cm="1">
        <f t="array" ref="U80">INDEX(tblPrices[cv_2026], MATCH(tblByteDanceUnits[[#This Row],[Products]],tblPrices[Products],0), 0)* tblByteDanceUnits[[#This Row],[cv_2026]]/10^6</f>
        <v>0</v>
      </c>
      <c r="V80" s="62" cm="1">
        <f t="array" ref="V80">INDEX(tblPrices[cv_2027], MATCH(tblByteDanceUnits[[#This Row],[Products]],tblPrices[Products],0), 0)* tblByteDanceUnits[[#This Row],[cv_2027]]/10^6</f>
        <v>0</v>
      </c>
      <c r="W80" s="62" cm="1">
        <f t="array" ref="W80">INDEX(tblPrices[cv_2028], MATCH(tblByteDanceUnits[[#This Row],[Products]],tblPrices[Products],0), 0)* tblByteDanceUnits[[#This Row],[cv_2028]]/10^6</f>
        <v>0</v>
      </c>
      <c r="X80" s="1">
        <f>VLOOKUP(A80,Products!$A$29:$F$110,6,FALSE)</f>
        <v>200</v>
      </c>
    </row>
    <row r="81" spans="1:24">
      <c r="A81" s="9" t="s">
        <v>31</v>
      </c>
      <c r="B81" s="8">
        <v>0</v>
      </c>
      <c r="C81" s="8">
        <v>0</v>
      </c>
      <c r="D81" s="8"/>
      <c r="E81" s="8"/>
      <c r="F81" s="8"/>
      <c r="G81" s="8"/>
      <c r="H81" s="8"/>
      <c r="I81" s="8"/>
      <c r="J81" s="8"/>
      <c r="K81" s="8"/>
      <c r="L81" s="8"/>
      <c r="M81" s="62" cm="1">
        <f t="array" ref="M81">INDEX(tblPrices[cv_2018], MATCH(tblByteDanceUnits[[#This Row],[Products]],tblPrices[Products],0), 0)* tblByteDanceUnits[[#This Row],[cv_2018]]/10^6</f>
        <v>0</v>
      </c>
      <c r="N81" s="62" cm="1">
        <f t="array" ref="N81">INDEX(tblPrices[cv_2019], MATCH(tblByteDanceUnits[[#This Row],[Products]],tblPrices[Products],0), 0)* tblByteDanceUnits[[#This Row],[cv_2019]]/10^6</f>
        <v>0</v>
      </c>
      <c r="O81" s="62" cm="1">
        <f t="array" ref="O81">INDEX(tblPrices[cv_2020], MATCH(tblByteDanceUnits[[#This Row],[Products]],tblPrices[Products],0), 0)* tblByteDanceUnits[[#This Row],[cv_2020]]/10^6</f>
        <v>0</v>
      </c>
      <c r="P81" s="62" cm="1">
        <f t="array" ref="P81">INDEX(tblPrices[cv_2021], MATCH(tblByteDanceUnits[[#This Row],[Products]],tblPrices[Products],0), 0)* tblByteDanceUnits[[#This Row],[cv_2021]]/10^6</f>
        <v>0</v>
      </c>
      <c r="Q81" s="62" cm="1">
        <f t="array" ref="Q81">INDEX(tblPrices[cv_2022], MATCH(tblByteDanceUnits[[#This Row],[Products]],tblPrices[Products],0), 0)* tblByteDanceUnits[[#This Row],[cv_2022]]/10^6</f>
        <v>0</v>
      </c>
      <c r="R81" s="62" cm="1">
        <f t="array" ref="R81">INDEX(tblPrices[cv_2023], MATCH(tblByteDanceUnits[[#This Row],[Products]],tblPrices[Products],0), 0)* tblByteDanceUnits[[#This Row],[cv_2023]]/10^6</f>
        <v>0</v>
      </c>
      <c r="S81" s="62" cm="1">
        <f t="array" ref="S81">INDEX(tblPrices[cv_2024], MATCH(tblByteDanceUnits[[#This Row],[Products]],tblPrices[Products],0), 0)* tblByteDanceUnits[[#This Row],[cv_2024]]/10^6</f>
        <v>0</v>
      </c>
      <c r="T81" s="62" cm="1">
        <f t="array" ref="T81">INDEX(tblPrices[cv_2025], MATCH(tblByteDanceUnits[[#This Row],[Products]],tblPrices[Products],0), 0)* tblByteDanceUnits[[#This Row],[cv_2025]]/10^6</f>
        <v>0</v>
      </c>
      <c r="U81" s="62" cm="1">
        <f t="array" ref="U81">INDEX(tblPrices[cv_2026], MATCH(tblByteDanceUnits[[#This Row],[Products]],tblPrices[Products],0), 0)* tblByteDanceUnits[[#This Row],[cv_2026]]/10^6</f>
        <v>0</v>
      </c>
      <c r="V81" s="62" cm="1">
        <f t="array" ref="V81">INDEX(tblPrices[cv_2027], MATCH(tblByteDanceUnits[[#This Row],[Products]],tblPrices[Products],0), 0)* tblByteDanceUnits[[#This Row],[cv_2027]]/10^6</f>
        <v>0</v>
      </c>
      <c r="W81" s="62" cm="1">
        <f t="array" ref="W81">INDEX(tblPrices[cv_2028], MATCH(tblByteDanceUnits[[#This Row],[Products]],tblPrices[Products],0), 0)* tblByteDanceUnits[[#This Row],[cv_2028]]/10^6</f>
        <v>0</v>
      </c>
      <c r="X81" s="1">
        <f>VLOOKUP(A81,Products!$A$29:$F$110,6,FALSE)</f>
        <v>400</v>
      </c>
    </row>
    <row r="82" spans="1:24">
      <c r="A82" s="9" t="s">
        <v>32</v>
      </c>
      <c r="B82" s="8">
        <v>0</v>
      </c>
      <c r="C82" s="8">
        <v>0</v>
      </c>
      <c r="D82" s="8"/>
      <c r="E82" s="8"/>
      <c r="F82" s="8"/>
      <c r="G82" s="8"/>
      <c r="H82" s="8"/>
      <c r="I82" s="8"/>
      <c r="J82" s="8"/>
      <c r="K82" s="8"/>
      <c r="L82" s="8"/>
      <c r="M82" s="62" cm="1">
        <f t="array" ref="M82">INDEX(tblPrices[cv_2018], MATCH(tblByteDanceUnits[[#This Row],[Products]],tblPrices[Products],0), 0)* tblByteDanceUnits[[#This Row],[cv_2018]]/10^6</f>
        <v>0</v>
      </c>
      <c r="N82" s="62" cm="1">
        <f t="array" ref="N82">INDEX(tblPrices[cv_2019], MATCH(tblByteDanceUnits[[#This Row],[Products]],tblPrices[Products],0), 0)* tblByteDanceUnits[[#This Row],[cv_2019]]/10^6</f>
        <v>0</v>
      </c>
      <c r="O82" s="62" cm="1">
        <f t="array" ref="O82">INDEX(tblPrices[cv_2020], MATCH(tblByteDanceUnits[[#This Row],[Products]],tblPrices[Products],0), 0)* tblByteDanceUnits[[#This Row],[cv_2020]]/10^6</f>
        <v>0</v>
      </c>
      <c r="P82" s="62" cm="1">
        <f t="array" ref="P82">INDEX(tblPrices[cv_2021], MATCH(tblByteDanceUnits[[#This Row],[Products]],tblPrices[Products],0), 0)* tblByteDanceUnits[[#This Row],[cv_2021]]/10^6</f>
        <v>0</v>
      </c>
      <c r="Q82" s="62" cm="1">
        <f t="array" ref="Q82">INDEX(tblPrices[cv_2022], MATCH(tblByteDanceUnits[[#This Row],[Products]],tblPrices[Products],0), 0)* tblByteDanceUnits[[#This Row],[cv_2022]]/10^6</f>
        <v>0</v>
      </c>
      <c r="R82" s="62" cm="1">
        <f t="array" ref="R82">INDEX(tblPrices[cv_2023], MATCH(tblByteDanceUnits[[#This Row],[Products]],tblPrices[Products],0), 0)* tblByteDanceUnits[[#This Row],[cv_2023]]/10^6</f>
        <v>0</v>
      </c>
      <c r="S82" s="62" cm="1">
        <f t="array" ref="S82">INDEX(tblPrices[cv_2024], MATCH(tblByteDanceUnits[[#This Row],[Products]],tblPrices[Products],0), 0)* tblByteDanceUnits[[#This Row],[cv_2024]]/10^6</f>
        <v>0</v>
      </c>
      <c r="T82" s="62" cm="1">
        <f t="array" ref="T82">INDEX(tblPrices[cv_2025], MATCH(tblByteDanceUnits[[#This Row],[Products]],tblPrices[Products],0), 0)* tblByteDanceUnits[[#This Row],[cv_2025]]/10^6</f>
        <v>0</v>
      </c>
      <c r="U82" s="62" cm="1">
        <f t="array" ref="U82">INDEX(tblPrices[cv_2026], MATCH(tblByteDanceUnits[[#This Row],[Products]],tblPrices[Products],0), 0)* tblByteDanceUnits[[#This Row],[cv_2026]]/10^6</f>
        <v>0</v>
      </c>
      <c r="V82" s="62" cm="1">
        <f t="array" ref="V82">INDEX(tblPrices[cv_2027], MATCH(tblByteDanceUnits[[#This Row],[Products]],tblPrices[Products],0), 0)* tblByteDanceUnits[[#This Row],[cv_2027]]/10^6</f>
        <v>0</v>
      </c>
      <c r="W82" s="62" cm="1">
        <f t="array" ref="W82">INDEX(tblPrices[cv_2028], MATCH(tblByteDanceUnits[[#This Row],[Products]],tblPrices[Products],0), 0)* tblByteDanceUnits[[#This Row],[cv_2028]]/10^6</f>
        <v>0</v>
      </c>
      <c r="X82" s="1">
        <f>VLOOKUP(A82,Products!$A$29:$F$110,6,FALSE)</f>
        <v>400</v>
      </c>
    </row>
    <row r="83" spans="1:24">
      <c r="A83" s="9" t="s">
        <v>33</v>
      </c>
      <c r="B83" s="8">
        <v>0</v>
      </c>
      <c r="C83" s="8">
        <v>0</v>
      </c>
      <c r="D83" s="8"/>
      <c r="E83" s="8"/>
      <c r="F83" s="8"/>
      <c r="G83" s="8"/>
      <c r="H83" s="8"/>
      <c r="I83" s="8"/>
      <c r="J83" s="8"/>
      <c r="K83" s="8"/>
      <c r="L83" s="8"/>
      <c r="M83" s="62" cm="1">
        <f t="array" ref="M83">INDEX(tblPrices[cv_2018], MATCH(tblByteDanceUnits[[#This Row],[Products]],tblPrices[Products],0), 0)* tblByteDanceUnits[[#This Row],[cv_2018]]/10^6</f>
        <v>0</v>
      </c>
      <c r="N83" s="62" cm="1">
        <f t="array" ref="N83">INDEX(tblPrices[cv_2019], MATCH(tblByteDanceUnits[[#This Row],[Products]],tblPrices[Products],0), 0)* tblByteDanceUnits[[#This Row],[cv_2019]]/10^6</f>
        <v>0</v>
      </c>
      <c r="O83" s="62" cm="1">
        <f t="array" ref="O83">INDEX(tblPrices[cv_2020], MATCH(tblByteDanceUnits[[#This Row],[Products]],tblPrices[Products],0), 0)* tblByteDanceUnits[[#This Row],[cv_2020]]/10^6</f>
        <v>0</v>
      </c>
      <c r="P83" s="62" cm="1">
        <f t="array" ref="P83">INDEX(tblPrices[cv_2021], MATCH(tblByteDanceUnits[[#This Row],[Products]],tblPrices[Products],0), 0)* tblByteDanceUnits[[#This Row],[cv_2021]]/10^6</f>
        <v>0</v>
      </c>
      <c r="Q83" s="62" cm="1">
        <f t="array" ref="Q83">INDEX(tblPrices[cv_2022], MATCH(tblByteDanceUnits[[#This Row],[Products]],tblPrices[Products],0), 0)* tblByteDanceUnits[[#This Row],[cv_2022]]/10^6</f>
        <v>0</v>
      </c>
      <c r="R83" s="62" cm="1">
        <f t="array" ref="R83">INDEX(tblPrices[cv_2023], MATCH(tblByteDanceUnits[[#This Row],[Products]],tblPrices[Products],0), 0)* tblByteDanceUnits[[#This Row],[cv_2023]]/10^6</f>
        <v>0</v>
      </c>
      <c r="S83" s="62" cm="1">
        <f t="array" ref="S83">INDEX(tblPrices[cv_2024], MATCH(tblByteDanceUnits[[#This Row],[Products]],tblPrices[Products],0), 0)* tblByteDanceUnits[[#This Row],[cv_2024]]/10^6</f>
        <v>0</v>
      </c>
      <c r="T83" s="62" cm="1">
        <f t="array" ref="T83">INDEX(tblPrices[cv_2025], MATCH(tblByteDanceUnits[[#This Row],[Products]],tblPrices[Products],0), 0)* tblByteDanceUnits[[#This Row],[cv_2025]]/10^6</f>
        <v>0</v>
      </c>
      <c r="U83" s="62" cm="1">
        <f t="array" ref="U83">INDEX(tblPrices[cv_2026], MATCH(tblByteDanceUnits[[#This Row],[Products]],tblPrices[Products],0), 0)* tblByteDanceUnits[[#This Row],[cv_2026]]/10^6</f>
        <v>0</v>
      </c>
      <c r="V83" s="62" cm="1">
        <f t="array" ref="V83">INDEX(tblPrices[cv_2027], MATCH(tblByteDanceUnits[[#This Row],[Products]],tblPrices[Products],0), 0)* tblByteDanceUnits[[#This Row],[cv_2027]]/10^6</f>
        <v>0</v>
      </c>
      <c r="W83" s="62" cm="1">
        <f t="array" ref="W83">INDEX(tblPrices[cv_2028], MATCH(tblByteDanceUnits[[#This Row],[Products]],tblPrices[Products],0), 0)* tblByteDanceUnits[[#This Row],[cv_2028]]/10^6</f>
        <v>0</v>
      </c>
      <c r="X83" s="1">
        <f>VLOOKUP(A83,Products!$A$29:$F$110,6,FALSE)</f>
        <v>400</v>
      </c>
    </row>
    <row r="84" spans="1:24">
      <c r="A84" s="9" t="s">
        <v>34</v>
      </c>
      <c r="B84" s="8">
        <v>0</v>
      </c>
      <c r="C84" s="8">
        <v>0</v>
      </c>
      <c r="D84" s="8"/>
      <c r="E84" s="8"/>
      <c r="F84" s="8"/>
      <c r="G84" s="8"/>
      <c r="H84" s="8"/>
      <c r="I84" s="8"/>
      <c r="J84" s="8"/>
      <c r="K84" s="8"/>
      <c r="L84" s="8"/>
      <c r="M84" s="62" cm="1">
        <f t="array" ref="M84">INDEX(tblPrices[cv_2018], MATCH(tblByteDanceUnits[[#This Row],[Products]],tblPrices[Products],0), 0)* tblByteDanceUnits[[#This Row],[cv_2018]]/10^6</f>
        <v>0</v>
      </c>
      <c r="N84" s="62" cm="1">
        <f t="array" ref="N84">INDEX(tblPrices[cv_2019], MATCH(tblByteDanceUnits[[#This Row],[Products]],tblPrices[Products],0), 0)* tblByteDanceUnits[[#This Row],[cv_2019]]/10^6</f>
        <v>0</v>
      </c>
      <c r="O84" s="62" cm="1">
        <f t="array" ref="O84">INDEX(tblPrices[cv_2020], MATCH(tblByteDanceUnits[[#This Row],[Products]],tblPrices[Products],0), 0)* tblByteDanceUnits[[#This Row],[cv_2020]]/10^6</f>
        <v>0</v>
      </c>
      <c r="P84" s="62" cm="1">
        <f t="array" ref="P84">INDEX(tblPrices[cv_2021], MATCH(tblByteDanceUnits[[#This Row],[Products]],tblPrices[Products],0), 0)* tblByteDanceUnits[[#This Row],[cv_2021]]/10^6</f>
        <v>0</v>
      </c>
      <c r="Q84" s="62" cm="1">
        <f t="array" ref="Q84">INDEX(tblPrices[cv_2022], MATCH(tblByteDanceUnits[[#This Row],[Products]],tblPrices[Products],0), 0)* tblByteDanceUnits[[#This Row],[cv_2022]]/10^6</f>
        <v>0</v>
      </c>
      <c r="R84" s="62" cm="1">
        <f t="array" ref="R84">INDEX(tblPrices[cv_2023], MATCH(tblByteDanceUnits[[#This Row],[Products]],tblPrices[Products],0), 0)* tblByteDanceUnits[[#This Row],[cv_2023]]/10^6</f>
        <v>0</v>
      </c>
      <c r="S84" s="62" cm="1">
        <f t="array" ref="S84">INDEX(tblPrices[cv_2024], MATCH(tblByteDanceUnits[[#This Row],[Products]],tblPrices[Products],0), 0)* tblByteDanceUnits[[#This Row],[cv_2024]]/10^6</f>
        <v>0</v>
      </c>
      <c r="T84" s="62" cm="1">
        <f t="array" ref="T84">INDEX(tblPrices[cv_2025], MATCH(tblByteDanceUnits[[#This Row],[Products]],tblPrices[Products],0), 0)* tblByteDanceUnits[[#This Row],[cv_2025]]/10^6</f>
        <v>0</v>
      </c>
      <c r="U84" s="62" cm="1">
        <f t="array" ref="U84">INDEX(tblPrices[cv_2026], MATCH(tblByteDanceUnits[[#This Row],[Products]],tblPrices[Products],0), 0)* tblByteDanceUnits[[#This Row],[cv_2026]]/10^6</f>
        <v>0</v>
      </c>
      <c r="V84" s="62" cm="1">
        <f t="array" ref="V84">INDEX(tblPrices[cv_2027], MATCH(tblByteDanceUnits[[#This Row],[Products]],tblPrices[Products],0), 0)* tblByteDanceUnits[[#This Row],[cv_2027]]/10^6</f>
        <v>0</v>
      </c>
      <c r="W84" s="62" cm="1">
        <f t="array" ref="W84">INDEX(tblPrices[cv_2028], MATCH(tblByteDanceUnits[[#This Row],[Products]],tblPrices[Products],0), 0)* tblByteDanceUnits[[#This Row],[cv_2028]]/10^6</f>
        <v>0</v>
      </c>
      <c r="X84" s="1">
        <f>VLOOKUP(A84,Products!$A$29:$F$110,6,FALSE)</f>
        <v>400</v>
      </c>
    </row>
    <row r="85" spans="1:24">
      <c r="A85" s="9" t="s">
        <v>35</v>
      </c>
      <c r="B85" s="8">
        <v>0</v>
      </c>
      <c r="C85" s="8">
        <v>0</v>
      </c>
      <c r="D85" s="8"/>
      <c r="E85" s="8"/>
      <c r="F85" s="8"/>
      <c r="G85" s="8"/>
      <c r="H85" s="8"/>
      <c r="I85" s="8"/>
      <c r="J85" s="8"/>
      <c r="K85" s="8"/>
      <c r="L85" s="8"/>
      <c r="M85" s="62" cm="1">
        <f t="array" ref="M85">INDEX(tblPrices[cv_2018], MATCH(tblByteDanceUnits[[#This Row],[Products]],tblPrices[Products],0), 0)* tblByteDanceUnits[[#This Row],[cv_2018]]/10^6</f>
        <v>0</v>
      </c>
      <c r="N85" s="62" cm="1">
        <f t="array" ref="N85">INDEX(tblPrices[cv_2019], MATCH(tblByteDanceUnits[[#This Row],[Products]],tblPrices[Products],0), 0)* tblByteDanceUnits[[#This Row],[cv_2019]]/10^6</f>
        <v>0</v>
      </c>
      <c r="O85" s="62" cm="1">
        <f t="array" ref="O85">INDEX(tblPrices[cv_2020], MATCH(tblByteDanceUnits[[#This Row],[Products]],tblPrices[Products],0), 0)* tblByteDanceUnits[[#This Row],[cv_2020]]/10^6</f>
        <v>0</v>
      </c>
      <c r="P85" s="62" cm="1">
        <f t="array" ref="P85">INDEX(tblPrices[cv_2021], MATCH(tblByteDanceUnits[[#This Row],[Products]],tblPrices[Products],0), 0)* tblByteDanceUnits[[#This Row],[cv_2021]]/10^6</f>
        <v>0</v>
      </c>
      <c r="Q85" s="62" cm="1">
        <f t="array" ref="Q85">INDEX(tblPrices[cv_2022], MATCH(tblByteDanceUnits[[#This Row],[Products]],tblPrices[Products],0), 0)* tblByteDanceUnits[[#This Row],[cv_2022]]/10^6</f>
        <v>0</v>
      </c>
      <c r="R85" s="62" cm="1">
        <f t="array" ref="R85">INDEX(tblPrices[cv_2023], MATCH(tblByteDanceUnits[[#This Row],[Products]],tblPrices[Products],0), 0)* tblByteDanceUnits[[#This Row],[cv_2023]]/10^6</f>
        <v>0</v>
      </c>
      <c r="S85" s="62" cm="1">
        <f t="array" ref="S85">INDEX(tblPrices[cv_2024], MATCH(tblByteDanceUnits[[#This Row],[Products]],tblPrices[Products],0), 0)* tblByteDanceUnits[[#This Row],[cv_2024]]/10^6</f>
        <v>0</v>
      </c>
      <c r="T85" s="62" cm="1">
        <f t="array" ref="T85">INDEX(tblPrices[cv_2025], MATCH(tblByteDanceUnits[[#This Row],[Products]],tblPrices[Products],0), 0)* tblByteDanceUnits[[#This Row],[cv_2025]]/10^6</f>
        <v>0</v>
      </c>
      <c r="U85" s="62" cm="1">
        <f t="array" ref="U85">INDEX(tblPrices[cv_2026], MATCH(tblByteDanceUnits[[#This Row],[Products]],tblPrices[Products],0), 0)* tblByteDanceUnits[[#This Row],[cv_2026]]/10^6</f>
        <v>0</v>
      </c>
      <c r="V85" s="62" cm="1">
        <f t="array" ref="V85">INDEX(tblPrices[cv_2027], MATCH(tblByteDanceUnits[[#This Row],[Products]],tblPrices[Products],0), 0)* tblByteDanceUnits[[#This Row],[cv_2027]]/10^6</f>
        <v>0</v>
      </c>
      <c r="W85" s="62" cm="1">
        <f t="array" ref="W85">INDEX(tblPrices[cv_2028], MATCH(tblByteDanceUnits[[#This Row],[Products]],tblPrices[Products],0), 0)* tblByteDanceUnits[[#This Row],[cv_2028]]/10^6</f>
        <v>0</v>
      </c>
      <c r="X85" s="1">
        <f>VLOOKUP(A85,Products!$A$29:$F$110,6,FALSE)</f>
        <v>600</v>
      </c>
    </row>
    <row r="86" spans="1:24">
      <c r="A86" s="9" t="s">
        <v>36</v>
      </c>
      <c r="B86" s="8">
        <v>0</v>
      </c>
      <c r="C86" s="8">
        <v>0</v>
      </c>
      <c r="D86" s="8"/>
      <c r="E86" s="8"/>
      <c r="F86" s="8"/>
      <c r="G86" s="8"/>
      <c r="H86" s="8"/>
      <c r="I86" s="8"/>
      <c r="J86" s="8"/>
      <c r="K86" s="8"/>
      <c r="L86" s="8"/>
      <c r="M86" s="62" cm="1">
        <f t="array" ref="M86">INDEX(tblPrices[cv_2018], MATCH(tblByteDanceUnits[[#This Row],[Products]],tblPrices[Products],0), 0)* tblByteDanceUnits[[#This Row],[cv_2018]]/10^6</f>
        <v>0</v>
      </c>
      <c r="N86" s="62" cm="1">
        <f t="array" ref="N86">INDEX(tblPrices[cv_2019], MATCH(tblByteDanceUnits[[#This Row],[Products]],tblPrices[Products],0), 0)* tblByteDanceUnits[[#This Row],[cv_2019]]/10^6</f>
        <v>0</v>
      </c>
      <c r="O86" s="62" cm="1">
        <f t="array" ref="O86">INDEX(tblPrices[cv_2020], MATCH(tblByteDanceUnits[[#This Row],[Products]],tblPrices[Products],0), 0)* tblByteDanceUnits[[#This Row],[cv_2020]]/10^6</f>
        <v>0</v>
      </c>
      <c r="P86" s="62" cm="1">
        <f t="array" ref="P86">INDEX(tblPrices[cv_2021], MATCH(tblByteDanceUnits[[#This Row],[Products]],tblPrices[Products],0), 0)* tblByteDanceUnits[[#This Row],[cv_2021]]/10^6</f>
        <v>0</v>
      </c>
      <c r="Q86" s="62" cm="1">
        <f t="array" ref="Q86">INDEX(tblPrices[cv_2022], MATCH(tblByteDanceUnits[[#This Row],[Products]],tblPrices[Products],0), 0)* tblByteDanceUnits[[#This Row],[cv_2022]]/10^6</f>
        <v>0</v>
      </c>
      <c r="R86" s="62" cm="1">
        <f t="array" ref="R86">INDEX(tblPrices[cv_2023], MATCH(tblByteDanceUnits[[#This Row],[Products]],tblPrices[Products],0), 0)* tblByteDanceUnits[[#This Row],[cv_2023]]/10^6</f>
        <v>0</v>
      </c>
      <c r="S86" s="62" cm="1">
        <f t="array" ref="S86">INDEX(tblPrices[cv_2024], MATCH(tblByteDanceUnits[[#This Row],[Products]],tblPrices[Products],0), 0)* tblByteDanceUnits[[#This Row],[cv_2024]]/10^6</f>
        <v>0</v>
      </c>
      <c r="T86" s="62" cm="1">
        <f t="array" ref="T86">INDEX(tblPrices[cv_2025], MATCH(tblByteDanceUnits[[#This Row],[Products]],tblPrices[Products],0), 0)* tblByteDanceUnits[[#This Row],[cv_2025]]/10^6</f>
        <v>0</v>
      </c>
      <c r="U86" s="62" cm="1">
        <f t="array" ref="U86">INDEX(tblPrices[cv_2026], MATCH(tblByteDanceUnits[[#This Row],[Products]],tblPrices[Products],0), 0)* tblByteDanceUnits[[#This Row],[cv_2026]]/10^6</f>
        <v>0</v>
      </c>
      <c r="V86" s="62" cm="1">
        <f t="array" ref="V86">INDEX(tblPrices[cv_2027], MATCH(tblByteDanceUnits[[#This Row],[Products]],tblPrices[Products],0), 0)* tblByteDanceUnits[[#This Row],[cv_2027]]/10^6</f>
        <v>0</v>
      </c>
      <c r="W86" s="62" cm="1">
        <f t="array" ref="W86">INDEX(tblPrices[cv_2028], MATCH(tblByteDanceUnits[[#This Row],[Products]],tblPrices[Products],0), 0)* tblByteDanceUnits[[#This Row],[cv_2028]]/10^6</f>
        <v>0</v>
      </c>
      <c r="X86" s="1">
        <f>VLOOKUP(A86,Products!$A$29:$F$110,6,FALSE)</f>
        <v>800</v>
      </c>
    </row>
    <row r="87" spans="1:24">
      <c r="A87" s="9" t="s">
        <v>37</v>
      </c>
      <c r="B87" s="8">
        <v>0</v>
      </c>
      <c r="C87" s="8">
        <v>0</v>
      </c>
      <c r="D87" s="8"/>
      <c r="E87" s="8"/>
      <c r="F87" s="8"/>
      <c r="G87" s="8"/>
      <c r="H87" s="8"/>
      <c r="I87" s="8"/>
      <c r="J87" s="8"/>
      <c r="K87" s="8"/>
      <c r="L87" s="8"/>
      <c r="M87" s="62" cm="1">
        <f t="array" ref="M87">INDEX(tblPrices[cv_2018], MATCH(tblByteDanceUnits[[#This Row],[Products]],tblPrices[Products],0), 0)* tblByteDanceUnits[[#This Row],[cv_2018]]/10^6</f>
        <v>0</v>
      </c>
      <c r="N87" s="62" cm="1">
        <f t="array" ref="N87">INDEX(tblPrices[cv_2019], MATCH(tblByteDanceUnits[[#This Row],[Products]],tblPrices[Products],0), 0)* tblByteDanceUnits[[#This Row],[cv_2019]]/10^6</f>
        <v>0</v>
      </c>
      <c r="O87" s="62" cm="1">
        <f t="array" ref="O87">INDEX(tblPrices[cv_2020], MATCH(tblByteDanceUnits[[#This Row],[Products]],tblPrices[Products],0), 0)* tblByteDanceUnits[[#This Row],[cv_2020]]/10^6</f>
        <v>0</v>
      </c>
      <c r="P87" s="62" cm="1">
        <f t="array" ref="P87">INDEX(tblPrices[cv_2021], MATCH(tblByteDanceUnits[[#This Row],[Products]],tblPrices[Products],0), 0)* tblByteDanceUnits[[#This Row],[cv_2021]]/10^6</f>
        <v>0</v>
      </c>
      <c r="Q87" s="62" cm="1">
        <f t="array" ref="Q87">INDEX(tblPrices[cv_2022], MATCH(tblByteDanceUnits[[#This Row],[Products]],tblPrices[Products],0), 0)* tblByteDanceUnits[[#This Row],[cv_2022]]/10^6</f>
        <v>0</v>
      </c>
      <c r="R87" s="62" cm="1">
        <f t="array" ref="R87">INDEX(tblPrices[cv_2023], MATCH(tblByteDanceUnits[[#This Row],[Products]],tblPrices[Products],0), 0)* tblByteDanceUnits[[#This Row],[cv_2023]]/10^6</f>
        <v>0</v>
      </c>
      <c r="S87" s="62" cm="1">
        <f t="array" ref="S87">INDEX(tblPrices[cv_2024], MATCH(tblByteDanceUnits[[#This Row],[Products]],tblPrices[Products],0), 0)* tblByteDanceUnits[[#This Row],[cv_2024]]/10^6</f>
        <v>0</v>
      </c>
      <c r="T87" s="62" cm="1">
        <f t="array" ref="T87">INDEX(tblPrices[cv_2025], MATCH(tblByteDanceUnits[[#This Row],[Products]],tblPrices[Products],0), 0)* tblByteDanceUnits[[#This Row],[cv_2025]]/10^6</f>
        <v>0</v>
      </c>
      <c r="U87" s="62" cm="1">
        <f t="array" ref="U87">INDEX(tblPrices[cv_2026], MATCH(tblByteDanceUnits[[#This Row],[Products]],tblPrices[Products],0), 0)* tblByteDanceUnits[[#This Row],[cv_2026]]/10^6</f>
        <v>0</v>
      </c>
      <c r="V87" s="62" cm="1">
        <f t="array" ref="V87">INDEX(tblPrices[cv_2027], MATCH(tblByteDanceUnits[[#This Row],[Products]],tblPrices[Products],0), 0)* tblByteDanceUnits[[#This Row],[cv_2027]]/10^6</f>
        <v>0</v>
      </c>
      <c r="W87" s="62" cm="1">
        <f t="array" ref="W87">INDEX(tblPrices[cv_2028], MATCH(tblByteDanceUnits[[#This Row],[Products]],tblPrices[Products],0), 0)* tblByteDanceUnits[[#This Row],[cv_2028]]/10^6</f>
        <v>0</v>
      </c>
      <c r="X87" s="1">
        <f>VLOOKUP(A87,Products!$A$29:$F$110,6,FALSE)</f>
        <v>800</v>
      </c>
    </row>
    <row r="88" spans="1:24">
      <c r="A88" s="9" t="s">
        <v>38</v>
      </c>
      <c r="B88" s="8">
        <v>0</v>
      </c>
      <c r="C88" s="8">
        <v>0</v>
      </c>
      <c r="D88" s="8"/>
      <c r="E88" s="8"/>
      <c r="F88" s="8"/>
      <c r="G88" s="8"/>
      <c r="H88" s="8"/>
      <c r="I88" s="8"/>
      <c r="J88" s="8"/>
      <c r="K88" s="8"/>
      <c r="L88" s="8"/>
      <c r="M88" s="62" cm="1">
        <f t="array" ref="M88">INDEX(tblPrices[cv_2018], MATCH(tblByteDanceUnits[[#This Row],[Products]],tblPrices[Products],0), 0)* tblByteDanceUnits[[#This Row],[cv_2018]]/10^6</f>
        <v>0</v>
      </c>
      <c r="N88" s="62" cm="1">
        <f t="array" ref="N88">INDEX(tblPrices[cv_2019], MATCH(tblByteDanceUnits[[#This Row],[Products]],tblPrices[Products],0), 0)* tblByteDanceUnits[[#This Row],[cv_2019]]/10^6</f>
        <v>0</v>
      </c>
      <c r="O88" s="62" cm="1">
        <f t="array" ref="O88">INDEX(tblPrices[cv_2020], MATCH(tblByteDanceUnits[[#This Row],[Products]],tblPrices[Products],0), 0)* tblByteDanceUnits[[#This Row],[cv_2020]]/10^6</f>
        <v>0</v>
      </c>
      <c r="P88" s="62" cm="1">
        <f t="array" ref="P88">INDEX(tblPrices[cv_2021], MATCH(tblByteDanceUnits[[#This Row],[Products]],tblPrices[Products],0), 0)* tblByteDanceUnits[[#This Row],[cv_2021]]/10^6</f>
        <v>0</v>
      </c>
      <c r="Q88" s="62" cm="1">
        <f t="array" ref="Q88">INDEX(tblPrices[cv_2022], MATCH(tblByteDanceUnits[[#This Row],[Products]],tblPrices[Products],0), 0)* tblByteDanceUnits[[#This Row],[cv_2022]]/10^6</f>
        <v>0</v>
      </c>
      <c r="R88" s="62" cm="1">
        <f t="array" ref="R88">INDEX(tblPrices[cv_2023], MATCH(tblByteDanceUnits[[#This Row],[Products]],tblPrices[Products],0), 0)* tblByteDanceUnits[[#This Row],[cv_2023]]/10^6</f>
        <v>0</v>
      </c>
      <c r="S88" s="62" cm="1">
        <f t="array" ref="S88">INDEX(tblPrices[cv_2024], MATCH(tblByteDanceUnits[[#This Row],[Products]],tblPrices[Products],0), 0)* tblByteDanceUnits[[#This Row],[cv_2024]]/10^6</f>
        <v>0</v>
      </c>
      <c r="T88" s="62" cm="1">
        <f t="array" ref="T88">INDEX(tblPrices[cv_2025], MATCH(tblByteDanceUnits[[#This Row],[Products]],tblPrices[Products],0), 0)* tblByteDanceUnits[[#This Row],[cv_2025]]/10^6</f>
        <v>0</v>
      </c>
      <c r="U88" s="62" cm="1">
        <f t="array" ref="U88">INDEX(tblPrices[cv_2026], MATCH(tblByteDanceUnits[[#This Row],[Products]],tblPrices[Products],0), 0)* tblByteDanceUnits[[#This Row],[cv_2026]]/10^6</f>
        <v>0</v>
      </c>
      <c r="V88" s="62" cm="1">
        <f t="array" ref="V88">INDEX(tblPrices[cv_2027], MATCH(tblByteDanceUnits[[#This Row],[Products]],tblPrices[Products],0), 0)* tblByteDanceUnits[[#This Row],[cv_2027]]/10^6</f>
        <v>0</v>
      </c>
      <c r="W88" s="62" cm="1">
        <f t="array" ref="W88">INDEX(tblPrices[cv_2028], MATCH(tblByteDanceUnits[[#This Row],[Products]],tblPrices[Products],0), 0)* tblByteDanceUnits[[#This Row],[cv_2028]]/10^6</f>
        <v>0</v>
      </c>
      <c r="X88" s="1">
        <f>VLOOKUP(A88,Products!$A$29:$F$110,6,FALSE)</f>
        <v>1200</v>
      </c>
    </row>
    <row r="89" spans="1:24">
      <c r="A89" s="9" t="s">
        <v>39</v>
      </c>
      <c r="B89" s="8">
        <v>0</v>
      </c>
      <c r="C89" s="8">
        <v>0</v>
      </c>
      <c r="D89" s="8"/>
      <c r="E89" s="8"/>
      <c r="F89" s="8"/>
      <c r="G89" s="8"/>
      <c r="H89" s="8"/>
      <c r="I89" s="8"/>
      <c r="J89" s="8"/>
      <c r="K89" s="8"/>
      <c r="L89" s="8"/>
      <c r="M89" s="62" cm="1">
        <f t="array" ref="M89">INDEX(tblPrices[cv_2018], MATCH(tblByteDanceUnits[[#This Row],[Products]],tblPrices[Products],0), 0)* tblByteDanceUnits[[#This Row],[cv_2018]]/10^6</f>
        <v>0</v>
      </c>
      <c r="N89" s="62" cm="1">
        <f t="array" ref="N89">INDEX(tblPrices[cv_2019], MATCH(tblByteDanceUnits[[#This Row],[Products]],tblPrices[Products],0), 0)* tblByteDanceUnits[[#This Row],[cv_2019]]/10^6</f>
        <v>0</v>
      </c>
      <c r="O89" s="62" cm="1">
        <f t="array" ref="O89">INDEX(tblPrices[cv_2020], MATCH(tblByteDanceUnits[[#This Row],[Products]],tblPrices[Products],0), 0)* tblByteDanceUnits[[#This Row],[cv_2020]]/10^6</f>
        <v>0</v>
      </c>
      <c r="P89" s="62" cm="1">
        <f t="array" ref="P89">INDEX(tblPrices[cv_2021], MATCH(tblByteDanceUnits[[#This Row],[Products]],tblPrices[Products],0), 0)* tblByteDanceUnits[[#This Row],[cv_2021]]/10^6</f>
        <v>0</v>
      </c>
      <c r="Q89" s="62" cm="1">
        <f t="array" ref="Q89">INDEX(tblPrices[cv_2022], MATCH(tblByteDanceUnits[[#This Row],[Products]],tblPrices[Products],0), 0)* tblByteDanceUnits[[#This Row],[cv_2022]]/10^6</f>
        <v>0</v>
      </c>
      <c r="R89" s="62" cm="1">
        <f t="array" ref="R89">INDEX(tblPrices[cv_2023], MATCH(tblByteDanceUnits[[#This Row],[Products]],tblPrices[Products],0), 0)* tblByteDanceUnits[[#This Row],[cv_2023]]/10^6</f>
        <v>0</v>
      </c>
      <c r="S89" s="62" cm="1">
        <f t="array" ref="S89">INDEX(tblPrices[cv_2024], MATCH(tblByteDanceUnits[[#This Row],[Products]],tblPrices[Products],0), 0)* tblByteDanceUnits[[#This Row],[cv_2024]]/10^6</f>
        <v>0</v>
      </c>
      <c r="T89" s="62" cm="1">
        <f t="array" ref="T89">INDEX(tblPrices[cv_2025], MATCH(tblByteDanceUnits[[#This Row],[Products]],tblPrices[Products],0), 0)* tblByteDanceUnits[[#This Row],[cv_2025]]/10^6</f>
        <v>0</v>
      </c>
      <c r="U89" s="62" cm="1">
        <f t="array" ref="U89">INDEX(tblPrices[cv_2026], MATCH(tblByteDanceUnits[[#This Row],[Products]],tblPrices[Products],0), 0)* tblByteDanceUnits[[#This Row],[cv_2026]]/10^6</f>
        <v>0</v>
      </c>
      <c r="V89" s="62" cm="1">
        <f t="array" ref="V89">INDEX(tblPrices[cv_2027], MATCH(tblByteDanceUnits[[#This Row],[Products]],tblPrices[Products],0), 0)* tblByteDanceUnits[[#This Row],[cv_2027]]/10^6</f>
        <v>0</v>
      </c>
      <c r="W89" s="62" cm="1">
        <f t="array" ref="W89">INDEX(tblPrices[cv_2028], MATCH(tblByteDanceUnits[[#This Row],[Products]],tblPrices[Products],0), 0)* tblByteDanceUnits[[#This Row],[cv_2028]]/10^6</f>
        <v>0</v>
      </c>
      <c r="X89" s="1">
        <f>VLOOKUP(A89,Products!$A$29:$F$110,6,FALSE)</f>
        <v>1600</v>
      </c>
    </row>
    <row r="90" spans="1:24">
      <c r="A90" s="1"/>
      <c r="B90" s="2">
        <f t="shared" ref="B90:W90" si="0">SUM(B41:B89)</f>
        <v>146345.29878343627</v>
      </c>
      <c r="C90" s="2">
        <f t="shared" si="0"/>
        <v>190173.3012245</v>
      </c>
      <c r="D90" s="2">
        <f t="shared" si="0"/>
        <v>0</v>
      </c>
      <c r="E90" s="2">
        <f t="shared" si="0"/>
        <v>0</v>
      </c>
      <c r="F90" s="2">
        <f t="shared" si="0"/>
        <v>0</v>
      </c>
      <c r="G90" s="2">
        <f t="shared" si="0"/>
        <v>0</v>
      </c>
      <c r="H90" s="2">
        <f t="shared" si="0"/>
        <v>0</v>
      </c>
      <c r="I90" s="2">
        <f t="shared" si="0"/>
        <v>0</v>
      </c>
      <c r="J90" s="2">
        <f t="shared" si="0"/>
        <v>0</v>
      </c>
      <c r="K90" s="2">
        <f t="shared" si="0"/>
        <v>0</v>
      </c>
      <c r="L90" s="2">
        <f t="shared" si="0"/>
        <v>0</v>
      </c>
      <c r="M90" s="63">
        <f t="shared" si="0"/>
        <v>15.281099730335734</v>
      </c>
      <c r="N90" s="63">
        <f t="shared" si="0"/>
        <v>18.299959612310282</v>
      </c>
      <c r="O90" s="63">
        <f t="shared" si="0"/>
        <v>0</v>
      </c>
      <c r="P90" s="63">
        <f t="shared" si="0"/>
        <v>0</v>
      </c>
      <c r="Q90" s="63">
        <f t="shared" si="0"/>
        <v>0</v>
      </c>
      <c r="R90" s="63">
        <f t="shared" si="0"/>
        <v>0</v>
      </c>
      <c r="S90" s="63">
        <f t="shared" si="0"/>
        <v>0</v>
      </c>
      <c r="T90" s="63">
        <f t="shared" si="0"/>
        <v>0</v>
      </c>
      <c r="U90" s="63">
        <f t="shared" si="0"/>
        <v>0</v>
      </c>
      <c r="V90" s="63">
        <f t="shared" si="0"/>
        <v>0</v>
      </c>
      <c r="W90" s="63">
        <f t="shared" si="0"/>
        <v>0</v>
      </c>
    </row>
    <row r="92" spans="1:24">
      <c r="A92" s="25"/>
      <c r="G92" s="37">
        <f>G91-G90</f>
        <v>0</v>
      </c>
      <c r="H92" s="37">
        <f t="shared" ref="H92:L92" si="1">H91-H90</f>
        <v>0</v>
      </c>
      <c r="I92" s="37">
        <f t="shared" si="1"/>
        <v>0</v>
      </c>
      <c r="J92" s="37">
        <f t="shared" si="1"/>
        <v>0</v>
      </c>
      <c r="K92" s="37">
        <f t="shared" si="1"/>
        <v>0</v>
      </c>
      <c r="L92" s="37">
        <f t="shared" si="1"/>
        <v>0</v>
      </c>
    </row>
    <row r="93" spans="1:24">
      <c r="A93" s="175" t="s">
        <v>431</v>
      </c>
      <c r="B93" s="68">
        <v>2018</v>
      </c>
      <c r="C93" s="50">
        <v>2019</v>
      </c>
      <c r="D93" s="50">
        <v>2020</v>
      </c>
      <c r="E93" s="50">
        <v>2021</v>
      </c>
      <c r="F93" s="50">
        <v>2022</v>
      </c>
      <c r="G93" s="50">
        <v>2023</v>
      </c>
      <c r="H93" s="50">
        <v>2024</v>
      </c>
      <c r="I93" s="50">
        <v>2025</v>
      </c>
      <c r="J93" s="50">
        <v>2026</v>
      </c>
      <c r="K93" s="50">
        <v>2027</v>
      </c>
      <c r="L93" s="50">
        <v>2028</v>
      </c>
      <c r="M93" s="68">
        <v>2018</v>
      </c>
      <c r="N93" s="50">
        <v>2019</v>
      </c>
      <c r="O93" s="50">
        <v>2020</v>
      </c>
      <c r="P93" s="50">
        <v>2021</v>
      </c>
      <c r="Q93" s="50">
        <v>2022</v>
      </c>
      <c r="R93" s="50">
        <v>2023</v>
      </c>
      <c r="S93" s="50">
        <v>2024</v>
      </c>
      <c r="T93" s="50">
        <v>2025</v>
      </c>
      <c r="U93" s="50">
        <v>2026</v>
      </c>
      <c r="V93" s="50">
        <v>2027</v>
      </c>
      <c r="W93" s="50">
        <v>2028</v>
      </c>
    </row>
    <row r="94" spans="1:24">
      <c r="A94" s="65" t="s">
        <v>80</v>
      </c>
      <c r="B94" s="2">
        <f t="shared" ref="B94:W94" si="2">SUMIF($X$41:$X$70,40,B$41:B$70)</f>
        <v>110115.51385</v>
      </c>
      <c r="C94" s="2">
        <f t="shared" si="2"/>
        <v>85720.681799999991</v>
      </c>
      <c r="D94" s="2">
        <f t="shared" si="2"/>
        <v>0</v>
      </c>
      <c r="E94" s="2">
        <f t="shared" si="2"/>
        <v>0</v>
      </c>
      <c r="F94" s="2">
        <f t="shared" si="2"/>
        <v>0</v>
      </c>
      <c r="G94" s="2">
        <f t="shared" si="2"/>
        <v>0</v>
      </c>
      <c r="H94" s="2">
        <f t="shared" si="2"/>
        <v>0</v>
      </c>
      <c r="I94" s="2">
        <f t="shared" si="2"/>
        <v>0</v>
      </c>
      <c r="J94" s="2">
        <f t="shared" si="2"/>
        <v>0</v>
      </c>
      <c r="K94" s="2">
        <f t="shared" si="2"/>
        <v>0</v>
      </c>
      <c r="L94" s="2">
        <f t="shared" si="2"/>
        <v>0</v>
      </c>
      <c r="M94" s="79">
        <f t="shared" si="2"/>
        <v>7.6248010093893441</v>
      </c>
      <c r="N94" s="76">
        <f t="shared" si="2"/>
        <v>6.3232097079709195</v>
      </c>
      <c r="O94" s="76">
        <f t="shared" si="2"/>
        <v>0</v>
      </c>
      <c r="P94" s="76">
        <f t="shared" si="2"/>
        <v>0</v>
      </c>
      <c r="Q94" s="76">
        <f t="shared" si="2"/>
        <v>0</v>
      </c>
      <c r="R94" s="76">
        <f t="shared" si="2"/>
        <v>0</v>
      </c>
      <c r="S94" s="76">
        <f t="shared" si="2"/>
        <v>0</v>
      </c>
      <c r="T94" s="76">
        <f t="shared" si="2"/>
        <v>0</v>
      </c>
      <c r="U94" s="76">
        <f t="shared" si="2"/>
        <v>0</v>
      </c>
      <c r="V94" s="76">
        <f t="shared" si="2"/>
        <v>0</v>
      </c>
      <c r="W94" s="76">
        <f t="shared" si="2"/>
        <v>0</v>
      </c>
      <c r="X94" s="1"/>
    </row>
    <row r="95" spans="1:24">
      <c r="A95" s="65" t="s">
        <v>205</v>
      </c>
      <c r="B95" s="2">
        <f t="shared" ref="B95:W95" si="3">SUMIF($X$41:$X$70,100,B$41:B$70)</f>
        <v>36229.784933436276</v>
      </c>
      <c r="C95" s="2">
        <f t="shared" si="3"/>
        <v>104452.61942450001</v>
      </c>
      <c r="D95" s="2">
        <f t="shared" si="3"/>
        <v>0</v>
      </c>
      <c r="E95" s="2">
        <f t="shared" si="3"/>
        <v>0</v>
      </c>
      <c r="F95" s="2">
        <f t="shared" si="3"/>
        <v>0</v>
      </c>
      <c r="G95" s="2">
        <f t="shared" si="3"/>
        <v>0</v>
      </c>
      <c r="H95" s="2">
        <f t="shared" si="3"/>
        <v>0</v>
      </c>
      <c r="I95" s="2">
        <f t="shared" si="3"/>
        <v>0</v>
      </c>
      <c r="J95" s="2">
        <f t="shared" si="3"/>
        <v>0</v>
      </c>
      <c r="K95" s="2">
        <f t="shared" si="3"/>
        <v>0</v>
      </c>
      <c r="L95" s="2">
        <f t="shared" si="3"/>
        <v>0</v>
      </c>
      <c r="M95" s="79">
        <f t="shared" si="3"/>
        <v>7.6562987209463902</v>
      </c>
      <c r="N95" s="76">
        <f t="shared" si="3"/>
        <v>11.976749904339364</v>
      </c>
      <c r="O95" s="76">
        <f t="shared" si="3"/>
        <v>0</v>
      </c>
      <c r="P95" s="76">
        <f t="shared" si="3"/>
        <v>0</v>
      </c>
      <c r="Q95" s="76">
        <f t="shared" si="3"/>
        <v>0</v>
      </c>
      <c r="R95" s="76">
        <f t="shared" si="3"/>
        <v>0</v>
      </c>
      <c r="S95" s="76">
        <f t="shared" si="3"/>
        <v>0</v>
      </c>
      <c r="T95" s="76">
        <f t="shared" si="3"/>
        <v>0</v>
      </c>
      <c r="U95" s="76">
        <f t="shared" si="3"/>
        <v>0</v>
      </c>
      <c r="V95" s="76">
        <f t="shared" si="3"/>
        <v>0</v>
      </c>
      <c r="W95" s="76">
        <f t="shared" si="3"/>
        <v>0</v>
      </c>
      <c r="X95" s="1"/>
    </row>
    <row r="96" spans="1:24">
      <c r="A96" s="65" t="s">
        <v>206</v>
      </c>
      <c r="B96" s="2">
        <f t="shared" ref="B96:W96" si="4">SUMIF($X$41:$X$70,200,B$41:B$70)</f>
        <v>0</v>
      </c>
      <c r="C96" s="2">
        <f t="shared" si="4"/>
        <v>0</v>
      </c>
      <c r="D96" s="2">
        <f t="shared" si="4"/>
        <v>0</v>
      </c>
      <c r="E96" s="2">
        <f t="shared" si="4"/>
        <v>0</v>
      </c>
      <c r="F96" s="2">
        <f t="shared" si="4"/>
        <v>0</v>
      </c>
      <c r="G96" s="2">
        <f t="shared" si="4"/>
        <v>0</v>
      </c>
      <c r="H96" s="2">
        <f t="shared" si="4"/>
        <v>0</v>
      </c>
      <c r="I96" s="2">
        <f t="shared" si="4"/>
        <v>0</v>
      </c>
      <c r="J96" s="2">
        <f t="shared" si="4"/>
        <v>0</v>
      </c>
      <c r="K96" s="2">
        <f t="shared" si="4"/>
        <v>0</v>
      </c>
      <c r="L96" s="2">
        <f t="shared" si="4"/>
        <v>0</v>
      </c>
      <c r="M96" s="79">
        <f t="shared" si="4"/>
        <v>0</v>
      </c>
      <c r="N96" s="76">
        <f t="shared" si="4"/>
        <v>0</v>
      </c>
      <c r="O96" s="76">
        <f t="shared" si="4"/>
        <v>0</v>
      </c>
      <c r="P96" s="76">
        <f t="shared" si="4"/>
        <v>0</v>
      </c>
      <c r="Q96" s="76">
        <f t="shared" si="4"/>
        <v>0</v>
      </c>
      <c r="R96" s="76">
        <f t="shared" si="4"/>
        <v>0</v>
      </c>
      <c r="S96" s="76">
        <f t="shared" si="4"/>
        <v>0</v>
      </c>
      <c r="T96" s="76">
        <f t="shared" si="4"/>
        <v>0</v>
      </c>
      <c r="U96" s="76">
        <f t="shared" si="4"/>
        <v>0</v>
      </c>
      <c r="V96" s="76">
        <f t="shared" si="4"/>
        <v>0</v>
      </c>
      <c r="W96" s="76">
        <f t="shared" si="4"/>
        <v>0</v>
      </c>
      <c r="X96" s="1"/>
    </row>
    <row r="97" spans="1:24">
      <c r="A97" s="65" t="s">
        <v>207</v>
      </c>
      <c r="B97" s="2">
        <f t="shared" ref="B97:W97" si="5">SUMIF($X$41:$X$70,400,B$41:B$70)</f>
        <v>0</v>
      </c>
      <c r="C97" s="2">
        <f t="shared" si="5"/>
        <v>0</v>
      </c>
      <c r="D97" s="2">
        <f t="shared" si="5"/>
        <v>0</v>
      </c>
      <c r="E97" s="2">
        <f t="shared" si="5"/>
        <v>0</v>
      </c>
      <c r="F97" s="2">
        <f t="shared" si="5"/>
        <v>0</v>
      </c>
      <c r="G97" s="2">
        <f t="shared" si="5"/>
        <v>0</v>
      </c>
      <c r="H97" s="2">
        <f t="shared" si="5"/>
        <v>0</v>
      </c>
      <c r="I97" s="2">
        <f t="shared" si="5"/>
        <v>0</v>
      </c>
      <c r="J97" s="2">
        <f t="shared" si="5"/>
        <v>0</v>
      </c>
      <c r="K97" s="2">
        <f t="shared" si="5"/>
        <v>0</v>
      </c>
      <c r="L97" s="2">
        <f t="shared" si="5"/>
        <v>0</v>
      </c>
      <c r="M97" s="79">
        <f t="shared" si="5"/>
        <v>0</v>
      </c>
      <c r="N97" s="76">
        <f t="shared" si="5"/>
        <v>0</v>
      </c>
      <c r="O97" s="76">
        <f t="shared" si="5"/>
        <v>0</v>
      </c>
      <c r="P97" s="76">
        <f t="shared" si="5"/>
        <v>0</v>
      </c>
      <c r="Q97" s="76">
        <f t="shared" si="5"/>
        <v>0</v>
      </c>
      <c r="R97" s="76">
        <f t="shared" si="5"/>
        <v>0</v>
      </c>
      <c r="S97" s="76">
        <f t="shared" si="5"/>
        <v>0</v>
      </c>
      <c r="T97" s="76">
        <f t="shared" si="5"/>
        <v>0</v>
      </c>
      <c r="U97" s="76">
        <f t="shared" si="5"/>
        <v>0</v>
      </c>
      <c r="V97" s="76">
        <f t="shared" si="5"/>
        <v>0</v>
      </c>
      <c r="W97" s="76">
        <f t="shared" si="5"/>
        <v>0</v>
      </c>
      <c r="X97" s="1"/>
    </row>
    <row r="98" spans="1:24">
      <c r="A98" s="65" t="s">
        <v>209</v>
      </c>
      <c r="B98" s="2">
        <f t="shared" ref="B98:W98" si="6">SUMIF($X$41:$X$70,800,B$41:B$70)</f>
        <v>0</v>
      </c>
      <c r="C98" s="2">
        <f t="shared" si="6"/>
        <v>0</v>
      </c>
      <c r="D98" s="2">
        <f t="shared" si="6"/>
        <v>0</v>
      </c>
      <c r="E98" s="2">
        <f t="shared" si="6"/>
        <v>0</v>
      </c>
      <c r="F98" s="2">
        <f t="shared" si="6"/>
        <v>0</v>
      </c>
      <c r="G98" s="2">
        <f t="shared" si="6"/>
        <v>0</v>
      </c>
      <c r="H98" s="2">
        <f t="shared" si="6"/>
        <v>0</v>
      </c>
      <c r="I98" s="2">
        <f t="shared" si="6"/>
        <v>0</v>
      </c>
      <c r="J98" s="2">
        <f t="shared" si="6"/>
        <v>0</v>
      </c>
      <c r="K98" s="2">
        <f t="shared" si="6"/>
        <v>0</v>
      </c>
      <c r="L98" s="2">
        <f t="shared" si="6"/>
        <v>0</v>
      </c>
      <c r="M98" s="79">
        <f t="shared" si="6"/>
        <v>0</v>
      </c>
      <c r="N98" s="76">
        <f t="shared" si="6"/>
        <v>0</v>
      </c>
      <c r="O98" s="76">
        <f t="shared" si="6"/>
        <v>0</v>
      </c>
      <c r="P98" s="76">
        <f t="shared" si="6"/>
        <v>0</v>
      </c>
      <c r="Q98" s="76">
        <f t="shared" si="6"/>
        <v>0</v>
      </c>
      <c r="R98" s="76">
        <f t="shared" si="6"/>
        <v>0</v>
      </c>
      <c r="S98" s="76">
        <f t="shared" si="6"/>
        <v>0</v>
      </c>
      <c r="T98" s="76">
        <f t="shared" si="6"/>
        <v>0</v>
      </c>
      <c r="U98" s="76">
        <f t="shared" si="6"/>
        <v>0</v>
      </c>
      <c r="V98" s="76">
        <f t="shared" si="6"/>
        <v>0</v>
      </c>
      <c r="W98" s="76">
        <f t="shared" si="6"/>
        <v>0</v>
      </c>
      <c r="X98" s="1"/>
    </row>
    <row r="99" spans="1:24">
      <c r="A99" s="65" t="s">
        <v>211</v>
      </c>
      <c r="B99" s="2">
        <f t="shared" ref="B99:W99" si="7">SUMIF($X$41:$X$70,1600,B$41:B$70)</f>
        <v>0</v>
      </c>
      <c r="C99" s="2">
        <f t="shared" si="7"/>
        <v>0</v>
      </c>
      <c r="D99" s="2">
        <f t="shared" si="7"/>
        <v>0</v>
      </c>
      <c r="E99" s="2">
        <f t="shared" si="7"/>
        <v>0</v>
      </c>
      <c r="F99" s="2">
        <f t="shared" si="7"/>
        <v>0</v>
      </c>
      <c r="G99" s="2">
        <f t="shared" si="7"/>
        <v>0</v>
      </c>
      <c r="H99" s="2">
        <f t="shared" si="7"/>
        <v>0</v>
      </c>
      <c r="I99" s="2">
        <f t="shared" si="7"/>
        <v>0</v>
      </c>
      <c r="J99" s="2">
        <f t="shared" si="7"/>
        <v>0</v>
      </c>
      <c r="K99" s="2">
        <f t="shared" si="7"/>
        <v>0</v>
      </c>
      <c r="L99" s="2">
        <f t="shared" si="7"/>
        <v>0</v>
      </c>
      <c r="M99" s="79">
        <f t="shared" si="7"/>
        <v>0</v>
      </c>
      <c r="N99" s="76">
        <f t="shared" si="7"/>
        <v>0</v>
      </c>
      <c r="O99" s="76">
        <f t="shared" si="7"/>
        <v>0</v>
      </c>
      <c r="P99" s="76">
        <f t="shared" si="7"/>
        <v>0</v>
      </c>
      <c r="Q99" s="76">
        <f t="shared" si="7"/>
        <v>0</v>
      </c>
      <c r="R99" s="76">
        <f t="shared" si="7"/>
        <v>0</v>
      </c>
      <c r="S99" s="76">
        <f t="shared" si="7"/>
        <v>0</v>
      </c>
      <c r="T99" s="76">
        <f t="shared" si="7"/>
        <v>0</v>
      </c>
      <c r="U99" s="76">
        <f t="shared" si="7"/>
        <v>0</v>
      </c>
      <c r="V99" s="76">
        <f t="shared" si="7"/>
        <v>0</v>
      </c>
      <c r="W99" s="76">
        <f t="shared" si="7"/>
        <v>0</v>
      </c>
    </row>
    <row r="100" spans="1:24">
      <c r="A100" s="65" t="s">
        <v>276</v>
      </c>
      <c r="B100" s="2">
        <f t="shared" ref="B100:W100" si="8">SUM(B41:B70)</f>
        <v>146345.29878343627</v>
      </c>
      <c r="C100" s="2">
        <f t="shared" si="8"/>
        <v>190173.3012245</v>
      </c>
      <c r="D100" s="2">
        <f t="shared" si="8"/>
        <v>0</v>
      </c>
      <c r="E100" s="2">
        <f t="shared" si="8"/>
        <v>0</v>
      </c>
      <c r="F100" s="2">
        <f t="shared" si="8"/>
        <v>0</v>
      </c>
      <c r="G100" s="2">
        <f t="shared" si="8"/>
        <v>0</v>
      </c>
      <c r="H100" s="2">
        <f t="shared" si="8"/>
        <v>0</v>
      </c>
      <c r="I100" s="2">
        <f t="shared" si="8"/>
        <v>0</v>
      </c>
      <c r="J100" s="2">
        <f t="shared" si="8"/>
        <v>0</v>
      </c>
      <c r="K100" s="2">
        <f t="shared" si="8"/>
        <v>0</v>
      </c>
      <c r="L100" s="2">
        <f t="shared" si="8"/>
        <v>0</v>
      </c>
      <c r="M100" s="79">
        <f t="shared" si="8"/>
        <v>15.281099730335734</v>
      </c>
      <c r="N100" s="76">
        <f t="shared" si="8"/>
        <v>18.299959612310282</v>
      </c>
      <c r="O100" s="76">
        <f t="shared" si="8"/>
        <v>0</v>
      </c>
      <c r="P100" s="76">
        <f t="shared" si="8"/>
        <v>0</v>
      </c>
      <c r="Q100" s="76">
        <f t="shared" si="8"/>
        <v>0</v>
      </c>
      <c r="R100" s="76">
        <f t="shared" si="8"/>
        <v>0</v>
      </c>
      <c r="S100" s="76">
        <f t="shared" si="8"/>
        <v>0</v>
      </c>
      <c r="T100" s="76">
        <f t="shared" si="8"/>
        <v>0</v>
      </c>
      <c r="U100" s="76">
        <f t="shared" si="8"/>
        <v>0</v>
      </c>
      <c r="V100" s="76">
        <f t="shared" si="8"/>
        <v>0</v>
      </c>
      <c r="W100" s="76">
        <f t="shared" si="8"/>
        <v>0</v>
      </c>
    </row>
    <row r="101" spans="1:24">
      <c r="A101" s="65"/>
    </row>
    <row r="102" spans="1:24">
      <c r="A102" s="176" t="s">
        <v>428</v>
      </c>
      <c r="B102" s="68">
        <v>2018</v>
      </c>
      <c r="C102" s="50">
        <v>2019</v>
      </c>
      <c r="D102" s="50">
        <v>2020</v>
      </c>
      <c r="E102" s="50">
        <v>2021</v>
      </c>
      <c r="F102" s="50">
        <v>2022</v>
      </c>
      <c r="G102" s="50">
        <v>2023</v>
      </c>
      <c r="H102" s="50">
        <v>2024</v>
      </c>
      <c r="I102" s="50">
        <v>2025</v>
      </c>
      <c r="J102" s="50">
        <v>2026</v>
      </c>
      <c r="K102" s="50">
        <v>2027</v>
      </c>
      <c r="L102" s="50">
        <v>2028</v>
      </c>
      <c r="M102" s="68">
        <v>2018</v>
      </c>
      <c r="N102" s="50">
        <v>2019</v>
      </c>
      <c r="O102" s="50">
        <v>2020</v>
      </c>
      <c r="P102" s="50">
        <v>2021</v>
      </c>
      <c r="Q102" s="50">
        <v>2022</v>
      </c>
      <c r="R102" s="50">
        <v>2023</v>
      </c>
      <c r="S102" s="50">
        <v>2024</v>
      </c>
      <c r="T102" s="50">
        <v>2025</v>
      </c>
      <c r="U102" s="50">
        <v>2026</v>
      </c>
      <c r="V102" s="50">
        <v>2027</v>
      </c>
      <c r="W102" s="50">
        <v>2028</v>
      </c>
    </row>
    <row r="103" spans="1:24">
      <c r="A103" s="65" t="s">
        <v>205</v>
      </c>
      <c r="B103" s="2">
        <f t="shared" ref="B103:W103" si="9">SUMIF($X$71:$X$89,100,B$71:B$89)</f>
        <v>0</v>
      </c>
      <c r="C103" s="2">
        <f t="shared" si="9"/>
        <v>0</v>
      </c>
      <c r="D103" s="2">
        <f t="shared" si="9"/>
        <v>0</v>
      </c>
      <c r="E103" s="2">
        <f t="shared" si="9"/>
        <v>0</v>
      </c>
      <c r="F103" s="2">
        <f t="shared" si="9"/>
        <v>0</v>
      </c>
      <c r="G103" s="2">
        <f t="shared" si="9"/>
        <v>0</v>
      </c>
      <c r="H103" s="2">
        <f t="shared" si="9"/>
        <v>0</v>
      </c>
      <c r="I103" s="2">
        <f t="shared" si="9"/>
        <v>0</v>
      </c>
      <c r="J103" s="2">
        <f t="shared" si="9"/>
        <v>0</v>
      </c>
      <c r="K103" s="2">
        <f t="shared" si="9"/>
        <v>0</v>
      </c>
      <c r="L103" s="2">
        <f t="shared" si="9"/>
        <v>0</v>
      </c>
      <c r="M103" s="79">
        <f t="shared" si="9"/>
        <v>0</v>
      </c>
      <c r="N103" s="76">
        <f t="shared" si="9"/>
        <v>0</v>
      </c>
      <c r="O103" s="76">
        <f t="shared" si="9"/>
        <v>0</v>
      </c>
      <c r="P103" s="76">
        <f t="shared" si="9"/>
        <v>0</v>
      </c>
      <c r="Q103" s="76">
        <f t="shared" si="9"/>
        <v>0</v>
      </c>
      <c r="R103" s="76">
        <f t="shared" si="9"/>
        <v>0</v>
      </c>
      <c r="S103" s="76">
        <f t="shared" si="9"/>
        <v>0</v>
      </c>
      <c r="T103" s="76">
        <f t="shared" si="9"/>
        <v>0</v>
      </c>
      <c r="U103" s="76">
        <f t="shared" si="9"/>
        <v>0</v>
      </c>
      <c r="V103" s="76">
        <f t="shared" si="9"/>
        <v>0</v>
      </c>
      <c r="W103" s="76">
        <f t="shared" si="9"/>
        <v>0</v>
      </c>
    </row>
    <row r="104" spans="1:24">
      <c r="A104" s="65" t="s">
        <v>206</v>
      </c>
      <c r="B104" s="2">
        <f t="shared" ref="B104:W104" si="10">SUMIF($X$71:$X$89,200,B$71:B$89)</f>
        <v>0</v>
      </c>
      <c r="C104" s="2">
        <f t="shared" si="10"/>
        <v>0</v>
      </c>
      <c r="D104" s="2">
        <f t="shared" si="10"/>
        <v>0</v>
      </c>
      <c r="E104" s="2">
        <f t="shared" si="10"/>
        <v>0</v>
      </c>
      <c r="F104" s="2">
        <f t="shared" si="10"/>
        <v>0</v>
      </c>
      <c r="G104" s="2">
        <f t="shared" si="10"/>
        <v>0</v>
      </c>
      <c r="H104" s="2">
        <f t="shared" si="10"/>
        <v>0</v>
      </c>
      <c r="I104" s="2">
        <f t="shared" si="10"/>
        <v>0</v>
      </c>
      <c r="J104" s="2">
        <f t="shared" si="10"/>
        <v>0</v>
      </c>
      <c r="K104" s="2">
        <f t="shared" si="10"/>
        <v>0</v>
      </c>
      <c r="L104" s="2">
        <f t="shared" si="10"/>
        <v>0</v>
      </c>
      <c r="M104" s="79">
        <f t="shared" si="10"/>
        <v>0</v>
      </c>
      <c r="N104" s="76">
        <f t="shared" si="10"/>
        <v>0</v>
      </c>
      <c r="O104" s="76">
        <f t="shared" si="10"/>
        <v>0</v>
      </c>
      <c r="P104" s="76">
        <f t="shared" si="10"/>
        <v>0</v>
      </c>
      <c r="Q104" s="76">
        <f t="shared" si="10"/>
        <v>0</v>
      </c>
      <c r="R104" s="76">
        <f t="shared" si="10"/>
        <v>0</v>
      </c>
      <c r="S104" s="76">
        <f t="shared" si="10"/>
        <v>0</v>
      </c>
      <c r="T104" s="76">
        <f t="shared" si="10"/>
        <v>0</v>
      </c>
      <c r="U104" s="76">
        <f t="shared" si="10"/>
        <v>0</v>
      </c>
      <c r="V104" s="76">
        <f t="shared" si="10"/>
        <v>0</v>
      </c>
      <c r="W104" s="76">
        <f t="shared" si="10"/>
        <v>0</v>
      </c>
    </row>
    <row r="105" spans="1:24">
      <c r="A105" s="65" t="s">
        <v>207</v>
      </c>
      <c r="B105" s="2">
        <f t="shared" ref="B105:W105" si="11">SUMIF($X$71:$X$89,400,B$71:B$89)</f>
        <v>0</v>
      </c>
      <c r="C105" s="2">
        <f t="shared" si="11"/>
        <v>0</v>
      </c>
      <c r="D105" s="2">
        <f t="shared" si="11"/>
        <v>0</v>
      </c>
      <c r="E105" s="2">
        <f t="shared" si="11"/>
        <v>0</v>
      </c>
      <c r="F105" s="2">
        <f t="shared" si="11"/>
        <v>0</v>
      </c>
      <c r="G105" s="2">
        <f t="shared" si="11"/>
        <v>0</v>
      </c>
      <c r="H105" s="2">
        <f t="shared" si="11"/>
        <v>0</v>
      </c>
      <c r="I105" s="2">
        <f t="shared" si="11"/>
        <v>0</v>
      </c>
      <c r="J105" s="2">
        <f t="shared" si="11"/>
        <v>0</v>
      </c>
      <c r="K105" s="2">
        <f t="shared" si="11"/>
        <v>0</v>
      </c>
      <c r="L105" s="2">
        <f t="shared" si="11"/>
        <v>0</v>
      </c>
      <c r="M105" s="79">
        <f t="shared" si="11"/>
        <v>0</v>
      </c>
      <c r="N105" s="76">
        <f t="shared" si="11"/>
        <v>0</v>
      </c>
      <c r="O105" s="76">
        <f t="shared" si="11"/>
        <v>0</v>
      </c>
      <c r="P105" s="76">
        <f t="shared" si="11"/>
        <v>0</v>
      </c>
      <c r="Q105" s="76">
        <f t="shared" si="11"/>
        <v>0</v>
      </c>
      <c r="R105" s="76">
        <f t="shared" si="11"/>
        <v>0</v>
      </c>
      <c r="S105" s="76">
        <f t="shared" si="11"/>
        <v>0</v>
      </c>
      <c r="T105" s="76">
        <f t="shared" si="11"/>
        <v>0</v>
      </c>
      <c r="U105" s="76">
        <f t="shared" si="11"/>
        <v>0</v>
      </c>
      <c r="V105" s="76">
        <f t="shared" si="11"/>
        <v>0</v>
      </c>
      <c r="W105" s="76">
        <f t="shared" si="11"/>
        <v>0</v>
      </c>
    </row>
    <row r="106" spans="1:24">
      <c r="A106" s="65" t="s">
        <v>429</v>
      </c>
      <c r="B106" s="2">
        <f t="shared" ref="B106:W106" si="12">SUMIF($X$71:$X$89,600,B$71:B$89)+SUMIF($X$71:$X$89,800,B$71:B$89)</f>
        <v>0</v>
      </c>
      <c r="C106" s="2">
        <f t="shared" si="12"/>
        <v>0</v>
      </c>
      <c r="D106" s="2">
        <f t="shared" si="12"/>
        <v>0</v>
      </c>
      <c r="E106" s="2">
        <f t="shared" si="12"/>
        <v>0</v>
      </c>
      <c r="F106" s="2">
        <f t="shared" si="12"/>
        <v>0</v>
      </c>
      <c r="G106" s="2">
        <f t="shared" si="12"/>
        <v>0</v>
      </c>
      <c r="H106" s="2">
        <f t="shared" si="12"/>
        <v>0</v>
      </c>
      <c r="I106" s="2">
        <f t="shared" si="12"/>
        <v>0</v>
      </c>
      <c r="J106" s="2">
        <f t="shared" si="12"/>
        <v>0</v>
      </c>
      <c r="K106" s="2">
        <f t="shared" si="12"/>
        <v>0</v>
      </c>
      <c r="L106" s="2">
        <f t="shared" si="12"/>
        <v>0</v>
      </c>
      <c r="M106" s="79">
        <f t="shared" si="12"/>
        <v>0</v>
      </c>
      <c r="N106" s="76">
        <f t="shared" si="12"/>
        <v>0</v>
      </c>
      <c r="O106" s="76">
        <f t="shared" si="12"/>
        <v>0</v>
      </c>
      <c r="P106" s="76">
        <f t="shared" si="12"/>
        <v>0</v>
      </c>
      <c r="Q106" s="76">
        <f t="shared" si="12"/>
        <v>0</v>
      </c>
      <c r="R106" s="76">
        <f t="shared" si="12"/>
        <v>0</v>
      </c>
      <c r="S106" s="76">
        <f t="shared" si="12"/>
        <v>0</v>
      </c>
      <c r="T106" s="76">
        <f t="shared" si="12"/>
        <v>0</v>
      </c>
      <c r="U106" s="76">
        <f t="shared" si="12"/>
        <v>0</v>
      </c>
      <c r="V106" s="76">
        <f t="shared" si="12"/>
        <v>0</v>
      </c>
      <c r="W106" s="76">
        <f t="shared" si="12"/>
        <v>0</v>
      </c>
    </row>
    <row r="107" spans="1:24">
      <c r="A107" s="65" t="s">
        <v>430</v>
      </c>
      <c r="B107" s="2">
        <f t="shared" ref="B107:W107" si="13">SUMIF($X$71:$X$89,1200,B$71:B$89)+SUMIF($X$71:$X$89,1600,B$71:B$89)</f>
        <v>0</v>
      </c>
      <c r="C107" s="2">
        <f t="shared" si="13"/>
        <v>0</v>
      </c>
      <c r="D107" s="2">
        <f t="shared" si="13"/>
        <v>0</v>
      </c>
      <c r="E107" s="2">
        <f t="shared" si="13"/>
        <v>0</v>
      </c>
      <c r="F107" s="2">
        <f t="shared" si="13"/>
        <v>0</v>
      </c>
      <c r="G107" s="2">
        <f t="shared" si="13"/>
        <v>0</v>
      </c>
      <c r="H107" s="2">
        <f t="shared" si="13"/>
        <v>0</v>
      </c>
      <c r="I107" s="2">
        <f t="shared" si="13"/>
        <v>0</v>
      </c>
      <c r="J107" s="2">
        <f t="shared" si="13"/>
        <v>0</v>
      </c>
      <c r="K107" s="2">
        <f t="shared" si="13"/>
        <v>0</v>
      </c>
      <c r="L107" s="2">
        <f t="shared" si="13"/>
        <v>0</v>
      </c>
      <c r="M107" s="79">
        <f t="shared" si="13"/>
        <v>0</v>
      </c>
      <c r="N107" s="76">
        <f t="shared" si="13"/>
        <v>0</v>
      </c>
      <c r="O107" s="76">
        <f t="shared" si="13"/>
        <v>0</v>
      </c>
      <c r="P107" s="76">
        <f t="shared" si="13"/>
        <v>0</v>
      </c>
      <c r="Q107" s="76">
        <f t="shared" si="13"/>
        <v>0</v>
      </c>
      <c r="R107" s="76">
        <f t="shared" si="13"/>
        <v>0</v>
      </c>
      <c r="S107" s="76">
        <f t="shared" si="13"/>
        <v>0</v>
      </c>
      <c r="T107" s="76">
        <f t="shared" si="13"/>
        <v>0</v>
      </c>
      <c r="U107" s="76">
        <f t="shared" si="13"/>
        <v>0</v>
      </c>
      <c r="V107" s="76">
        <f t="shared" si="13"/>
        <v>0</v>
      </c>
      <c r="W107" s="76">
        <f t="shared" si="13"/>
        <v>0</v>
      </c>
    </row>
    <row r="108" spans="1:24">
      <c r="A108" s="65" t="s">
        <v>277</v>
      </c>
      <c r="B108" s="2">
        <f t="shared" ref="B108:W108" si="14">SUM(B71:B89)</f>
        <v>0</v>
      </c>
      <c r="C108" s="2">
        <f t="shared" si="14"/>
        <v>0</v>
      </c>
      <c r="D108" s="2">
        <f t="shared" si="14"/>
        <v>0</v>
      </c>
      <c r="E108" s="2">
        <f t="shared" si="14"/>
        <v>0</v>
      </c>
      <c r="F108" s="2">
        <f t="shared" si="14"/>
        <v>0</v>
      </c>
      <c r="G108" s="2">
        <f t="shared" si="14"/>
        <v>0</v>
      </c>
      <c r="H108" s="2">
        <f t="shared" si="14"/>
        <v>0</v>
      </c>
      <c r="I108" s="2">
        <f t="shared" si="14"/>
        <v>0</v>
      </c>
      <c r="J108" s="2">
        <f t="shared" si="14"/>
        <v>0</v>
      </c>
      <c r="K108" s="2">
        <f t="shared" si="14"/>
        <v>0</v>
      </c>
      <c r="L108" s="2">
        <f t="shared" si="14"/>
        <v>0</v>
      </c>
      <c r="M108" s="79">
        <f t="shared" si="14"/>
        <v>0</v>
      </c>
      <c r="N108" s="76">
        <f t="shared" si="14"/>
        <v>0</v>
      </c>
      <c r="O108" s="76">
        <f t="shared" si="14"/>
        <v>0</v>
      </c>
      <c r="P108" s="76">
        <f t="shared" si="14"/>
        <v>0</v>
      </c>
      <c r="Q108" s="76">
        <f t="shared" si="14"/>
        <v>0</v>
      </c>
      <c r="R108" s="76">
        <f t="shared" si="14"/>
        <v>0</v>
      </c>
      <c r="S108" s="76">
        <f t="shared" si="14"/>
        <v>0</v>
      </c>
      <c r="T108" s="76">
        <f t="shared" si="14"/>
        <v>0</v>
      </c>
      <c r="U108" s="76">
        <f t="shared" si="14"/>
        <v>0</v>
      </c>
      <c r="V108" s="76">
        <f t="shared" si="14"/>
        <v>0</v>
      </c>
      <c r="W108" s="76">
        <f t="shared" si="14"/>
        <v>0</v>
      </c>
    </row>
    <row r="111" spans="1:24">
      <c r="A111" t="s">
        <v>275</v>
      </c>
    </row>
    <row r="112" spans="1:24">
      <c r="A112" s="40" t="s">
        <v>213</v>
      </c>
      <c r="B112" s="17">
        <v>2018</v>
      </c>
      <c r="C112" s="17">
        <v>2019</v>
      </c>
      <c r="D112" s="17">
        <v>2020</v>
      </c>
      <c r="E112" s="17">
        <v>2021</v>
      </c>
      <c r="F112" s="17">
        <v>2022</v>
      </c>
      <c r="G112" s="17">
        <v>2023</v>
      </c>
      <c r="H112" s="17">
        <v>2024</v>
      </c>
      <c r="I112" s="17">
        <v>2025</v>
      </c>
      <c r="J112" s="17">
        <v>2026</v>
      </c>
      <c r="K112" s="17">
        <v>2027</v>
      </c>
      <c r="L112" s="17">
        <v>2028</v>
      </c>
    </row>
    <row r="113" spans="1:12">
      <c r="A113" s="25" t="s">
        <v>250</v>
      </c>
      <c r="B113" s="32">
        <f>SUMPRODUCT(B41:B$70,$X$41:$X$70)/10^6</f>
        <v>8.0275990473436281</v>
      </c>
      <c r="C113" s="32">
        <f>SUMPRODUCT(C41:C$70,$X$41:$X$70)/10^6</f>
        <v>13.874089214449999</v>
      </c>
      <c r="D113" s="32">
        <f>SUMPRODUCT(D41:D$70,$X$41:$X$70)/10^6</f>
        <v>0</v>
      </c>
      <c r="E113" s="32">
        <f>SUMPRODUCT(E41:E$70,$X$41:$X$70)/10^6</f>
        <v>0</v>
      </c>
      <c r="F113" s="32">
        <f>SUMPRODUCT(F41:F$70,$X$41:$X$70)/10^6</f>
        <v>0</v>
      </c>
      <c r="G113" s="32">
        <f>SUMPRODUCT(G41:G$70,$X$41:$X$70)/10^6</f>
        <v>0</v>
      </c>
      <c r="H113" s="32">
        <f>SUMPRODUCT(H41:H$70,$X$41:$X$70)/10^6</f>
        <v>0</v>
      </c>
      <c r="I113" s="32">
        <f>SUMPRODUCT(I41:I$70,$X$41:$X$70)/10^6</f>
        <v>0</v>
      </c>
      <c r="J113" s="32">
        <f>SUMPRODUCT(J41:J$70,$X$41:$X$70)/10^6</f>
        <v>0</v>
      </c>
      <c r="K113" s="32">
        <f>SUMPRODUCT(K41:K$70,$X$41:$X$70)/10^6</f>
        <v>0</v>
      </c>
      <c r="L113" s="32">
        <f>SUMPRODUCT(L41:L$70,$X$41:$X$70)/10^6</f>
        <v>0</v>
      </c>
    </row>
    <row r="114" spans="1:12">
      <c r="A114" s="25" t="s">
        <v>251</v>
      </c>
      <c r="B114" s="54">
        <f>B113*2</f>
        <v>16.055198094687256</v>
      </c>
      <c r="C114" s="29">
        <f>B114+C113</f>
        <v>29.929287309137255</v>
      </c>
      <c r="D114" s="29">
        <f>C114+D113</f>
        <v>29.929287309137255</v>
      </c>
      <c r="E114" s="29">
        <f t="shared" ref="E114:L114" si="15">D114+E113</f>
        <v>29.929287309137255</v>
      </c>
      <c r="F114" s="29">
        <f t="shared" si="15"/>
        <v>29.929287309137255</v>
      </c>
      <c r="G114" s="29">
        <f t="shared" si="15"/>
        <v>29.929287309137255</v>
      </c>
      <c r="H114" s="29">
        <f t="shared" si="15"/>
        <v>29.929287309137255</v>
      </c>
      <c r="I114" s="29">
        <f t="shared" si="15"/>
        <v>29.929287309137255</v>
      </c>
      <c r="J114" s="29">
        <f t="shared" si="15"/>
        <v>29.929287309137255</v>
      </c>
      <c r="K114" s="29">
        <f t="shared" si="15"/>
        <v>29.929287309137255</v>
      </c>
      <c r="L114" s="29">
        <f t="shared" si="15"/>
        <v>29.929287309137255</v>
      </c>
    </row>
    <row r="115" spans="1:12">
      <c r="A115" s="25" t="s">
        <v>252</v>
      </c>
      <c r="B115" s="26"/>
      <c r="C115" s="31">
        <f>C114/B114-1</f>
        <v>0.86414936350371185</v>
      </c>
      <c r="D115" s="31">
        <f t="shared" ref="D115:L115" si="16">D114/C114-1</f>
        <v>0</v>
      </c>
      <c r="E115" s="31">
        <f t="shared" si="16"/>
        <v>0</v>
      </c>
      <c r="F115" s="31">
        <f t="shared" si="16"/>
        <v>0</v>
      </c>
      <c r="G115" s="31">
        <f t="shared" si="16"/>
        <v>0</v>
      </c>
      <c r="H115" s="31">
        <f t="shared" si="16"/>
        <v>0</v>
      </c>
      <c r="I115" s="31">
        <f t="shared" si="16"/>
        <v>0</v>
      </c>
      <c r="J115" s="31">
        <f t="shared" si="16"/>
        <v>0</v>
      </c>
      <c r="K115" s="31">
        <f t="shared" si="16"/>
        <v>0</v>
      </c>
      <c r="L115" s="31">
        <f t="shared" si="16"/>
        <v>0</v>
      </c>
    </row>
    <row r="119" spans="1:12">
      <c r="A119" s="159" t="s">
        <v>393</v>
      </c>
    </row>
    <row r="120" spans="1:12">
      <c r="A120" s="158">
        <v>45108</v>
      </c>
    </row>
    <row r="121" spans="1:12">
      <c r="A121" s="160" t="s">
        <v>399</v>
      </c>
    </row>
    <row r="122" spans="1:12">
      <c r="A122" s="157"/>
    </row>
    <row r="123" spans="1:12">
      <c r="A123" s="157" t="s">
        <v>400</v>
      </c>
    </row>
    <row r="124" spans="1:12">
      <c r="A124" s="157" t="s">
        <v>401</v>
      </c>
    </row>
    <row r="125" spans="1:12">
      <c r="A125" s="157" t="s">
        <v>402</v>
      </c>
    </row>
    <row r="126" spans="1:12">
      <c r="A126" s="157" t="s">
        <v>403</v>
      </c>
    </row>
    <row r="127" spans="1:12">
      <c r="A127" s="157"/>
    </row>
    <row r="128" spans="1:12">
      <c r="A128" s="157" t="s">
        <v>404</v>
      </c>
    </row>
    <row r="129" spans="1:1">
      <c r="A129" s="157"/>
    </row>
    <row r="130" spans="1:1">
      <c r="A130" s="157" t="s">
        <v>405</v>
      </c>
    </row>
    <row r="131" spans="1:1">
      <c r="A131" s="157"/>
    </row>
    <row r="132" spans="1:1">
      <c r="A132" s="160" t="s">
        <v>406</v>
      </c>
    </row>
    <row r="133" spans="1:1">
      <c r="A133" s="160"/>
    </row>
    <row r="134" spans="1:1">
      <c r="A134" s="157" t="s">
        <v>407</v>
      </c>
    </row>
    <row r="135" spans="1:1">
      <c r="A135" s="157" t="s">
        <v>408</v>
      </c>
    </row>
    <row r="136" spans="1:1">
      <c r="A136" s="157" t="s">
        <v>409</v>
      </c>
    </row>
  </sheetData>
  <mergeCells count="2">
    <mergeCell ref="B39:L39"/>
    <mergeCell ref="M39:W39"/>
  </mergeCells>
  <dataValidations count="1">
    <dataValidation type="list" allowBlank="1" showInputMessage="1" showErrorMessage="1" sqref="A41:A89" xr:uid="{00000000-0002-0000-0D00-000000000000}">
      <formula1>INDIRECT("Products[LookupCodes]")</formula1>
    </dataValidation>
  </dataValidations>
  <pageMargins left="0.7" right="0.7" top="0.75" bottom="0.75" header="0.3" footer="0.3"/>
  <pageSetup paperSize="9"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DS129"/>
  <sheetViews>
    <sheetView zoomScale="50" zoomScaleNormal="50" workbookViewId="0">
      <pane xSplit="1" topLeftCell="B1" activePane="topRight" state="frozen"/>
      <selection activeCell="D2" sqref="D2:F5"/>
      <selection pane="topRight" activeCell="A5" sqref="A5"/>
    </sheetView>
  </sheetViews>
  <sheetFormatPr defaultColWidth="8.5" defaultRowHeight="15.75"/>
  <cols>
    <col min="1" max="1" width="35.5" bestFit="1" customWidth="1"/>
    <col min="2" max="2" width="11" bestFit="1" customWidth="1"/>
    <col min="3" max="12" width="10.5" customWidth="1"/>
    <col min="13" max="15" width="8.8125" bestFit="1" customWidth="1"/>
    <col min="16" max="23" width="10.5" bestFit="1" customWidth="1"/>
  </cols>
  <sheetData>
    <row r="1" spans="1:23" s="1" customFormat="1" ht="14.25">
      <c r="A1" s="19"/>
    </row>
    <row r="2" spans="1:23" s="1" customFormat="1" ht="18">
      <c r="A2" s="20" t="str">
        <f>'Figures in the Report'!B2</f>
        <v>LightCounting Mega Datacenter Report Database</v>
      </c>
    </row>
    <row r="3" spans="1:23" s="1" customFormat="1">
      <c r="A3" s="21" t="str">
        <f>'Figures in the Report'!B3</f>
        <v xml:space="preserve"> Mega Datacenter Report - July 2023  sample template</v>
      </c>
    </row>
    <row r="4" spans="1:23" s="1" customFormat="1" ht="21">
      <c r="A4" s="22" t="str">
        <f>"Forecast for "&amp;A39</f>
        <v>Forecast for Cloud All Other</v>
      </c>
    </row>
    <row r="5" spans="1:23" s="1" customFormat="1" ht="14.25">
      <c r="A5" s="19"/>
    </row>
    <row r="8" spans="1:23">
      <c r="B8" s="162" t="str">
        <f>"Ethernet transceivers consumed annually by "&amp;A39</f>
        <v>Ethernet transceivers consumed annually by Cloud All Other</v>
      </c>
      <c r="C8" s="162"/>
      <c r="D8" s="162"/>
      <c r="E8" s="162"/>
      <c r="F8" s="162"/>
      <c r="G8" s="162"/>
      <c r="H8" s="162" t="str">
        <f>"DWDM transceivers consumed annually by "&amp;A39</f>
        <v>DWDM transceivers consumed annually by Cloud All Other</v>
      </c>
      <c r="I8" s="162"/>
      <c r="J8" s="162"/>
      <c r="K8" s="162"/>
      <c r="L8" s="162"/>
      <c r="O8" s="162" t="str">
        <f>"Annual spending on Ethernet transceivers by "&amp;A39</f>
        <v>Annual spending on Ethernet transceivers by Cloud All Other</v>
      </c>
      <c r="P8" s="162"/>
      <c r="Q8" s="162"/>
      <c r="S8" s="162"/>
      <c r="T8" s="162"/>
      <c r="V8" s="162" t="str">
        <f>"Annual spending on DWDM transceivers by "&amp;A39</f>
        <v>Annual spending on DWDM transceivers by Cloud All Other</v>
      </c>
      <c r="W8" s="162"/>
    </row>
    <row r="25" spans="8:8">
      <c r="H25" s="162" t="s">
        <v>413</v>
      </c>
    </row>
    <row r="39" spans="1:123">
      <c r="A39" s="12" t="s">
        <v>274</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123"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123" s="7" customFormat="1" ht="13.15">
      <c r="A41" s="14" t="s">
        <v>150</v>
      </c>
      <c r="B41" s="8">
        <v>235351.83</v>
      </c>
      <c r="C41" s="8">
        <v>0</v>
      </c>
      <c r="D41" s="8"/>
      <c r="E41" s="8"/>
      <c r="F41" s="8"/>
      <c r="G41" s="8"/>
      <c r="H41" s="8"/>
      <c r="I41" s="8"/>
      <c r="J41" s="8"/>
      <c r="K41" s="8"/>
      <c r="L41" s="8"/>
      <c r="M41" s="203" cm="1">
        <f t="array" ref="M41">INDEX(tblPrices[cv_2018], MATCH(tblCloudAOUnits[[#This Row],[Products]],tblPrices[Products],0), 0)* tblCloudAOUnits[[#This Row],[cv_2018]]/10^6</f>
        <v>1.8826059623999996</v>
      </c>
      <c r="N41" s="62" cm="1">
        <f t="array" ref="N41">INDEX(tblPrices[cv_2019], MATCH(tblCloudAOUnits[[#This Row],[Products]],tblPrices[Products],0), 0)* tblCloudAOUnits[[#This Row],[cv_2019]]/10^6</f>
        <v>0</v>
      </c>
      <c r="O41" s="62" cm="1">
        <f t="array" ref="O41">INDEX(tblPrices[cv_2020], MATCH(tblCloudAOUnits[[#This Row],[Products]],tblPrices[Products],0), 0)* tblCloudAOUnits[[#This Row],[cv_2020]]/10^6</f>
        <v>0</v>
      </c>
      <c r="P41" s="62" cm="1">
        <f t="array" ref="P41">INDEX(tblPrices[cv_2021], MATCH(tblCloudAOUnits[[#This Row],[Products]],tblPrices[Products],0), 0)* tblCloudAOUnits[[#This Row],[cv_2021]]/10^6</f>
        <v>0</v>
      </c>
      <c r="Q41" s="62" cm="1">
        <f t="array" ref="Q41">INDEX(tblPrices[cv_2022], MATCH(tblCloudAOUnits[[#This Row],[Products]],tblPrices[Products],0), 0)* tblCloudAOUnits[[#This Row],[cv_2022]]/10^6</f>
        <v>0</v>
      </c>
      <c r="R41" s="62" cm="1">
        <f t="array" ref="R41">INDEX(tblPrices[cv_2023], MATCH(tblCloudAOUnits[[#This Row],[Products]],tblPrices[Products],0), 0)* tblCloudAOUnits[[#This Row],[cv_2023]]/10^6</f>
        <v>0</v>
      </c>
      <c r="S41" s="62" cm="1">
        <f t="array" ref="S41">INDEX(tblPrices[cv_2024], MATCH(tblCloudAOUnits[[#This Row],[Products]],tblPrices[Products],0), 0)* tblCloudAOUnits[[#This Row],[cv_2024]]/10^6</f>
        <v>0</v>
      </c>
      <c r="T41" s="62" cm="1">
        <f t="array" ref="T41">INDEX(tblPrices[cv_2025], MATCH(tblCloudAOUnits[[#This Row],[Products]],tblPrices[Products],0), 0)* tblCloudAOUnits[[#This Row],[cv_2025]]/10^6</f>
        <v>0</v>
      </c>
      <c r="U41" s="62" cm="1">
        <f t="array" ref="U41">INDEX(tblPrices[cv_2026], MATCH(tblCloudAOUnits[[#This Row],[Products]],tblPrices[Products],0), 0)* tblCloudAOUnits[[#This Row],[cv_2026]]/10^6</f>
        <v>0</v>
      </c>
      <c r="V41" s="62" cm="1">
        <f t="array" ref="V41">INDEX(tblPrices[cv_2027], MATCH(tblCloudAOUnits[[#This Row],[Products]],tblPrices[Products],0), 0)* tblCloudAOUnits[[#This Row],[cv_2027]]/10^6</f>
        <v>0</v>
      </c>
      <c r="W41" s="62" cm="1">
        <f t="array" ref="W41">INDEX(tblPrices[cv_2028], MATCH(tblCloudAOUnits[[#This Row],[Products]],tblPrices[Products],0), 0)* tblCloudAOUnits[[#This Row],[cv_2028]]/10^6</f>
        <v>0</v>
      </c>
      <c r="X41" s="27"/>
    </row>
    <row r="42" spans="1:123" s="1" customFormat="1" ht="13.15">
      <c r="A42" s="14" t="s">
        <v>155</v>
      </c>
      <c r="B42" s="8">
        <v>2983872.0495203873</v>
      </c>
      <c r="C42" s="8">
        <v>2171414.4512255983</v>
      </c>
      <c r="D42" s="8"/>
      <c r="E42" s="8"/>
      <c r="F42" s="8"/>
      <c r="G42" s="8"/>
      <c r="H42" s="8"/>
      <c r="I42" s="8"/>
      <c r="J42" s="8"/>
      <c r="K42" s="8"/>
      <c r="L42" s="8"/>
      <c r="M42" s="62" cm="1">
        <f t="array" ref="M42">INDEX(tblPrices[cv_2018], MATCH(tblCloudAOUnits[[#This Row],[Products]],tblPrices[Products],0), 0)* tblCloudAOUnits[[#This Row],[cv_2018]]/10^6</f>
        <v>38.411741412977641</v>
      </c>
      <c r="N42" s="62" cm="1">
        <f t="array" ref="N42">INDEX(tblPrices[cv_2019], MATCH(tblCloudAOUnits[[#This Row],[Products]],tblPrices[Products],0), 0)* tblCloudAOUnits[[#This Row],[cv_2019]]/10^6</f>
        <v>25.843977376033234</v>
      </c>
      <c r="O42" s="62" cm="1">
        <f t="array" ref="O42">INDEX(tblPrices[cv_2020], MATCH(tblCloudAOUnits[[#This Row],[Products]],tblPrices[Products],0), 0)* tblCloudAOUnits[[#This Row],[cv_2020]]/10^6</f>
        <v>0</v>
      </c>
      <c r="P42" s="62" cm="1">
        <f t="array" ref="P42">INDEX(tblPrices[cv_2021], MATCH(tblCloudAOUnits[[#This Row],[Products]],tblPrices[Products],0), 0)* tblCloudAOUnits[[#This Row],[cv_2021]]/10^6</f>
        <v>0</v>
      </c>
      <c r="Q42" s="62" cm="1">
        <f t="array" ref="Q42">INDEX(tblPrices[cv_2022], MATCH(tblCloudAOUnits[[#This Row],[Products]],tblPrices[Products],0), 0)* tblCloudAOUnits[[#This Row],[cv_2022]]/10^6</f>
        <v>0</v>
      </c>
      <c r="R42" s="62" cm="1">
        <f t="array" ref="R42">INDEX(tblPrices[cv_2023], MATCH(tblCloudAOUnits[[#This Row],[Products]],tblPrices[Products],0), 0)* tblCloudAOUnits[[#This Row],[cv_2023]]/10^6</f>
        <v>0</v>
      </c>
      <c r="S42" s="62" cm="1">
        <f t="array" ref="S42">INDEX(tblPrices[cv_2024], MATCH(tblCloudAOUnits[[#This Row],[Products]],tblPrices[Products],0), 0)* tblCloudAOUnits[[#This Row],[cv_2024]]/10^6</f>
        <v>0</v>
      </c>
      <c r="T42" s="62" cm="1">
        <f t="array" ref="T42">INDEX(tblPrices[cv_2025], MATCH(tblCloudAOUnits[[#This Row],[Products]],tblPrices[Products],0), 0)* tblCloudAOUnits[[#This Row],[cv_2025]]/10^6</f>
        <v>0</v>
      </c>
      <c r="U42" s="62" cm="1">
        <f t="array" ref="U42">INDEX(tblPrices[cv_2026], MATCH(tblCloudAOUnits[[#This Row],[Products]],tblPrices[Products],0), 0)* tblCloudAOUnits[[#This Row],[cv_2026]]/10^6</f>
        <v>0</v>
      </c>
      <c r="V42" s="62" cm="1">
        <f t="array" ref="V42">INDEX(tblPrices[cv_2027], MATCH(tblCloudAOUnits[[#This Row],[Products]],tblPrices[Products],0), 0)* tblCloudAOUnits[[#This Row],[cv_2027]]/10^6</f>
        <v>0</v>
      </c>
      <c r="W42" s="62" cm="1">
        <f t="array" ref="W42">INDEX(tblPrices[cv_2028], MATCH(tblCloudAOUnits[[#This Row],[Products]],tblPrices[Products],0), 0)* tblCloudAOUnits[[#This Row],[cv_2028]]/10^6</f>
        <v>0</v>
      </c>
      <c r="X42" s="1">
        <f>VLOOKUP(A42,Products!$A$11:$F$110,6,FALSE)</f>
        <v>10</v>
      </c>
    </row>
    <row r="43" spans="1:123" s="1" customFormat="1" ht="13.15">
      <c r="A43" s="14" t="s">
        <v>158</v>
      </c>
      <c r="B43" s="8">
        <v>428112.81308573065</v>
      </c>
      <c r="C43" s="8">
        <v>210892.19353677193</v>
      </c>
      <c r="D43" s="8"/>
      <c r="E43" s="8"/>
      <c r="F43" s="8"/>
      <c r="G43" s="36"/>
      <c r="H43" s="36"/>
      <c r="I43" s="36"/>
      <c r="J43" s="36"/>
      <c r="K43" s="36"/>
      <c r="L43" s="36"/>
      <c r="M43" s="62" cm="1">
        <f t="array" ref="M43">INDEX(tblPrices[cv_2018], MATCH(tblCloudAOUnits[[#This Row],[Products]],tblPrices[Products],0), 0)* tblCloudAOUnits[[#This Row],[cv_2018]]/10^6</f>
        <v>10.349420500444419</v>
      </c>
      <c r="N43" s="62" cm="1">
        <f t="array" ref="N43">INDEX(tblPrices[cv_2019], MATCH(tblCloudAOUnits[[#This Row],[Products]],tblPrices[Products],0), 0)* tblCloudAOUnits[[#This Row],[cv_2019]]/10^6</f>
        <v>4.5610082608408655</v>
      </c>
      <c r="O43" s="62" cm="1">
        <f t="array" ref="O43">INDEX(tblPrices[cv_2020], MATCH(tblCloudAOUnits[[#This Row],[Products]],tblPrices[Products],0), 0)* tblCloudAOUnits[[#This Row],[cv_2020]]/10^6</f>
        <v>0</v>
      </c>
      <c r="P43" s="62" cm="1">
        <f t="array" ref="P43">INDEX(tblPrices[cv_2021], MATCH(tblCloudAOUnits[[#This Row],[Products]],tblPrices[Products],0), 0)* tblCloudAOUnits[[#This Row],[cv_2021]]/10^6</f>
        <v>0</v>
      </c>
      <c r="Q43" s="62" cm="1">
        <f t="array" ref="Q43">INDEX(tblPrices[cv_2022], MATCH(tblCloudAOUnits[[#This Row],[Products]],tblPrices[Products],0), 0)* tblCloudAOUnits[[#This Row],[cv_2022]]/10^6</f>
        <v>0</v>
      </c>
      <c r="R43" s="62" cm="1">
        <f t="array" ref="R43">INDEX(tblPrices[cv_2023], MATCH(tblCloudAOUnits[[#This Row],[Products]],tblPrices[Products],0), 0)* tblCloudAOUnits[[#This Row],[cv_2023]]/10^6</f>
        <v>0</v>
      </c>
      <c r="S43" s="62" cm="1">
        <f t="array" ref="S43">INDEX(tblPrices[cv_2024], MATCH(tblCloudAOUnits[[#This Row],[Products]],tblPrices[Products],0), 0)* tblCloudAOUnits[[#This Row],[cv_2024]]/10^6</f>
        <v>0</v>
      </c>
      <c r="T43" s="62" cm="1">
        <f t="array" ref="T43">INDEX(tblPrices[cv_2025], MATCH(tblCloudAOUnits[[#This Row],[Products]],tblPrices[Products],0), 0)* tblCloudAOUnits[[#This Row],[cv_2025]]/10^6</f>
        <v>0</v>
      </c>
      <c r="U43" s="62" cm="1">
        <f t="array" ref="U43">INDEX(tblPrices[cv_2026], MATCH(tblCloudAOUnits[[#This Row],[Products]],tblPrices[Products],0), 0)* tblCloudAOUnits[[#This Row],[cv_2026]]/10^6</f>
        <v>0</v>
      </c>
      <c r="V43" s="62" cm="1">
        <f t="array" ref="V43">INDEX(tblPrices[cv_2027], MATCH(tblCloudAOUnits[[#This Row],[Products]],tblPrices[Products],0), 0)* tblCloudAOUnits[[#This Row],[cv_2027]]/10^6</f>
        <v>0</v>
      </c>
      <c r="W43" s="62" cm="1">
        <f t="array" ref="W43">INDEX(tblPrices[cv_2028], MATCH(tblCloudAOUnits[[#This Row],[Products]],tblPrices[Products],0), 0)* tblCloudAOUnits[[#This Row],[cv_2028]]/10^6</f>
        <v>0</v>
      </c>
      <c r="X43" s="1">
        <f>VLOOKUP(A43,Products!$A$11:$F$110,6,FALSE)</f>
        <v>10</v>
      </c>
    </row>
    <row r="44" spans="1:123" s="1" customFormat="1" ht="13.15">
      <c r="A44" s="14" t="s">
        <v>159</v>
      </c>
      <c r="B44" s="8">
        <v>27702.117403303509</v>
      </c>
      <c r="C44" s="8">
        <v>10385.501042714317</v>
      </c>
      <c r="D44" s="8"/>
      <c r="E44" s="8"/>
      <c r="F44" s="8"/>
      <c r="G44" s="36"/>
      <c r="H44" s="36"/>
      <c r="I44" s="36"/>
      <c r="J44" s="36"/>
      <c r="K44" s="36"/>
      <c r="L44" s="36"/>
      <c r="M44" s="203" cm="1">
        <f t="array" ref="M44">INDEX(tblPrices[cv_2018], MATCH(tblCloudAOUnits[[#This Row],[Products]],tblPrices[Products],0), 0)* tblCloudAOUnits[[#This Row],[cv_2018]]/10^6</f>
        <v>3.3150265623882684</v>
      </c>
      <c r="N44" s="62" cm="1">
        <f t="array" ref="N44">INDEX(tblPrices[cv_2019], MATCH(tblCloudAOUnits[[#This Row],[Products]],tblPrices[Products],0), 0)* tblCloudAOUnits[[#This Row],[cv_2019]]/10^6</f>
        <v>1.2410745188408119</v>
      </c>
      <c r="O44" s="62" cm="1">
        <f t="array" ref="O44">INDEX(tblPrices[cv_2020], MATCH(tblCloudAOUnits[[#This Row],[Products]],tblPrices[Products],0), 0)* tblCloudAOUnits[[#This Row],[cv_2020]]/10^6</f>
        <v>0</v>
      </c>
      <c r="P44" s="62" cm="1">
        <f t="array" ref="P44">INDEX(tblPrices[cv_2021], MATCH(tblCloudAOUnits[[#This Row],[Products]],tblPrices[Products],0), 0)* tblCloudAOUnits[[#This Row],[cv_2021]]/10^6</f>
        <v>0</v>
      </c>
      <c r="Q44" s="62" cm="1">
        <f t="array" ref="Q44">INDEX(tblPrices[cv_2022], MATCH(tblCloudAOUnits[[#This Row],[Products]],tblPrices[Products],0), 0)* tblCloudAOUnits[[#This Row],[cv_2022]]/10^6</f>
        <v>0</v>
      </c>
      <c r="R44" s="62" cm="1">
        <f t="array" ref="R44">INDEX(tblPrices[cv_2023], MATCH(tblCloudAOUnits[[#This Row],[Products]],tblPrices[Products],0), 0)* tblCloudAOUnits[[#This Row],[cv_2023]]/10^6</f>
        <v>0</v>
      </c>
      <c r="S44" s="62" cm="1">
        <f t="array" ref="S44">INDEX(tblPrices[cv_2024], MATCH(tblCloudAOUnits[[#This Row],[Products]],tblPrices[Products],0), 0)* tblCloudAOUnits[[#This Row],[cv_2024]]/10^6</f>
        <v>0</v>
      </c>
      <c r="T44" s="62" cm="1">
        <f t="array" ref="T44">INDEX(tblPrices[cv_2025], MATCH(tblCloudAOUnits[[#This Row],[Products]],tblPrices[Products],0), 0)* tblCloudAOUnits[[#This Row],[cv_2025]]/10^6</f>
        <v>0</v>
      </c>
      <c r="U44" s="62" cm="1">
        <f t="array" ref="U44">INDEX(tblPrices[cv_2026], MATCH(tblCloudAOUnits[[#This Row],[Products]],tblPrices[Products],0), 0)* tblCloudAOUnits[[#This Row],[cv_2026]]/10^6</f>
        <v>0</v>
      </c>
      <c r="V44" s="62" cm="1">
        <f t="array" ref="V44">INDEX(tblPrices[cv_2027], MATCH(tblCloudAOUnits[[#This Row],[Products]],tblPrices[Products],0), 0)* tblCloudAOUnits[[#This Row],[cv_2027]]/10^6</f>
        <v>0</v>
      </c>
      <c r="W44" s="62" cm="1">
        <f t="array" ref="W44">INDEX(tblPrices[cv_2028], MATCH(tblCloudAOUnits[[#This Row],[Products]],tblPrices[Products],0), 0)* tblCloudAOUnits[[#This Row],[cv_2028]]/10^6</f>
        <v>0</v>
      </c>
      <c r="X44" s="1">
        <f>VLOOKUP(A44,Products!$A$11:$F$110,6,FALSE)</f>
        <v>10</v>
      </c>
    </row>
    <row r="45" spans="1:123" s="42" customFormat="1" ht="13.15">
      <c r="A45" s="16" t="s">
        <v>0</v>
      </c>
      <c r="B45" s="8">
        <v>189601.41811500001</v>
      </c>
      <c r="C45" s="8">
        <v>163161.57676999993</v>
      </c>
      <c r="D45" s="8"/>
      <c r="E45" s="8"/>
      <c r="F45" s="8"/>
      <c r="G45" s="8"/>
      <c r="H45" s="8"/>
      <c r="I45" s="8"/>
      <c r="J45" s="8"/>
      <c r="K45" s="8"/>
      <c r="L45" s="8"/>
      <c r="M45" s="62" cm="1">
        <f t="array" ref="M45">INDEX(tblPrices[cv_2018], MATCH(tblCloudAOUnits[[#This Row],[Products]],tblPrices[Products],0), 0)* tblCloudAOUnits[[#This Row],[cv_2018]]/10^6</f>
        <v>11.122069343902988</v>
      </c>
      <c r="N45" s="62" cm="1">
        <f t="array" ref="N45">INDEX(tblPrices[cv_2019], MATCH(tblCloudAOUnits[[#This Row],[Products]],tblPrices[Products],0), 0)* tblCloudAOUnits[[#This Row],[cv_2019]]/10^6</f>
        <v>7.5253567680964233</v>
      </c>
      <c r="O45" s="62" cm="1">
        <f t="array" ref="O45">INDEX(tblPrices[cv_2020], MATCH(tblCloudAOUnits[[#This Row],[Products]],tblPrices[Products],0), 0)* tblCloudAOUnits[[#This Row],[cv_2020]]/10^6</f>
        <v>0</v>
      </c>
      <c r="P45" s="62" cm="1">
        <f t="array" ref="P45">INDEX(tblPrices[cv_2021], MATCH(tblCloudAOUnits[[#This Row],[Products]],tblPrices[Products],0), 0)* tblCloudAOUnits[[#This Row],[cv_2021]]/10^6</f>
        <v>0</v>
      </c>
      <c r="Q45" s="62" cm="1">
        <f t="array" ref="Q45">INDEX(tblPrices[cv_2022], MATCH(tblCloudAOUnits[[#This Row],[Products]],tblPrices[Products],0), 0)* tblCloudAOUnits[[#This Row],[cv_2022]]/10^6</f>
        <v>0</v>
      </c>
      <c r="R45" s="62" cm="1">
        <f t="array" ref="R45">INDEX(tblPrices[cv_2023], MATCH(tblCloudAOUnits[[#This Row],[Products]],tblPrices[Products],0), 0)* tblCloudAOUnits[[#This Row],[cv_2023]]/10^6</f>
        <v>0</v>
      </c>
      <c r="S45" s="62" cm="1">
        <f t="array" ref="S45">INDEX(tblPrices[cv_2024], MATCH(tblCloudAOUnits[[#This Row],[Products]],tblPrices[Products],0), 0)* tblCloudAOUnits[[#This Row],[cv_2024]]/10^6</f>
        <v>0</v>
      </c>
      <c r="T45" s="62" cm="1">
        <f t="array" ref="T45">INDEX(tblPrices[cv_2025], MATCH(tblCloudAOUnits[[#This Row],[Products]],tblPrices[Products],0), 0)* tblCloudAOUnits[[#This Row],[cv_2025]]/10^6</f>
        <v>0</v>
      </c>
      <c r="U45" s="62" cm="1">
        <f t="array" ref="U45">INDEX(tblPrices[cv_2026], MATCH(tblCloudAOUnits[[#This Row],[Products]],tblPrices[Products],0), 0)* tblCloudAOUnits[[#This Row],[cv_2026]]/10^6</f>
        <v>0</v>
      </c>
      <c r="V45" s="62" cm="1">
        <f t="array" ref="V45">INDEX(tblPrices[cv_2027], MATCH(tblCloudAOUnits[[#This Row],[Products]],tblPrices[Products],0), 0)* tblCloudAOUnits[[#This Row],[cv_2027]]/10^6</f>
        <v>0</v>
      </c>
      <c r="W45" s="62" cm="1">
        <f t="array" ref="W45">INDEX(tblPrices[cv_2028], MATCH(tblCloudAOUnits[[#This Row],[Products]],tblPrices[Products],0), 0)* tblCloudAOUnits[[#This Row],[cv_2028]]/10^6</f>
        <v>0</v>
      </c>
      <c r="X45" s="1">
        <f>VLOOKUP(A45,Products!$A$11:$F$110,6,FALSE)</f>
        <v>40</v>
      </c>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row>
    <row r="46" spans="1:123" s="1" customFormat="1" ht="13.15">
      <c r="A46" s="9" t="s">
        <v>1</v>
      </c>
      <c r="B46" s="8">
        <v>168715.88918999996</v>
      </c>
      <c r="C46" s="8">
        <v>119644.76885999998</v>
      </c>
      <c r="D46" s="8"/>
      <c r="E46" s="8"/>
      <c r="F46" s="8"/>
      <c r="G46" s="8"/>
      <c r="H46" s="8"/>
      <c r="I46" s="8"/>
      <c r="J46" s="8"/>
      <c r="K46" s="8"/>
      <c r="L46" s="8"/>
      <c r="M46" s="62" cm="1">
        <f t="array" ref="M46">INDEX(tblPrices[cv_2018], MATCH(tblCloudAOUnits[[#This Row],[Products]],tblPrices[Products],0), 0)* tblCloudAOUnits[[#This Row],[cv_2018]]/10^6</f>
        <v>10.772664832690937</v>
      </c>
      <c r="N46" s="62" cm="1">
        <f t="array" ref="N46">INDEX(tblPrices[cv_2019], MATCH(tblCloudAOUnits[[#This Row],[Products]],tblPrices[Products],0), 0)* tblCloudAOUnits[[#This Row],[cv_2019]]/10^6</f>
        <v>7.4235464651099976</v>
      </c>
      <c r="O46" s="62" cm="1">
        <f t="array" ref="O46">INDEX(tblPrices[cv_2020], MATCH(tblCloudAOUnits[[#This Row],[Products]],tblPrices[Products],0), 0)* tblCloudAOUnits[[#This Row],[cv_2020]]/10^6</f>
        <v>0</v>
      </c>
      <c r="P46" s="62" cm="1">
        <f t="array" ref="P46">INDEX(tblPrices[cv_2021], MATCH(tblCloudAOUnits[[#This Row],[Products]],tblPrices[Products],0), 0)* tblCloudAOUnits[[#This Row],[cv_2021]]/10^6</f>
        <v>0</v>
      </c>
      <c r="Q46" s="62" cm="1">
        <f t="array" ref="Q46">INDEX(tblPrices[cv_2022], MATCH(tblCloudAOUnits[[#This Row],[Products]],tblPrices[Products],0), 0)* tblCloudAOUnits[[#This Row],[cv_2022]]/10^6</f>
        <v>0</v>
      </c>
      <c r="R46" s="62" cm="1">
        <f t="array" ref="R46">INDEX(tblPrices[cv_2023], MATCH(tblCloudAOUnits[[#This Row],[Products]],tblPrices[Products],0), 0)* tblCloudAOUnits[[#This Row],[cv_2023]]/10^6</f>
        <v>0</v>
      </c>
      <c r="S46" s="62" cm="1">
        <f t="array" ref="S46">INDEX(tblPrices[cv_2024], MATCH(tblCloudAOUnits[[#This Row],[Products]],tblPrices[Products],0), 0)* tblCloudAOUnits[[#This Row],[cv_2024]]/10^6</f>
        <v>0</v>
      </c>
      <c r="T46" s="62" cm="1">
        <f t="array" ref="T46">INDEX(tblPrices[cv_2025], MATCH(tblCloudAOUnits[[#This Row],[Products]],tblPrices[Products],0), 0)* tblCloudAOUnits[[#This Row],[cv_2025]]/10^6</f>
        <v>0</v>
      </c>
      <c r="U46" s="62" cm="1">
        <f t="array" ref="U46">INDEX(tblPrices[cv_2026], MATCH(tblCloudAOUnits[[#This Row],[Products]],tblPrices[Products],0), 0)* tblCloudAOUnits[[#This Row],[cv_2026]]/10^6</f>
        <v>0</v>
      </c>
      <c r="V46" s="62" cm="1">
        <f t="array" ref="V46">INDEX(tblPrices[cv_2027], MATCH(tblCloudAOUnits[[#This Row],[Products]],tblPrices[Products],0), 0)* tblCloudAOUnits[[#This Row],[cv_2027]]/10^6</f>
        <v>0</v>
      </c>
      <c r="W46" s="62" cm="1">
        <f t="array" ref="W46">INDEX(tblPrices[cv_2028], MATCH(tblCloudAOUnits[[#This Row],[Products]],tblPrices[Products],0), 0)* tblCloudAOUnits[[#This Row],[cv_2028]]/10^6</f>
        <v>0</v>
      </c>
      <c r="X46" s="1">
        <f>VLOOKUP(A46,Products!$A$29:$F$110,6,FALSE)</f>
        <v>40</v>
      </c>
    </row>
    <row r="47" spans="1:123" s="1" customFormat="1" ht="13.15">
      <c r="A47" s="9" t="s">
        <v>168</v>
      </c>
      <c r="B47" s="8">
        <v>402166.4</v>
      </c>
      <c r="C47" s="8">
        <v>436920</v>
      </c>
      <c r="D47" s="8"/>
      <c r="E47" s="8"/>
      <c r="F47" s="8"/>
      <c r="G47" s="8"/>
      <c r="H47" s="8"/>
      <c r="I47" s="8"/>
      <c r="J47" s="8"/>
      <c r="K47" s="8"/>
      <c r="L47" s="8"/>
      <c r="M47" s="62" cm="1">
        <f t="array" ref="M47">INDEX(tblPrices[cv_2018], MATCH(tblCloudAOUnits[[#This Row],[Products]],tblPrices[Products],0), 0)* tblCloudAOUnits[[#This Row],[cv_2018]]/10^6</f>
        <v>101.24572000000001</v>
      </c>
      <c r="N47" s="62" cm="1">
        <f t="array" ref="N47">INDEX(tblPrices[cv_2019], MATCH(tblCloudAOUnits[[#This Row],[Products]],tblPrices[Products],0), 0)* tblCloudAOUnits[[#This Row],[cv_2019]]/10^6</f>
        <v>100.09811415999998</v>
      </c>
      <c r="O47" s="62" cm="1">
        <f t="array" ref="O47">INDEX(tblPrices[cv_2020], MATCH(tblCloudAOUnits[[#This Row],[Products]],tblPrices[Products],0), 0)* tblCloudAOUnits[[#This Row],[cv_2020]]/10^6</f>
        <v>0</v>
      </c>
      <c r="P47" s="62" cm="1">
        <f t="array" ref="P47">INDEX(tblPrices[cv_2021], MATCH(tblCloudAOUnits[[#This Row],[Products]],tblPrices[Products],0), 0)* tblCloudAOUnits[[#This Row],[cv_2021]]/10^6</f>
        <v>0</v>
      </c>
      <c r="Q47" s="62" cm="1">
        <f t="array" ref="Q47">INDEX(tblPrices[cv_2022], MATCH(tblCloudAOUnits[[#This Row],[Products]],tblPrices[Products],0), 0)* tblCloudAOUnits[[#This Row],[cv_2022]]/10^6</f>
        <v>0</v>
      </c>
      <c r="R47" s="62" cm="1">
        <f t="array" ref="R47">INDEX(tblPrices[cv_2023], MATCH(tblCloudAOUnits[[#This Row],[Products]],tblPrices[Products],0), 0)* tblCloudAOUnits[[#This Row],[cv_2023]]/10^6</f>
        <v>0</v>
      </c>
      <c r="S47" s="62" cm="1">
        <f t="array" ref="S47">INDEX(tblPrices[cv_2024], MATCH(tblCloudAOUnits[[#This Row],[Products]],tblPrices[Products],0), 0)* tblCloudAOUnits[[#This Row],[cv_2024]]/10^6</f>
        <v>0</v>
      </c>
      <c r="T47" s="62" cm="1">
        <f t="array" ref="T47">INDEX(tblPrices[cv_2025], MATCH(tblCloudAOUnits[[#This Row],[Products]],tblPrices[Products],0), 0)* tblCloudAOUnits[[#This Row],[cv_2025]]/10^6</f>
        <v>0</v>
      </c>
      <c r="U47" s="62" cm="1">
        <f t="array" ref="U47">INDEX(tblPrices[cv_2026], MATCH(tblCloudAOUnits[[#This Row],[Products]],tblPrices[Products],0), 0)* tblCloudAOUnits[[#This Row],[cv_2026]]/10^6</f>
        <v>0</v>
      </c>
      <c r="V47" s="62" cm="1">
        <f t="array" ref="V47">INDEX(tblPrices[cv_2027], MATCH(tblCloudAOUnits[[#This Row],[Products]],tblPrices[Products],0), 0)* tblCloudAOUnits[[#This Row],[cv_2027]]/10^6</f>
        <v>0</v>
      </c>
      <c r="W47" s="62" cm="1">
        <f t="array" ref="W47">INDEX(tblPrices[cv_2028], MATCH(tblCloudAOUnits[[#This Row],[Products]],tblPrices[Products],0), 0)* tblCloudAOUnits[[#This Row],[cv_2028]]/10^6</f>
        <v>0</v>
      </c>
      <c r="X47" s="1">
        <f>VLOOKUP(A47,Products!$A$29:$F$110,6,FALSE)</f>
        <v>40</v>
      </c>
    </row>
    <row r="48" spans="1:123" s="1" customFormat="1" ht="13.15">
      <c r="A48" s="9" t="s">
        <v>2</v>
      </c>
      <c r="B48" s="8">
        <v>90570.757199999978</v>
      </c>
      <c r="C48" s="8">
        <v>227866.37049999999</v>
      </c>
      <c r="D48" s="8"/>
      <c r="E48" s="8"/>
      <c r="F48" s="8"/>
      <c r="G48" s="8"/>
      <c r="H48" s="8"/>
      <c r="I48" s="8"/>
      <c r="J48" s="8"/>
      <c r="K48" s="8"/>
      <c r="L48" s="8"/>
      <c r="M48" s="62" cm="1">
        <f t="array" ref="M48">INDEX(tblPrices[cv_2018], MATCH(tblCloudAOUnits[[#This Row],[Products]],tblPrices[Products],0), 0)* tblCloudAOUnits[[#This Row],[cv_2018]]/10^6</f>
        <v>27.505086982631994</v>
      </c>
      <c r="N48" s="62" cm="1">
        <f t="array" ref="N48">INDEX(tblPrices[cv_2019], MATCH(tblCloudAOUnits[[#This Row],[Products]],tblPrices[Products],0), 0)* tblCloudAOUnits[[#This Row],[cv_2019]]/10^6</f>
        <v>57.748510786337967</v>
      </c>
      <c r="O48" s="62" cm="1">
        <f t="array" ref="O48">INDEX(tblPrices[cv_2020], MATCH(tblCloudAOUnits[[#This Row],[Products]],tblPrices[Products],0), 0)* tblCloudAOUnits[[#This Row],[cv_2020]]/10^6</f>
        <v>0</v>
      </c>
      <c r="P48" s="62" cm="1">
        <f t="array" ref="P48">INDEX(tblPrices[cv_2021], MATCH(tblCloudAOUnits[[#This Row],[Products]],tblPrices[Products],0), 0)* tblCloudAOUnits[[#This Row],[cv_2021]]/10^6</f>
        <v>0</v>
      </c>
      <c r="Q48" s="62" cm="1">
        <f t="array" ref="Q48">INDEX(tblPrices[cv_2022], MATCH(tblCloudAOUnits[[#This Row],[Products]],tblPrices[Products],0), 0)* tblCloudAOUnits[[#This Row],[cv_2022]]/10^6</f>
        <v>0</v>
      </c>
      <c r="R48" s="62" cm="1">
        <f t="array" ref="R48">INDEX(tblPrices[cv_2023], MATCH(tblCloudAOUnits[[#This Row],[Products]],tblPrices[Products],0), 0)* tblCloudAOUnits[[#This Row],[cv_2023]]/10^6</f>
        <v>0</v>
      </c>
      <c r="S48" s="62" cm="1">
        <f t="array" ref="S48">INDEX(tblPrices[cv_2024], MATCH(tblCloudAOUnits[[#This Row],[Products]],tblPrices[Products],0), 0)* tblCloudAOUnits[[#This Row],[cv_2024]]/10^6</f>
        <v>0</v>
      </c>
      <c r="T48" s="62" cm="1">
        <f t="array" ref="T48">INDEX(tblPrices[cv_2025], MATCH(tblCloudAOUnits[[#This Row],[Products]],tblPrices[Products],0), 0)* tblCloudAOUnits[[#This Row],[cv_2025]]/10^6</f>
        <v>0</v>
      </c>
      <c r="U48" s="62" cm="1">
        <f t="array" ref="U48">INDEX(tblPrices[cv_2026], MATCH(tblCloudAOUnits[[#This Row],[Products]],tblPrices[Products],0), 0)* tblCloudAOUnits[[#This Row],[cv_2026]]/10^6</f>
        <v>0</v>
      </c>
      <c r="V48" s="62" cm="1">
        <f t="array" ref="V48">INDEX(tblPrices[cv_2027], MATCH(tblCloudAOUnits[[#This Row],[Products]],tblPrices[Products],0), 0)* tblCloudAOUnits[[#This Row],[cv_2027]]/10^6</f>
        <v>0</v>
      </c>
      <c r="W48" s="62" cm="1">
        <f t="array" ref="W48">INDEX(tblPrices[cv_2028], MATCH(tblCloudAOUnits[[#This Row],[Products]],tblPrices[Products],0), 0)* tblCloudAOUnits[[#This Row],[cv_2028]]/10^6</f>
        <v>0</v>
      </c>
      <c r="X48" s="1">
        <f>VLOOKUP(A48,Products!$A$29:$F$110,6,FALSE)</f>
        <v>40</v>
      </c>
    </row>
    <row r="49" spans="1:24" s="1" customFormat="1" ht="13.15">
      <c r="A49" s="9" t="s">
        <v>171</v>
      </c>
      <c r="B49" s="8">
        <v>215469.6</v>
      </c>
      <c r="C49" s="8">
        <v>276052.8</v>
      </c>
      <c r="D49" s="8"/>
      <c r="E49" s="8"/>
      <c r="F49" s="8"/>
      <c r="G49" s="8"/>
      <c r="H49" s="8"/>
      <c r="I49" s="8"/>
      <c r="J49" s="8"/>
      <c r="K49" s="8"/>
      <c r="L49" s="8"/>
      <c r="M49" s="62" cm="1">
        <f t="array" ref="M49">INDEX(tblPrices[cv_2018], MATCH(tblCloudAOUnits[[#This Row],[Products]],tblPrices[Products],0), 0)* tblCloudAOUnits[[#This Row],[cv_2018]]/10^6</f>
        <v>77.950643583999977</v>
      </c>
      <c r="N49" s="62" cm="1">
        <f t="array" ref="N49">INDEX(tblPrices[cv_2019], MATCH(tblCloudAOUnits[[#This Row],[Products]],tblPrices[Products],0), 0)* tblCloudAOUnits[[#This Row],[cv_2019]]/10^6</f>
        <v>68.545686628240716</v>
      </c>
      <c r="O49" s="62" cm="1">
        <f t="array" ref="O49">INDEX(tblPrices[cv_2020], MATCH(tblCloudAOUnits[[#This Row],[Products]],tblPrices[Products],0), 0)* tblCloudAOUnits[[#This Row],[cv_2020]]/10^6</f>
        <v>0</v>
      </c>
      <c r="P49" s="62" cm="1">
        <f t="array" ref="P49">INDEX(tblPrices[cv_2021], MATCH(tblCloudAOUnits[[#This Row],[Products]],tblPrices[Products],0), 0)* tblCloudAOUnits[[#This Row],[cv_2021]]/10^6</f>
        <v>0</v>
      </c>
      <c r="Q49" s="62" cm="1">
        <f t="array" ref="Q49">INDEX(tblPrices[cv_2022], MATCH(tblCloudAOUnits[[#This Row],[Products]],tblPrices[Products],0), 0)* tblCloudAOUnits[[#This Row],[cv_2022]]/10^6</f>
        <v>0</v>
      </c>
      <c r="R49" s="62" cm="1">
        <f t="array" ref="R49">INDEX(tblPrices[cv_2023], MATCH(tblCloudAOUnits[[#This Row],[Products]],tblPrices[Products],0), 0)* tblCloudAOUnits[[#This Row],[cv_2023]]/10^6</f>
        <v>0</v>
      </c>
      <c r="S49" s="62" cm="1">
        <f t="array" ref="S49">INDEX(tblPrices[cv_2024], MATCH(tblCloudAOUnits[[#This Row],[Products]],tblPrices[Products],0), 0)* tblCloudAOUnits[[#This Row],[cv_2024]]/10^6</f>
        <v>0</v>
      </c>
      <c r="T49" s="62" cm="1">
        <f t="array" ref="T49">INDEX(tblPrices[cv_2025], MATCH(tblCloudAOUnits[[#This Row],[Products]],tblPrices[Products],0), 0)* tblCloudAOUnits[[#This Row],[cv_2025]]/10^6</f>
        <v>0</v>
      </c>
      <c r="U49" s="62" cm="1">
        <f t="array" ref="U49">INDEX(tblPrices[cv_2026], MATCH(tblCloudAOUnits[[#This Row],[Products]],tblPrices[Products],0), 0)* tblCloudAOUnits[[#This Row],[cv_2026]]/10^6</f>
        <v>0</v>
      </c>
      <c r="V49" s="62" cm="1">
        <f t="array" ref="V49">INDEX(tblPrices[cv_2027], MATCH(tblCloudAOUnits[[#This Row],[Products]],tblPrices[Products],0), 0)* tblCloudAOUnits[[#This Row],[cv_2027]]/10^6</f>
        <v>0</v>
      </c>
      <c r="W49" s="62" cm="1">
        <f t="array" ref="W49">INDEX(tblPrices[cv_2028], MATCH(tblCloudAOUnits[[#This Row],[Products]],tblPrices[Products],0), 0)* tblCloudAOUnits[[#This Row],[cv_2028]]/10^6</f>
        <v>0</v>
      </c>
      <c r="X49" s="1">
        <f>VLOOKUP(A49,Products!$A$29:$F$110,6,FALSE)</f>
        <v>40</v>
      </c>
    </row>
    <row r="50" spans="1:24" s="1" customFormat="1" ht="13.15">
      <c r="A50" s="9" t="s">
        <v>172</v>
      </c>
      <c r="B50" s="8">
        <v>2056</v>
      </c>
      <c r="C50" s="8">
        <v>1118.75</v>
      </c>
      <c r="D50" s="8"/>
      <c r="E50" s="8"/>
      <c r="F50" s="8"/>
      <c r="G50" s="8"/>
      <c r="H50" s="8"/>
      <c r="I50" s="8"/>
      <c r="J50" s="8"/>
      <c r="K50" s="8"/>
      <c r="L50" s="8"/>
      <c r="M50" s="203" cm="1">
        <f t="array" ref="M50">INDEX(tblPrices[cv_2018], MATCH(tblCloudAOUnits[[#This Row],[Products]],tblPrices[Products],0), 0)* tblCloudAOUnits[[#This Row],[cv_2018]]/10^6</f>
        <v>2.5803844999999987</v>
      </c>
      <c r="N50" s="62" cm="1">
        <f t="array" ref="N50">INDEX(tblPrices[cv_2019], MATCH(tblCloudAOUnits[[#This Row],[Products]],tblPrices[Products],0), 0)* tblCloudAOUnits[[#This Row],[cv_2019]]/10^6</f>
        <v>1.000493250000001</v>
      </c>
      <c r="O50" s="62" cm="1">
        <f t="array" ref="O50">INDEX(tblPrices[cv_2020], MATCH(tblCloudAOUnits[[#This Row],[Products]],tblPrices[Products],0), 0)* tblCloudAOUnits[[#This Row],[cv_2020]]/10^6</f>
        <v>0</v>
      </c>
      <c r="P50" s="62" cm="1">
        <f t="array" ref="P50">INDEX(tblPrices[cv_2021], MATCH(tblCloudAOUnits[[#This Row],[Products]],tblPrices[Products],0), 0)* tblCloudAOUnits[[#This Row],[cv_2021]]/10^6</f>
        <v>0</v>
      </c>
      <c r="Q50" s="62" cm="1">
        <f t="array" ref="Q50">INDEX(tblPrices[cv_2022], MATCH(tblCloudAOUnits[[#This Row],[Products]],tblPrices[Products],0), 0)* tblCloudAOUnits[[#This Row],[cv_2022]]/10^6</f>
        <v>0</v>
      </c>
      <c r="R50" s="62" cm="1">
        <f t="array" ref="R50">INDEX(tblPrices[cv_2023], MATCH(tblCloudAOUnits[[#This Row],[Products]],tblPrices[Products],0), 0)* tblCloudAOUnits[[#This Row],[cv_2023]]/10^6</f>
        <v>0</v>
      </c>
      <c r="S50" s="62" cm="1">
        <f t="array" ref="S50">INDEX(tblPrices[cv_2024], MATCH(tblCloudAOUnits[[#This Row],[Products]],tblPrices[Products],0), 0)* tblCloudAOUnits[[#This Row],[cv_2024]]/10^6</f>
        <v>0</v>
      </c>
      <c r="T50" s="62" cm="1">
        <f t="array" ref="T50">INDEX(tblPrices[cv_2025], MATCH(tblCloudAOUnits[[#This Row],[Products]],tblPrices[Products],0), 0)* tblCloudAOUnits[[#This Row],[cv_2025]]/10^6</f>
        <v>0</v>
      </c>
      <c r="U50" s="62" cm="1">
        <f t="array" ref="U50">INDEX(tblPrices[cv_2026], MATCH(tblCloudAOUnits[[#This Row],[Products]],tblPrices[Products],0), 0)* tblCloudAOUnits[[#This Row],[cv_2026]]/10^6</f>
        <v>0</v>
      </c>
      <c r="V50" s="62" cm="1">
        <f t="array" ref="V50">INDEX(tblPrices[cv_2027], MATCH(tblCloudAOUnits[[#This Row],[Products]],tblPrices[Products],0), 0)* tblCloudAOUnits[[#This Row],[cv_2027]]/10^6</f>
        <v>0</v>
      </c>
      <c r="W50" s="62" cm="1">
        <f t="array" ref="W50">INDEX(tblPrices[cv_2028], MATCH(tblCloudAOUnits[[#This Row],[Products]],tblPrices[Products],0), 0)* tblCloudAOUnits[[#This Row],[cv_2028]]/10^6</f>
        <v>0</v>
      </c>
      <c r="X50" s="1">
        <f>VLOOKUP(A50,Products!$A$29:$F$110,6,FALSE)</f>
        <v>40</v>
      </c>
    </row>
    <row r="51" spans="1:24" s="1" customFormat="1" ht="13.15">
      <c r="A51" s="9" t="s">
        <v>3</v>
      </c>
      <c r="B51" s="8">
        <v>407442.44879000005</v>
      </c>
      <c r="C51" s="8">
        <v>173355.77720000001</v>
      </c>
      <c r="D51" s="8"/>
      <c r="E51" s="8"/>
      <c r="F51" s="8"/>
      <c r="G51" s="8"/>
      <c r="H51" s="8"/>
      <c r="I51" s="8"/>
      <c r="J51" s="8"/>
      <c r="K51" s="8"/>
      <c r="L51" s="8"/>
      <c r="M51" s="62" cm="1">
        <f t="array" ref="M51">INDEX(tblPrices[cv_2018], MATCH(tblCloudAOUnits[[#This Row],[Products]],tblPrices[Products],0), 0)* tblCloudAOUnits[[#This Row],[cv_2018]]/10^6</f>
        <v>46.263798394549077</v>
      </c>
      <c r="N51" s="62" cm="1">
        <f t="array" ref="N51">INDEX(tblPrices[cv_2019], MATCH(tblCloudAOUnits[[#This Row],[Products]],tblPrices[Products],0), 0)* tblCloudAOUnits[[#This Row],[cv_2019]]/10^6</f>
        <v>14.733615195219709</v>
      </c>
      <c r="O51" s="62" cm="1">
        <f t="array" ref="O51">INDEX(tblPrices[cv_2020], MATCH(tblCloudAOUnits[[#This Row],[Products]],tblPrices[Products],0), 0)* tblCloudAOUnits[[#This Row],[cv_2020]]/10^6</f>
        <v>0</v>
      </c>
      <c r="P51" s="62" cm="1">
        <f t="array" ref="P51">INDEX(tblPrices[cv_2021], MATCH(tblCloudAOUnits[[#This Row],[Products]],tblPrices[Products],0), 0)* tblCloudAOUnits[[#This Row],[cv_2021]]/10^6</f>
        <v>0</v>
      </c>
      <c r="Q51" s="62" cm="1">
        <f t="array" ref="Q51">INDEX(tblPrices[cv_2022], MATCH(tblCloudAOUnits[[#This Row],[Products]],tblPrices[Products],0), 0)* tblCloudAOUnits[[#This Row],[cv_2022]]/10^6</f>
        <v>0</v>
      </c>
      <c r="R51" s="62" cm="1">
        <f t="array" ref="R51">INDEX(tblPrices[cv_2023], MATCH(tblCloudAOUnits[[#This Row],[Products]],tblPrices[Products],0), 0)* tblCloudAOUnits[[#This Row],[cv_2023]]/10^6</f>
        <v>0</v>
      </c>
      <c r="S51" s="62" cm="1">
        <f t="array" ref="S51">INDEX(tblPrices[cv_2024], MATCH(tblCloudAOUnits[[#This Row],[Products]],tblPrices[Products],0), 0)* tblCloudAOUnits[[#This Row],[cv_2024]]/10^6</f>
        <v>0</v>
      </c>
      <c r="T51" s="62" cm="1">
        <f t="array" ref="T51">INDEX(tblPrices[cv_2025], MATCH(tblCloudAOUnits[[#This Row],[Products]],tblPrices[Products],0), 0)* tblCloudAOUnits[[#This Row],[cv_2025]]/10^6</f>
        <v>0</v>
      </c>
      <c r="U51" s="62" cm="1">
        <f t="array" ref="U51">INDEX(tblPrices[cv_2026], MATCH(tblCloudAOUnits[[#This Row],[Products]],tblPrices[Products],0), 0)* tblCloudAOUnits[[#This Row],[cv_2026]]/10^6</f>
        <v>0</v>
      </c>
      <c r="V51" s="62" cm="1">
        <f t="array" ref="V51">INDEX(tblPrices[cv_2027], MATCH(tblCloudAOUnits[[#This Row],[Products]],tblPrices[Products],0), 0)* tblCloudAOUnits[[#This Row],[cv_2027]]/10^6</f>
        <v>0</v>
      </c>
      <c r="W51" s="62" cm="1">
        <f t="array" ref="W51">INDEX(tblPrices[cv_2028], MATCH(tblCloudAOUnits[[#This Row],[Products]],tblPrices[Products],0), 0)* tblCloudAOUnits[[#This Row],[cv_2028]]/10^6</f>
        <v>0</v>
      </c>
      <c r="X51" s="1">
        <f>VLOOKUP(A51,Products!$A$29:$F$110,6,FALSE)</f>
        <v>100</v>
      </c>
    </row>
    <row r="52" spans="1:24" s="1" customFormat="1" ht="13.15">
      <c r="A52" s="9" t="s">
        <v>180</v>
      </c>
      <c r="B52" s="8">
        <v>0</v>
      </c>
      <c r="C52" s="8">
        <v>5000</v>
      </c>
      <c r="D52" s="8"/>
      <c r="E52" s="8"/>
      <c r="F52" s="8"/>
      <c r="G52" s="8"/>
      <c r="H52" s="8"/>
      <c r="I52" s="8"/>
      <c r="J52" s="8"/>
      <c r="K52" s="8"/>
      <c r="L52" s="8"/>
      <c r="M52" s="62" cm="1">
        <f t="array" ref="M52">INDEX(tblPrices[cv_2018], MATCH(tblCloudAOUnits[[#This Row],[Products]],tblPrices[Products],0), 0)* tblCloudAOUnits[[#This Row],[cv_2018]]/10^6</f>
        <v>0</v>
      </c>
      <c r="N52" s="62" cm="1">
        <f t="array" ref="N52">INDEX(tblPrices[cv_2019], MATCH(tblCloudAOUnits[[#This Row],[Products]],tblPrices[Products],0), 0)* tblCloudAOUnits[[#This Row],[cv_2019]]/10^6</f>
        <v>1.2</v>
      </c>
      <c r="O52" s="62" cm="1">
        <f t="array" ref="O52">INDEX(tblPrices[cv_2020], MATCH(tblCloudAOUnits[[#This Row],[Products]],tblPrices[Products],0), 0)* tblCloudAOUnits[[#This Row],[cv_2020]]/10^6</f>
        <v>0</v>
      </c>
      <c r="P52" s="62" cm="1">
        <f t="array" ref="P52">INDEX(tblPrices[cv_2021], MATCH(tblCloudAOUnits[[#This Row],[Products]],tblPrices[Products],0), 0)* tblCloudAOUnits[[#This Row],[cv_2021]]/10^6</f>
        <v>0</v>
      </c>
      <c r="Q52" s="62" cm="1">
        <f t="array" ref="Q52">INDEX(tblPrices[cv_2022], MATCH(tblCloudAOUnits[[#This Row],[Products]],tblPrices[Products],0), 0)* tblCloudAOUnits[[#This Row],[cv_2022]]/10^6</f>
        <v>0</v>
      </c>
      <c r="R52" s="62" cm="1">
        <f t="array" ref="R52">INDEX(tblPrices[cv_2023], MATCH(tblCloudAOUnits[[#This Row],[Products]],tblPrices[Products],0), 0)* tblCloudAOUnits[[#This Row],[cv_2023]]/10^6</f>
        <v>0</v>
      </c>
      <c r="S52" s="62" cm="1">
        <f t="array" ref="S52">INDEX(tblPrices[cv_2024], MATCH(tblCloudAOUnits[[#This Row],[Products]],tblPrices[Products],0), 0)* tblCloudAOUnits[[#This Row],[cv_2024]]/10^6</f>
        <v>0</v>
      </c>
      <c r="T52" s="62" cm="1">
        <f t="array" ref="T52">INDEX(tblPrices[cv_2025], MATCH(tblCloudAOUnits[[#This Row],[Products]],tblPrices[Products],0), 0)* tblCloudAOUnits[[#This Row],[cv_2025]]/10^6</f>
        <v>0</v>
      </c>
      <c r="U52" s="62" cm="1">
        <f t="array" ref="U52">INDEX(tblPrices[cv_2026], MATCH(tblCloudAOUnits[[#This Row],[Products]],tblPrices[Products],0), 0)* tblCloudAOUnits[[#This Row],[cv_2026]]/10^6</f>
        <v>0</v>
      </c>
      <c r="V52" s="62" cm="1">
        <f t="array" ref="V52">INDEX(tblPrices[cv_2027], MATCH(tblCloudAOUnits[[#This Row],[Products]],tblPrices[Products],0), 0)* tblCloudAOUnits[[#This Row],[cv_2027]]/10^6</f>
        <v>0</v>
      </c>
      <c r="W52" s="62" cm="1">
        <f t="array" ref="W52">INDEX(tblPrices[cv_2028], MATCH(tblCloudAOUnits[[#This Row],[Products]],tblPrices[Products],0), 0)* tblCloudAOUnits[[#This Row],[cv_2028]]/10^6</f>
        <v>0</v>
      </c>
      <c r="X52" s="1">
        <f>VLOOKUP(A52,Products!$A$29:$F$110,6,FALSE)</f>
        <v>100</v>
      </c>
    </row>
    <row r="53" spans="1:24" s="1" customFormat="1" ht="13.15">
      <c r="A53" s="9" t="s">
        <v>4</v>
      </c>
      <c r="B53" s="8">
        <v>3191.31</v>
      </c>
      <c r="C53" s="8">
        <v>3828.8639999999987</v>
      </c>
      <c r="D53" s="8"/>
      <c r="E53" s="8"/>
      <c r="F53" s="8"/>
      <c r="G53" s="8"/>
      <c r="H53" s="8"/>
      <c r="I53" s="8"/>
      <c r="J53" s="8"/>
      <c r="K53" s="8"/>
      <c r="L53" s="8"/>
      <c r="M53" s="203" cm="1">
        <f t="array" ref="M53">INDEX(tblPrices[cv_2018], MATCH(tblCloudAOUnits[[#This Row],[Products]],tblPrices[Products],0), 0)* tblCloudAOUnits[[#This Row],[cv_2018]]/10^6</f>
        <v>0.54252269999999991</v>
      </c>
      <c r="N53" s="62" cm="1">
        <f t="array" ref="N53">INDEX(tblPrices[cv_2019], MATCH(tblCloudAOUnits[[#This Row],[Products]],tblPrices[Products],0), 0)* tblCloudAOUnits[[#This Row],[cv_2019]]/10^6</f>
        <v>0.47860799999999981</v>
      </c>
      <c r="O53" s="62" cm="1">
        <f t="array" ref="O53">INDEX(tblPrices[cv_2020], MATCH(tblCloudAOUnits[[#This Row],[Products]],tblPrices[Products],0), 0)* tblCloudAOUnits[[#This Row],[cv_2020]]/10^6</f>
        <v>0</v>
      </c>
      <c r="P53" s="62" cm="1">
        <f t="array" ref="P53">INDEX(tblPrices[cv_2021], MATCH(tblCloudAOUnits[[#This Row],[Products]],tblPrices[Products],0), 0)* tblCloudAOUnits[[#This Row],[cv_2021]]/10^6</f>
        <v>0</v>
      </c>
      <c r="Q53" s="62" cm="1">
        <f t="array" ref="Q53">INDEX(tblPrices[cv_2022], MATCH(tblCloudAOUnits[[#This Row],[Products]],tblPrices[Products],0), 0)* tblCloudAOUnits[[#This Row],[cv_2022]]/10^6</f>
        <v>0</v>
      </c>
      <c r="R53" s="62" cm="1">
        <f t="array" ref="R53">INDEX(tblPrices[cv_2023], MATCH(tblCloudAOUnits[[#This Row],[Products]],tblPrices[Products],0), 0)* tblCloudAOUnits[[#This Row],[cv_2023]]/10^6</f>
        <v>0</v>
      </c>
      <c r="S53" s="62" cm="1">
        <f t="array" ref="S53">INDEX(tblPrices[cv_2024], MATCH(tblCloudAOUnits[[#This Row],[Products]],tblPrices[Products],0), 0)* tblCloudAOUnits[[#This Row],[cv_2024]]/10^6</f>
        <v>0</v>
      </c>
      <c r="T53" s="62" cm="1">
        <f t="array" ref="T53">INDEX(tblPrices[cv_2025], MATCH(tblCloudAOUnits[[#This Row],[Products]],tblPrices[Products],0), 0)* tblCloudAOUnits[[#This Row],[cv_2025]]/10^6</f>
        <v>0</v>
      </c>
      <c r="U53" s="62" cm="1">
        <f t="array" ref="U53">INDEX(tblPrices[cv_2026], MATCH(tblCloudAOUnits[[#This Row],[Products]],tblPrices[Products],0), 0)* tblCloudAOUnits[[#This Row],[cv_2026]]/10^6</f>
        <v>0</v>
      </c>
      <c r="V53" s="62" cm="1">
        <f t="array" ref="V53">INDEX(tblPrices[cv_2027], MATCH(tblCloudAOUnits[[#This Row],[Products]],tblPrices[Products],0), 0)* tblCloudAOUnits[[#This Row],[cv_2027]]/10^6</f>
        <v>0</v>
      </c>
      <c r="W53" s="62" cm="1">
        <f t="array" ref="W53">INDEX(tblPrices[cv_2028], MATCH(tblCloudAOUnits[[#This Row],[Products]],tblPrices[Products],0), 0)* tblCloudAOUnits[[#This Row],[cv_2028]]/10^6</f>
        <v>0</v>
      </c>
      <c r="X53" s="1">
        <f>VLOOKUP(A53,Products!$A$29:$F$110,6,FALSE)</f>
        <v>100</v>
      </c>
    </row>
    <row r="54" spans="1:24" s="1" customFormat="1" ht="13.15">
      <c r="A54" s="9" t="s">
        <v>43</v>
      </c>
      <c r="B54" s="8">
        <v>25715.550000000047</v>
      </c>
      <c r="C54" s="8">
        <v>66344.000000000146</v>
      </c>
      <c r="D54" s="8"/>
      <c r="E54" s="8"/>
      <c r="F54" s="8"/>
      <c r="G54" s="8"/>
      <c r="H54" s="8"/>
      <c r="I54" s="8"/>
      <c r="J54" s="8"/>
      <c r="K54" s="8"/>
      <c r="L54" s="8"/>
      <c r="M54" s="62" cm="1">
        <f t="array" ref="M54">INDEX(tblPrices[cv_2018], MATCH(tblCloudAOUnits[[#This Row],[Products]],tblPrices[Products],0), 0)* tblCloudAOUnits[[#This Row],[cv_2018]]/10^6</f>
        <v>4.8350464000000075</v>
      </c>
      <c r="N54" s="62" cm="1">
        <f t="array" ref="N54">INDEX(tblPrices[cv_2019], MATCH(tblCloudAOUnits[[#This Row],[Products]],tblPrices[Products],0), 0)* tblCloudAOUnits[[#This Row],[cv_2019]]/10^6</f>
        <v>10.615389823358843</v>
      </c>
      <c r="O54" s="62" cm="1">
        <f t="array" ref="O54">INDEX(tblPrices[cv_2020], MATCH(tblCloudAOUnits[[#This Row],[Products]],tblPrices[Products],0), 0)* tblCloudAOUnits[[#This Row],[cv_2020]]/10^6</f>
        <v>0</v>
      </c>
      <c r="P54" s="62" cm="1">
        <f t="array" ref="P54">INDEX(tblPrices[cv_2021], MATCH(tblCloudAOUnits[[#This Row],[Products]],tblPrices[Products],0), 0)* tblCloudAOUnits[[#This Row],[cv_2021]]/10^6</f>
        <v>0</v>
      </c>
      <c r="Q54" s="62" cm="1">
        <f t="array" ref="Q54">INDEX(tblPrices[cv_2022], MATCH(tblCloudAOUnits[[#This Row],[Products]],tblPrices[Products],0), 0)* tblCloudAOUnits[[#This Row],[cv_2022]]/10^6</f>
        <v>0</v>
      </c>
      <c r="R54" s="62" cm="1">
        <f t="array" ref="R54">INDEX(tblPrices[cv_2023], MATCH(tblCloudAOUnits[[#This Row],[Products]],tblPrices[Products],0), 0)* tblCloudAOUnits[[#This Row],[cv_2023]]/10^6</f>
        <v>0</v>
      </c>
      <c r="S54" s="62" cm="1">
        <f t="array" ref="S54">INDEX(tblPrices[cv_2024], MATCH(tblCloudAOUnits[[#This Row],[Products]],tblPrices[Products],0), 0)* tblCloudAOUnits[[#This Row],[cv_2024]]/10^6</f>
        <v>0</v>
      </c>
      <c r="T54" s="62" cm="1">
        <f t="array" ref="T54">INDEX(tblPrices[cv_2025], MATCH(tblCloudAOUnits[[#This Row],[Products]],tblPrices[Products],0), 0)* tblCloudAOUnits[[#This Row],[cv_2025]]/10^6</f>
        <v>0</v>
      </c>
      <c r="U54" s="62" cm="1">
        <f t="array" ref="U54">INDEX(tblPrices[cv_2026], MATCH(tblCloudAOUnits[[#This Row],[Products]],tblPrices[Products],0), 0)* tblCloudAOUnits[[#This Row],[cv_2026]]/10^6</f>
        <v>0</v>
      </c>
      <c r="V54" s="62" cm="1">
        <f t="array" ref="V54">INDEX(tblPrices[cv_2027], MATCH(tblCloudAOUnits[[#This Row],[Products]],tblPrices[Products],0), 0)* tblCloudAOUnits[[#This Row],[cv_2027]]/10^6</f>
        <v>0</v>
      </c>
      <c r="W54" s="62" cm="1">
        <f t="array" ref="W54">INDEX(tblPrices[cv_2028], MATCH(tblCloudAOUnits[[#This Row],[Products]],tblPrices[Products],0), 0)* tblCloudAOUnits[[#This Row],[cv_2028]]/10^6</f>
        <v>0</v>
      </c>
      <c r="X54" s="1">
        <f>VLOOKUP(A54,Products!$A$29:$F$110,6,FALSE)</f>
        <v>100</v>
      </c>
    </row>
    <row r="55" spans="1:24" s="1" customFormat="1" ht="13.15">
      <c r="A55" s="9" t="s">
        <v>44</v>
      </c>
      <c r="B55" s="8">
        <v>0</v>
      </c>
      <c r="C55" s="8">
        <v>0</v>
      </c>
      <c r="D55" s="8"/>
      <c r="E55" s="8"/>
      <c r="F55" s="8"/>
      <c r="G55" s="8"/>
      <c r="H55" s="8"/>
      <c r="I55" s="8"/>
      <c r="J55" s="8"/>
      <c r="K55" s="8"/>
      <c r="L55" s="8"/>
      <c r="M55" s="62" cm="1">
        <f t="array" ref="M55">INDEX(tblPrices[cv_2018], MATCH(tblCloudAOUnits[[#This Row],[Products]],tblPrices[Products],0), 0)* tblCloudAOUnits[[#This Row],[cv_2018]]/10^6</f>
        <v>0</v>
      </c>
      <c r="N55" s="62" cm="1">
        <f t="array" ref="N55">INDEX(tblPrices[cv_2019], MATCH(tblCloudAOUnits[[#This Row],[Products]],tblPrices[Products],0), 0)* tblCloudAOUnits[[#This Row],[cv_2019]]/10^6</f>
        <v>0</v>
      </c>
      <c r="O55" s="62" cm="1">
        <f t="array" ref="O55">INDEX(tblPrices[cv_2020], MATCH(tblCloudAOUnits[[#This Row],[Products]],tblPrices[Products],0), 0)* tblCloudAOUnits[[#This Row],[cv_2020]]/10^6</f>
        <v>0</v>
      </c>
      <c r="P55" s="62" cm="1">
        <f t="array" ref="P55">INDEX(tblPrices[cv_2021], MATCH(tblCloudAOUnits[[#This Row],[Products]],tblPrices[Products],0), 0)* tblCloudAOUnits[[#This Row],[cv_2021]]/10^6</f>
        <v>0</v>
      </c>
      <c r="Q55" s="62" cm="1">
        <f t="array" ref="Q55">INDEX(tblPrices[cv_2022], MATCH(tblCloudAOUnits[[#This Row],[Products]],tblPrices[Products],0), 0)* tblCloudAOUnits[[#This Row],[cv_2022]]/10^6</f>
        <v>0</v>
      </c>
      <c r="R55" s="62" cm="1">
        <f t="array" ref="R55">INDEX(tblPrices[cv_2023], MATCH(tblCloudAOUnits[[#This Row],[Products]],tblPrices[Products],0), 0)* tblCloudAOUnits[[#This Row],[cv_2023]]/10^6</f>
        <v>0</v>
      </c>
      <c r="S55" s="62" cm="1">
        <f t="array" ref="S55">INDEX(tblPrices[cv_2024], MATCH(tblCloudAOUnits[[#This Row],[Products]],tblPrices[Products],0), 0)* tblCloudAOUnits[[#This Row],[cv_2024]]/10^6</f>
        <v>0</v>
      </c>
      <c r="T55" s="62" cm="1">
        <f t="array" ref="T55">INDEX(tblPrices[cv_2025], MATCH(tblCloudAOUnits[[#This Row],[Products]],tblPrices[Products],0), 0)* tblCloudAOUnits[[#This Row],[cv_2025]]/10^6</f>
        <v>0</v>
      </c>
      <c r="U55" s="62" cm="1">
        <f t="array" ref="U55">INDEX(tblPrices[cv_2026], MATCH(tblCloudAOUnits[[#This Row],[Products]],tblPrices[Products],0), 0)* tblCloudAOUnits[[#This Row],[cv_2026]]/10^6</f>
        <v>0</v>
      </c>
      <c r="V55" s="62" cm="1">
        <f t="array" ref="V55">INDEX(tblPrices[cv_2027], MATCH(tblCloudAOUnits[[#This Row],[Products]],tblPrices[Products],0), 0)* tblCloudAOUnits[[#This Row],[cv_2027]]/10^6</f>
        <v>0</v>
      </c>
      <c r="W55" s="62" cm="1">
        <f t="array" ref="W55">INDEX(tblPrices[cv_2028], MATCH(tblCloudAOUnits[[#This Row],[Products]],tblPrices[Products],0), 0)* tblCloudAOUnits[[#This Row],[cv_2028]]/10^6</f>
        <v>0</v>
      </c>
      <c r="X55" s="1">
        <f>VLOOKUP(A55,Products!$A$29:$F$110,6,FALSE)</f>
        <v>100</v>
      </c>
    </row>
    <row r="56" spans="1:24" s="1" customFormat="1" ht="13.15">
      <c r="A56" s="9" t="s">
        <v>40</v>
      </c>
      <c r="B56" s="8">
        <v>0</v>
      </c>
      <c r="C56" s="8">
        <v>0</v>
      </c>
      <c r="D56" s="8"/>
      <c r="E56" s="8"/>
      <c r="F56" s="8"/>
      <c r="G56" s="8"/>
      <c r="H56" s="8"/>
      <c r="I56" s="8"/>
      <c r="J56" s="8"/>
      <c r="K56" s="8"/>
      <c r="L56" s="8"/>
      <c r="M56" s="62" cm="1">
        <f t="array" ref="M56">INDEX(tblPrices[cv_2018], MATCH(tblCloudAOUnits[[#This Row],[Products]],tblPrices[Products],0), 0)* tblCloudAOUnits[[#This Row],[cv_2018]]/10^6</f>
        <v>0</v>
      </c>
      <c r="N56" s="62" cm="1">
        <f t="array" ref="N56">INDEX(tblPrices[cv_2019], MATCH(tblCloudAOUnits[[#This Row],[Products]],tblPrices[Products],0), 0)* tblCloudAOUnits[[#This Row],[cv_2019]]/10^6</f>
        <v>0</v>
      </c>
      <c r="O56" s="62" cm="1">
        <f t="array" ref="O56">INDEX(tblPrices[cv_2020], MATCH(tblCloudAOUnits[[#This Row],[Products]],tblPrices[Products],0), 0)* tblCloudAOUnits[[#This Row],[cv_2020]]/10^6</f>
        <v>0</v>
      </c>
      <c r="P56" s="62" cm="1">
        <f t="array" ref="P56">INDEX(tblPrices[cv_2021], MATCH(tblCloudAOUnits[[#This Row],[Products]],tblPrices[Products],0), 0)* tblCloudAOUnits[[#This Row],[cv_2021]]/10^6</f>
        <v>0</v>
      </c>
      <c r="Q56" s="62" cm="1">
        <f t="array" ref="Q56">INDEX(tblPrices[cv_2022], MATCH(tblCloudAOUnits[[#This Row],[Products]],tblPrices[Products],0), 0)* tblCloudAOUnits[[#This Row],[cv_2022]]/10^6</f>
        <v>0</v>
      </c>
      <c r="R56" s="62" cm="1">
        <f t="array" ref="R56">INDEX(tblPrices[cv_2023], MATCH(tblCloudAOUnits[[#This Row],[Products]],tblPrices[Products],0), 0)* tblCloudAOUnits[[#This Row],[cv_2023]]/10^6</f>
        <v>0</v>
      </c>
      <c r="S56" s="62" cm="1">
        <f t="array" ref="S56">INDEX(tblPrices[cv_2024], MATCH(tblCloudAOUnits[[#This Row],[Products]],tblPrices[Products],0), 0)* tblCloudAOUnits[[#This Row],[cv_2024]]/10^6</f>
        <v>0</v>
      </c>
      <c r="T56" s="62" cm="1">
        <f t="array" ref="T56">INDEX(tblPrices[cv_2025], MATCH(tblCloudAOUnits[[#This Row],[Products]],tblPrices[Products],0), 0)* tblCloudAOUnits[[#This Row],[cv_2025]]/10^6</f>
        <v>0</v>
      </c>
      <c r="U56" s="62" cm="1">
        <f t="array" ref="U56">INDEX(tblPrices[cv_2026], MATCH(tblCloudAOUnits[[#This Row],[Products]],tblPrices[Products],0), 0)* tblCloudAOUnits[[#This Row],[cv_2026]]/10^6</f>
        <v>0</v>
      </c>
      <c r="V56" s="62" cm="1">
        <f t="array" ref="V56">INDEX(tblPrices[cv_2027], MATCH(tblCloudAOUnits[[#This Row],[Products]],tblPrices[Products],0), 0)* tblCloudAOUnits[[#This Row],[cv_2027]]/10^6</f>
        <v>0</v>
      </c>
      <c r="W56" s="62" cm="1">
        <f t="array" ref="W56">INDEX(tblPrices[cv_2028], MATCH(tblCloudAOUnits[[#This Row],[Products]],tblPrices[Products],0), 0)* tblCloudAOUnits[[#This Row],[cv_2028]]/10^6</f>
        <v>0</v>
      </c>
      <c r="X56" s="1">
        <f>VLOOKUP(A56,Products!$A$29:$F$110,6,FALSE)</f>
        <v>100</v>
      </c>
    </row>
    <row r="57" spans="1:24" s="1" customFormat="1" ht="13.15">
      <c r="A57" s="9" t="s">
        <v>5</v>
      </c>
      <c r="B57" s="8">
        <v>391826.11463333358</v>
      </c>
      <c r="C57" s="8">
        <v>873242.11150000012</v>
      </c>
      <c r="D57" s="8"/>
      <c r="E57" s="8"/>
      <c r="F57" s="8"/>
      <c r="G57" s="8"/>
      <c r="H57" s="8"/>
      <c r="I57" s="8"/>
      <c r="J57" s="8"/>
      <c r="K57" s="8"/>
      <c r="L57" s="8"/>
      <c r="M57" s="62" cm="1">
        <f t="array" ref="M57">INDEX(tblPrices[cv_2018], MATCH(tblCloudAOUnits[[#This Row],[Products]],tblPrices[Products],0), 0)* tblCloudAOUnits[[#This Row],[cv_2018]]/10^6</f>
        <v>191.99479617033344</v>
      </c>
      <c r="N57" s="62" cm="1">
        <f t="array" ref="N57">INDEX(tblPrices[cv_2019], MATCH(tblCloudAOUnits[[#This Row],[Products]],tblPrices[Products],0), 0)* tblCloudAOUnits[[#This Row],[cv_2019]]/10^6</f>
        <v>209.57810676000003</v>
      </c>
      <c r="O57" s="62" cm="1">
        <f t="array" ref="O57">INDEX(tblPrices[cv_2020], MATCH(tblCloudAOUnits[[#This Row],[Products]],tblPrices[Products],0), 0)* tblCloudAOUnits[[#This Row],[cv_2020]]/10^6</f>
        <v>0</v>
      </c>
      <c r="P57" s="62" cm="1">
        <f t="array" ref="P57">INDEX(tblPrices[cv_2021], MATCH(tblCloudAOUnits[[#This Row],[Products]],tblPrices[Products],0), 0)* tblCloudAOUnits[[#This Row],[cv_2021]]/10^6</f>
        <v>0</v>
      </c>
      <c r="Q57" s="62" cm="1">
        <f t="array" ref="Q57">INDEX(tblPrices[cv_2022], MATCH(tblCloudAOUnits[[#This Row],[Products]],tblPrices[Products],0), 0)* tblCloudAOUnits[[#This Row],[cv_2022]]/10^6</f>
        <v>0</v>
      </c>
      <c r="R57" s="62" cm="1">
        <f t="array" ref="R57">INDEX(tblPrices[cv_2023], MATCH(tblCloudAOUnits[[#This Row],[Products]],tblPrices[Products],0), 0)* tblCloudAOUnits[[#This Row],[cv_2023]]/10^6</f>
        <v>0</v>
      </c>
      <c r="S57" s="62" cm="1">
        <f t="array" ref="S57">INDEX(tblPrices[cv_2024], MATCH(tblCloudAOUnits[[#This Row],[Products]],tblPrices[Products],0), 0)* tblCloudAOUnits[[#This Row],[cv_2024]]/10^6</f>
        <v>0</v>
      </c>
      <c r="T57" s="62" cm="1">
        <f t="array" ref="T57">INDEX(tblPrices[cv_2025], MATCH(tblCloudAOUnits[[#This Row],[Products]],tblPrices[Products],0), 0)* tblCloudAOUnits[[#This Row],[cv_2025]]/10^6</f>
        <v>0</v>
      </c>
      <c r="U57" s="62" cm="1">
        <f t="array" ref="U57">INDEX(tblPrices[cv_2026], MATCH(tblCloudAOUnits[[#This Row],[Products]],tblPrices[Products],0), 0)* tblCloudAOUnits[[#This Row],[cv_2026]]/10^6</f>
        <v>0</v>
      </c>
      <c r="V57" s="62" cm="1">
        <f t="array" ref="V57">INDEX(tblPrices[cv_2027], MATCH(tblCloudAOUnits[[#This Row],[Products]],tblPrices[Products],0), 0)* tblCloudAOUnits[[#This Row],[cv_2027]]/10^6</f>
        <v>0</v>
      </c>
      <c r="W57" s="62" cm="1">
        <f t="array" ref="W57">INDEX(tblPrices[cv_2028], MATCH(tblCloudAOUnits[[#This Row],[Products]],tblPrices[Products],0), 0)* tblCloudAOUnits[[#This Row],[cv_2028]]/10^6</f>
        <v>0</v>
      </c>
      <c r="X57" s="1">
        <f>VLOOKUP(A57,Products!$A$29:$F$110,6,FALSE)</f>
        <v>100</v>
      </c>
    </row>
    <row r="58" spans="1:24" s="1" customFormat="1" ht="13.15">
      <c r="A58" s="9" t="s">
        <v>45</v>
      </c>
      <c r="B58" s="8">
        <v>0</v>
      </c>
      <c r="C58" s="8">
        <v>714.86549999999988</v>
      </c>
      <c r="D58" s="8"/>
      <c r="E58" s="8"/>
      <c r="F58" s="8"/>
      <c r="G58" s="8"/>
      <c r="H58" s="8"/>
      <c r="I58" s="8"/>
      <c r="J58" s="8"/>
      <c r="K58" s="8"/>
      <c r="L58" s="8"/>
      <c r="M58" s="62" cm="1">
        <f t="array" ref="M58">INDEX(tblPrices[cv_2018], MATCH(tblCloudAOUnits[[#This Row],[Products]],tblPrices[Products],0), 0)* tblCloudAOUnits[[#This Row],[cv_2018]]/10^6</f>
        <v>0</v>
      </c>
      <c r="N58" s="62" cm="1">
        <f t="array" ref="N58">INDEX(tblPrices[cv_2019], MATCH(tblCloudAOUnits[[#This Row],[Products]],tblPrices[Products],0), 0)* tblCloudAOUnits[[#This Row],[cv_2019]]/10^6</f>
        <v>0.14726229299999999</v>
      </c>
      <c r="O58" s="62" cm="1">
        <f t="array" ref="O58">INDEX(tblPrices[cv_2020], MATCH(tblCloudAOUnits[[#This Row],[Products]],tblPrices[Products],0), 0)* tblCloudAOUnits[[#This Row],[cv_2020]]/10^6</f>
        <v>0</v>
      </c>
      <c r="P58" s="62" cm="1">
        <f t="array" ref="P58">INDEX(tblPrices[cv_2021], MATCH(tblCloudAOUnits[[#This Row],[Products]],tblPrices[Products],0), 0)* tblCloudAOUnits[[#This Row],[cv_2021]]/10^6</f>
        <v>0</v>
      </c>
      <c r="Q58" s="62" cm="1">
        <f t="array" ref="Q58">INDEX(tblPrices[cv_2022], MATCH(tblCloudAOUnits[[#This Row],[Products]],tblPrices[Products],0), 0)* tblCloudAOUnits[[#This Row],[cv_2022]]/10^6</f>
        <v>0</v>
      </c>
      <c r="R58" s="62" cm="1">
        <f t="array" ref="R58">INDEX(tblPrices[cv_2023], MATCH(tblCloudAOUnits[[#This Row],[Products]],tblPrices[Products],0), 0)* tblCloudAOUnits[[#This Row],[cv_2023]]/10^6</f>
        <v>0</v>
      </c>
      <c r="S58" s="62" cm="1">
        <f t="array" ref="S58">INDEX(tblPrices[cv_2024], MATCH(tblCloudAOUnits[[#This Row],[Products]],tblPrices[Products],0), 0)* tblCloudAOUnits[[#This Row],[cv_2024]]/10^6</f>
        <v>0</v>
      </c>
      <c r="T58" s="62" cm="1">
        <f t="array" ref="T58">INDEX(tblPrices[cv_2025], MATCH(tblCloudAOUnits[[#This Row],[Products]],tblPrices[Products],0), 0)* tblCloudAOUnits[[#This Row],[cv_2025]]/10^6</f>
        <v>0</v>
      </c>
      <c r="U58" s="62" cm="1">
        <f t="array" ref="U58">INDEX(tblPrices[cv_2026], MATCH(tblCloudAOUnits[[#This Row],[Products]],tblPrices[Products],0), 0)* tblCloudAOUnits[[#This Row],[cv_2026]]/10^6</f>
        <v>0</v>
      </c>
      <c r="V58" s="62" cm="1">
        <f t="array" ref="V58">INDEX(tblPrices[cv_2027], MATCH(tblCloudAOUnits[[#This Row],[Products]],tblPrices[Products],0), 0)* tblCloudAOUnits[[#This Row],[cv_2027]]/10^6</f>
        <v>0</v>
      </c>
      <c r="W58" s="62" cm="1">
        <f t="array" ref="W58">INDEX(tblPrices[cv_2028], MATCH(tblCloudAOUnits[[#This Row],[Products]],tblPrices[Products],0), 0)* tblCloudAOUnits[[#This Row],[cv_2028]]/10^6</f>
        <v>0</v>
      </c>
      <c r="X58" s="1">
        <f>VLOOKUP(A58,Products!$A$29:$F$110,6,FALSE)</f>
        <v>100</v>
      </c>
    </row>
    <row r="59" spans="1:24" s="1" customFormat="1" ht="13.15">
      <c r="A59" s="9" t="s">
        <v>6</v>
      </c>
      <c r="B59" s="8">
        <v>143901.30160823531</v>
      </c>
      <c r="C59" s="8">
        <v>148898.01108949998</v>
      </c>
      <c r="D59" s="8"/>
      <c r="E59" s="8"/>
      <c r="F59" s="8"/>
      <c r="G59" s="8"/>
      <c r="H59" s="8"/>
      <c r="I59" s="8"/>
      <c r="J59" s="8"/>
      <c r="K59" s="8"/>
      <c r="L59" s="8"/>
      <c r="M59" s="62" cm="1">
        <f t="array" ref="M59">INDEX(tblPrices[cv_2018], MATCH(tblCloudAOUnits[[#This Row],[Products]],tblPrices[Products],0), 0)* tblCloudAOUnits[[#This Row],[cv_2018]]/10^6</f>
        <v>119.98962709733689</v>
      </c>
      <c r="N59" s="62" cm="1">
        <f t="array" ref="N59">INDEX(tblPrices[cv_2019], MATCH(tblCloudAOUnits[[#This Row],[Products]],tblPrices[Products],0), 0)* tblCloudAOUnits[[#This Row],[cv_2019]]/10^6</f>
        <v>78.482233381941498</v>
      </c>
      <c r="O59" s="62" cm="1">
        <f t="array" ref="O59">INDEX(tblPrices[cv_2020], MATCH(tblCloudAOUnits[[#This Row],[Products]],tblPrices[Products],0), 0)* tblCloudAOUnits[[#This Row],[cv_2020]]/10^6</f>
        <v>0</v>
      </c>
      <c r="P59" s="62" cm="1">
        <f t="array" ref="P59">INDEX(tblPrices[cv_2021], MATCH(tblCloudAOUnits[[#This Row],[Products]],tblPrices[Products],0), 0)* tblCloudAOUnits[[#This Row],[cv_2021]]/10^6</f>
        <v>0</v>
      </c>
      <c r="Q59" s="62" cm="1">
        <f t="array" ref="Q59">INDEX(tblPrices[cv_2022], MATCH(tblCloudAOUnits[[#This Row],[Products]],tblPrices[Products],0), 0)* tblCloudAOUnits[[#This Row],[cv_2022]]/10^6</f>
        <v>0</v>
      </c>
      <c r="R59" s="62" cm="1">
        <f t="array" ref="R59">INDEX(tblPrices[cv_2023], MATCH(tblCloudAOUnits[[#This Row],[Products]],tblPrices[Products],0), 0)* tblCloudAOUnits[[#This Row],[cv_2023]]/10^6</f>
        <v>0</v>
      </c>
      <c r="S59" s="62" cm="1">
        <f t="array" ref="S59">INDEX(tblPrices[cv_2024], MATCH(tblCloudAOUnits[[#This Row],[Products]],tblPrices[Products],0), 0)* tblCloudAOUnits[[#This Row],[cv_2024]]/10^6</f>
        <v>0</v>
      </c>
      <c r="T59" s="62" cm="1">
        <f t="array" ref="T59">INDEX(tblPrices[cv_2025], MATCH(tblCloudAOUnits[[#This Row],[Products]],tblPrices[Products],0), 0)* tblCloudAOUnits[[#This Row],[cv_2025]]/10^6</f>
        <v>0</v>
      </c>
      <c r="U59" s="62" cm="1">
        <f t="array" ref="U59">INDEX(tblPrices[cv_2026], MATCH(tblCloudAOUnits[[#This Row],[Products]],tblPrices[Products],0), 0)* tblCloudAOUnits[[#This Row],[cv_2026]]/10^6</f>
        <v>0</v>
      </c>
      <c r="V59" s="62" cm="1">
        <f t="array" ref="V59">INDEX(tblPrices[cv_2027], MATCH(tblCloudAOUnits[[#This Row],[Products]],tblPrices[Products],0), 0)* tblCloudAOUnits[[#This Row],[cv_2027]]/10^6</f>
        <v>0</v>
      </c>
      <c r="W59" s="62" cm="1">
        <f t="array" ref="W59">INDEX(tblPrices[cv_2028], MATCH(tblCloudAOUnits[[#This Row],[Products]],tblPrices[Products],0), 0)* tblCloudAOUnits[[#This Row],[cv_2028]]/10^6</f>
        <v>0</v>
      </c>
      <c r="X59" s="1">
        <f>VLOOKUP(A59,Products!$A$29:$F$110,6,FALSE)</f>
        <v>100</v>
      </c>
    </row>
    <row r="60" spans="1:24" s="1" customFormat="1" ht="13.15">
      <c r="A60" s="9" t="s">
        <v>7</v>
      </c>
      <c r="B60" s="8">
        <v>20064.000000000007</v>
      </c>
      <c r="C60" s="8">
        <v>27563.481600000014</v>
      </c>
      <c r="D60" s="8"/>
      <c r="E60" s="8"/>
      <c r="F60" s="8"/>
      <c r="G60" s="8"/>
      <c r="H60" s="8"/>
      <c r="I60" s="8"/>
      <c r="J60" s="8"/>
      <c r="K60" s="8"/>
      <c r="L60" s="8"/>
      <c r="M60" s="62" cm="1">
        <f t="array" ref="M60">INDEX(tblPrices[cv_2018], MATCH(tblCloudAOUnits[[#This Row],[Products]],tblPrices[Products],0), 0)* tblCloudAOUnits[[#This Row],[cv_2018]]/10^6</f>
        <v>6.0192000000000014</v>
      </c>
      <c r="N60" s="62" cm="1">
        <f t="array" ref="N60">INDEX(tblPrices[cv_2019], MATCH(tblCloudAOUnits[[#This Row],[Products]],tblPrices[Products],0), 0)* tblCloudAOUnits[[#This Row],[cv_2019]]/10^6</f>
        <v>5.6841010283300948</v>
      </c>
      <c r="O60" s="62" cm="1">
        <f t="array" ref="O60">INDEX(tblPrices[cv_2020], MATCH(tblCloudAOUnits[[#This Row],[Products]],tblPrices[Products],0), 0)* tblCloudAOUnits[[#This Row],[cv_2020]]/10^6</f>
        <v>0</v>
      </c>
      <c r="P60" s="62" cm="1">
        <f t="array" ref="P60">INDEX(tblPrices[cv_2021], MATCH(tblCloudAOUnits[[#This Row],[Products]],tblPrices[Products],0), 0)* tblCloudAOUnits[[#This Row],[cv_2021]]/10^6</f>
        <v>0</v>
      </c>
      <c r="Q60" s="62" cm="1">
        <f t="array" ref="Q60">INDEX(tblPrices[cv_2022], MATCH(tblCloudAOUnits[[#This Row],[Products]],tblPrices[Products],0), 0)* tblCloudAOUnits[[#This Row],[cv_2022]]/10^6</f>
        <v>0</v>
      </c>
      <c r="R60" s="62" cm="1">
        <f t="array" ref="R60">INDEX(tblPrices[cv_2023], MATCH(tblCloudAOUnits[[#This Row],[Products]],tblPrices[Products],0), 0)* tblCloudAOUnits[[#This Row],[cv_2023]]/10^6</f>
        <v>0</v>
      </c>
      <c r="S60" s="62" cm="1">
        <f t="array" ref="S60">INDEX(tblPrices[cv_2024], MATCH(tblCloudAOUnits[[#This Row],[Products]],tblPrices[Products],0), 0)* tblCloudAOUnits[[#This Row],[cv_2024]]/10^6</f>
        <v>0</v>
      </c>
      <c r="T60" s="62" cm="1">
        <f t="array" ref="T60">INDEX(tblPrices[cv_2025], MATCH(tblCloudAOUnits[[#This Row],[Products]],tblPrices[Products],0), 0)* tblCloudAOUnits[[#This Row],[cv_2025]]/10^6</f>
        <v>0</v>
      </c>
      <c r="U60" s="62" cm="1">
        <f t="array" ref="U60">INDEX(tblPrices[cv_2026], MATCH(tblCloudAOUnits[[#This Row],[Products]],tblPrices[Products],0), 0)* tblCloudAOUnits[[#This Row],[cv_2026]]/10^6</f>
        <v>0</v>
      </c>
      <c r="V60" s="62" cm="1">
        <f t="array" ref="V60">INDEX(tblPrices[cv_2027], MATCH(tblCloudAOUnits[[#This Row],[Products]],tblPrices[Products],0), 0)* tblCloudAOUnits[[#This Row],[cv_2027]]/10^6</f>
        <v>0</v>
      </c>
      <c r="W60" s="62" cm="1">
        <f t="array" ref="W60">INDEX(tblPrices[cv_2028], MATCH(tblCloudAOUnits[[#This Row],[Products]],tblPrices[Products],0), 0)* tblCloudAOUnits[[#This Row],[cv_2028]]/10^6</f>
        <v>0</v>
      </c>
      <c r="X60" s="1">
        <f>VLOOKUP(A60,Products!$A$29:$F$110,6,FALSE)</f>
        <v>100</v>
      </c>
    </row>
    <row r="61" spans="1:24" s="1" customFormat="1" ht="13.15">
      <c r="A61" s="9" t="s">
        <v>8</v>
      </c>
      <c r="B61" s="8">
        <v>0</v>
      </c>
      <c r="C61" s="8">
        <v>2616.9599999999996</v>
      </c>
      <c r="D61" s="8"/>
      <c r="E61" s="8"/>
      <c r="F61" s="8"/>
      <c r="G61" s="8"/>
      <c r="H61" s="8"/>
      <c r="I61" s="8"/>
      <c r="J61" s="8"/>
      <c r="K61" s="8"/>
      <c r="L61" s="8"/>
      <c r="M61" s="62" cm="1">
        <f t="array" ref="M61">INDEX(tblPrices[cv_2018], MATCH(tblCloudAOUnits[[#This Row],[Products]],tblPrices[Products],0), 0)* tblCloudAOUnits[[#This Row],[cv_2018]]/10^6</f>
        <v>0</v>
      </c>
      <c r="N61" s="62" cm="1">
        <f t="array" ref="N61">INDEX(tblPrices[cv_2019], MATCH(tblCloudAOUnits[[#This Row],[Products]],tblPrices[Products],0), 0)* tblCloudAOUnits[[#This Row],[cv_2019]]/10^6</f>
        <v>4.4688390398872215</v>
      </c>
      <c r="O61" s="62" cm="1">
        <f t="array" ref="O61">INDEX(tblPrices[cv_2020], MATCH(tblCloudAOUnits[[#This Row],[Products]],tblPrices[Products],0), 0)* tblCloudAOUnits[[#This Row],[cv_2020]]/10^6</f>
        <v>0</v>
      </c>
      <c r="P61" s="62" cm="1">
        <f t="array" ref="P61">INDEX(tblPrices[cv_2021], MATCH(tblCloudAOUnits[[#This Row],[Products]],tblPrices[Products],0), 0)* tblCloudAOUnits[[#This Row],[cv_2021]]/10^6</f>
        <v>0</v>
      </c>
      <c r="Q61" s="62" cm="1">
        <f t="array" ref="Q61">INDEX(tblPrices[cv_2022], MATCH(tblCloudAOUnits[[#This Row],[Products]],tblPrices[Products],0), 0)* tblCloudAOUnits[[#This Row],[cv_2022]]/10^6</f>
        <v>0</v>
      </c>
      <c r="R61" s="62" cm="1">
        <f t="array" ref="R61">INDEX(tblPrices[cv_2023], MATCH(tblCloudAOUnits[[#This Row],[Products]],tblPrices[Products],0), 0)* tblCloudAOUnits[[#This Row],[cv_2023]]/10^6</f>
        <v>0</v>
      </c>
      <c r="S61" s="62" cm="1">
        <f t="array" ref="S61">INDEX(tblPrices[cv_2024], MATCH(tblCloudAOUnits[[#This Row],[Products]],tblPrices[Products],0), 0)* tblCloudAOUnits[[#This Row],[cv_2024]]/10^6</f>
        <v>0</v>
      </c>
      <c r="T61" s="62" cm="1">
        <f t="array" ref="T61">INDEX(tblPrices[cv_2025], MATCH(tblCloudAOUnits[[#This Row],[Products]],tblPrices[Products],0), 0)* tblCloudAOUnits[[#This Row],[cv_2025]]/10^6</f>
        <v>0</v>
      </c>
      <c r="U61" s="62" cm="1">
        <f t="array" ref="U61">INDEX(tblPrices[cv_2026], MATCH(tblCloudAOUnits[[#This Row],[Products]],tblPrices[Products],0), 0)* tblCloudAOUnits[[#This Row],[cv_2026]]/10^6</f>
        <v>0</v>
      </c>
      <c r="V61" s="62" cm="1">
        <f t="array" ref="V61">INDEX(tblPrices[cv_2027], MATCH(tblCloudAOUnits[[#This Row],[Products]],tblPrices[Products],0), 0)* tblCloudAOUnits[[#This Row],[cv_2027]]/10^6</f>
        <v>0</v>
      </c>
      <c r="W61" s="62" cm="1">
        <f t="array" ref="W61">INDEX(tblPrices[cv_2028], MATCH(tblCloudAOUnits[[#This Row],[Products]],tblPrices[Products],0), 0)* tblCloudAOUnits[[#This Row],[cv_2028]]/10^6</f>
        <v>0</v>
      </c>
      <c r="X61" s="1">
        <f>VLOOKUP(A61,Products!$A$29:$F$110,6,FALSE)</f>
        <v>100</v>
      </c>
    </row>
    <row r="62" spans="1:24" s="1" customFormat="1" ht="13.15">
      <c r="A62" s="9" t="s">
        <v>47</v>
      </c>
      <c r="B62" s="8">
        <v>0</v>
      </c>
      <c r="C62" s="8">
        <v>500</v>
      </c>
      <c r="D62" s="8"/>
      <c r="E62" s="8"/>
      <c r="F62" s="8"/>
      <c r="G62" s="8"/>
      <c r="H62" s="8"/>
      <c r="I62" s="8"/>
      <c r="J62" s="8"/>
      <c r="K62" s="8"/>
      <c r="L62" s="8"/>
      <c r="M62" s="62" cm="1">
        <f t="array" ref="M62">INDEX(tblPrices[cv_2018], MATCH(tblCloudAOUnits[[#This Row],[Products]],tblPrices[Products],0), 0)* tblCloudAOUnits[[#This Row],[cv_2018]]/10^6</f>
        <v>0</v>
      </c>
      <c r="N62" s="62" cm="1">
        <f t="array" ref="N62">INDEX(tblPrices[cv_2019], MATCH(tblCloudAOUnits[[#This Row],[Products]],tblPrices[Products],0), 0)* tblCloudAOUnits[[#This Row],[cv_2019]]/10^6</f>
        <v>0.3</v>
      </c>
      <c r="O62" s="62" cm="1">
        <f t="array" ref="O62">INDEX(tblPrices[cv_2020], MATCH(tblCloudAOUnits[[#This Row],[Products]],tblPrices[Products],0), 0)* tblCloudAOUnits[[#This Row],[cv_2020]]/10^6</f>
        <v>0</v>
      </c>
      <c r="P62" s="62" cm="1">
        <f t="array" ref="P62">INDEX(tblPrices[cv_2021], MATCH(tblCloudAOUnits[[#This Row],[Products]],tblPrices[Products],0), 0)* tblCloudAOUnits[[#This Row],[cv_2021]]/10^6</f>
        <v>0</v>
      </c>
      <c r="Q62" s="62" cm="1">
        <f t="array" ref="Q62">INDEX(tblPrices[cv_2022], MATCH(tblCloudAOUnits[[#This Row],[Products]],tblPrices[Products],0), 0)* tblCloudAOUnits[[#This Row],[cv_2022]]/10^6</f>
        <v>0</v>
      </c>
      <c r="R62" s="62" cm="1">
        <f t="array" ref="R62">INDEX(tblPrices[cv_2023], MATCH(tblCloudAOUnits[[#This Row],[Products]],tblPrices[Products],0), 0)* tblCloudAOUnits[[#This Row],[cv_2023]]/10^6</f>
        <v>0</v>
      </c>
      <c r="S62" s="62" cm="1">
        <f t="array" ref="S62">INDEX(tblPrices[cv_2024], MATCH(tblCloudAOUnits[[#This Row],[Products]],tblPrices[Products],0), 0)* tblCloudAOUnits[[#This Row],[cv_2024]]/10^6</f>
        <v>0</v>
      </c>
      <c r="T62" s="62" cm="1">
        <f t="array" ref="T62">INDEX(tblPrices[cv_2025], MATCH(tblCloudAOUnits[[#This Row],[Products]],tblPrices[Products],0), 0)* tblCloudAOUnits[[#This Row],[cv_2025]]/10^6</f>
        <v>0</v>
      </c>
      <c r="U62" s="62" cm="1">
        <f t="array" ref="U62">INDEX(tblPrices[cv_2026], MATCH(tblCloudAOUnits[[#This Row],[Products]],tblPrices[Products],0), 0)* tblCloudAOUnits[[#This Row],[cv_2026]]/10^6</f>
        <v>0</v>
      </c>
      <c r="V62" s="62" cm="1">
        <f t="array" ref="V62">INDEX(tblPrices[cv_2027], MATCH(tblCloudAOUnits[[#This Row],[Products]],tblPrices[Products],0), 0)* tblCloudAOUnits[[#This Row],[cv_2027]]/10^6</f>
        <v>0</v>
      </c>
      <c r="W62" s="62" cm="1">
        <f t="array" ref="W62">INDEX(tblPrices[cv_2028], MATCH(tblCloudAOUnits[[#This Row],[Products]],tblPrices[Products],0), 0)* tblCloudAOUnits[[#This Row],[cv_2028]]/10^6</f>
        <v>0</v>
      </c>
      <c r="X62" s="1">
        <f>VLOOKUP(A62,Products!$A$29:$F$110,6,FALSE)</f>
        <v>200</v>
      </c>
    </row>
    <row r="63" spans="1:24" s="1" customFormat="1" ht="13.15">
      <c r="A63" s="9" t="s">
        <v>41</v>
      </c>
      <c r="B63" s="8">
        <v>0</v>
      </c>
      <c r="C63" s="8">
        <v>0</v>
      </c>
      <c r="D63" s="8"/>
      <c r="E63" s="8"/>
      <c r="F63" s="8"/>
      <c r="G63" s="8"/>
      <c r="H63" s="8"/>
      <c r="I63" s="8"/>
      <c r="J63" s="8"/>
      <c r="K63" s="8"/>
      <c r="L63" s="8"/>
      <c r="M63" s="62" cm="1">
        <f t="array" ref="M63">INDEX(tblPrices[cv_2018], MATCH(tblCloudAOUnits[[#This Row],[Products]],tblPrices[Products],0), 0)* tblCloudAOUnits[[#This Row],[cv_2018]]/10^6</f>
        <v>0</v>
      </c>
      <c r="N63" s="62" cm="1">
        <f t="array" ref="N63">INDEX(tblPrices[cv_2019], MATCH(tblCloudAOUnits[[#This Row],[Products]],tblPrices[Products],0), 0)* tblCloudAOUnits[[#This Row],[cv_2019]]/10^6</f>
        <v>0</v>
      </c>
      <c r="O63" s="62" cm="1">
        <f t="array" ref="O63">INDEX(tblPrices[cv_2020], MATCH(tblCloudAOUnits[[#This Row],[Products]],tblPrices[Products],0), 0)* tblCloudAOUnits[[#This Row],[cv_2020]]/10^6</f>
        <v>0</v>
      </c>
      <c r="P63" s="62" cm="1">
        <f t="array" ref="P63">INDEX(tblPrices[cv_2021], MATCH(tblCloudAOUnits[[#This Row],[Products]],tblPrices[Products],0), 0)* tblCloudAOUnits[[#This Row],[cv_2021]]/10^6</f>
        <v>0</v>
      </c>
      <c r="Q63" s="62" cm="1">
        <f t="array" ref="Q63">INDEX(tblPrices[cv_2022], MATCH(tblCloudAOUnits[[#This Row],[Products]],tblPrices[Products],0), 0)* tblCloudAOUnits[[#This Row],[cv_2022]]/10^6</f>
        <v>0</v>
      </c>
      <c r="R63" s="62" cm="1">
        <f t="array" ref="R63">INDEX(tblPrices[cv_2023], MATCH(tblCloudAOUnits[[#This Row],[Products]],tblPrices[Products],0), 0)* tblCloudAOUnits[[#This Row],[cv_2023]]/10^6</f>
        <v>0</v>
      </c>
      <c r="S63" s="62" cm="1">
        <f t="array" ref="S63">INDEX(tblPrices[cv_2024], MATCH(tblCloudAOUnits[[#This Row],[Products]],tblPrices[Products],0), 0)* tblCloudAOUnits[[#This Row],[cv_2024]]/10^6</f>
        <v>0</v>
      </c>
      <c r="T63" s="62" cm="1">
        <f t="array" ref="T63">INDEX(tblPrices[cv_2025], MATCH(tblCloudAOUnits[[#This Row],[Products]],tblPrices[Products],0), 0)* tblCloudAOUnits[[#This Row],[cv_2025]]/10^6</f>
        <v>0</v>
      </c>
      <c r="U63" s="62" cm="1">
        <f t="array" ref="U63">INDEX(tblPrices[cv_2026], MATCH(tblCloudAOUnits[[#This Row],[Products]],tblPrices[Products],0), 0)* tblCloudAOUnits[[#This Row],[cv_2026]]/10^6</f>
        <v>0</v>
      </c>
      <c r="V63" s="62" cm="1">
        <f t="array" ref="V63">INDEX(tblPrices[cv_2027], MATCH(tblCloudAOUnits[[#This Row],[Products]],tblPrices[Products],0), 0)* tblCloudAOUnits[[#This Row],[cv_2027]]/10^6</f>
        <v>0</v>
      </c>
      <c r="W63" s="62" cm="1">
        <f t="array" ref="W63">INDEX(tblPrices[cv_2028], MATCH(tblCloudAOUnits[[#This Row],[Products]],tblPrices[Products],0), 0)* tblCloudAOUnits[[#This Row],[cv_2028]]/10^6</f>
        <v>0</v>
      </c>
      <c r="X63" s="1">
        <f>VLOOKUP(A63,Products!$A$29:$F$110,6,FALSE)</f>
        <v>200</v>
      </c>
    </row>
    <row r="64" spans="1:24" s="1" customFormat="1" ht="13.15">
      <c r="A64" s="9" t="s">
        <v>9</v>
      </c>
      <c r="B64" s="8">
        <v>0</v>
      </c>
      <c r="C64" s="8">
        <v>0</v>
      </c>
      <c r="D64" s="8"/>
      <c r="E64" s="8"/>
      <c r="F64" s="8"/>
      <c r="G64" s="8"/>
      <c r="H64" s="8"/>
      <c r="I64" s="8"/>
      <c r="J64" s="8"/>
      <c r="K64" s="8"/>
      <c r="L64" s="8"/>
      <c r="M64" s="62" cm="1">
        <f t="array" ref="M64">INDEX(tblPrices[cv_2018], MATCH(tblCloudAOUnits[[#This Row],[Products]],tblPrices[Products],0), 0)* tblCloudAOUnits[[#This Row],[cv_2018]]/10^6</f>
        <v>0</v>
      </c>
      <c r="N64" s="62" cm="1">
        <f t="array" ref="N64">INDEX(tblPrices[cv_2019], MATCH(tblCloudAOUnits[[#This Row],[Products]],tblPrices[Products],0), 0)* tblCloudAOUnits[[#This Row],[cv_2019]]/10^6</f>
        <v>0</v>
      </c>
      <c r="O64" s="62" cm="1">
        <f t="array" ref="O64">INDEX(tblPrices[cv_2020], MATCH(tblCloudAOUnits[[#This Row],[Products]],tblPrices[Products],0), 0)* tblCloudAOUnits[[#This Row],[cv_2020]]/10^6</f>
        <v>0</v>
      </c>
      <c r="P64" s="62" cm="1">
        <f t="array" ref="P64">INDEX(tblPrices[cv_2021], MATCH(tblCloudAOUnits[[#This Row],[Products]],tblPrices[Products],0), 0)* tblCloudAOUnits[[#This Row],[cv_2021]]/10^6</f>
        <v>0</v>
      </c>
      <c r="Q64" s="62" cm="1">
        <f t="array" ref="Q64">INDEX(tblPrices[cv_2022], MATCH(tblCloudAOUnits[[#This Row],[Products]],tblPrices[Products],0), 0)* tblCloudAOUnits[[#This Row],[cv_2022]]/10^6</f>
        <v>0</v>
      </c>
      <c r="R64" s="62" cm="1">
        <f t="array" ref="R64">INDEX(tblPrices[cv_2023], MATCH(tblCloudAOUnits[[#This Row],[Products]],tblPrices[Products],0), 0)* tblCloudAOUnits[[#This Row],[cv_2023]]/10^6</f>
        <v>0</v>
      </c>
      <c r="S64" s="62" cm="1">
        <f t="array" ref="S64">INDEX(tblPrices[cv_2024], MATCH(tblCloudAOUnits[[#This Row],[Products]],tblPrices[Products],0), 0)* tblCloudAOUnits[[#This Row],[cv_2024]]/10^6</f>
        <v>0</v>
      </c>
      <c r="T64" s="62" cm="1">
        <f t="array" ref="T64">INDEX(tblPrices[cv_2025], MATCH(tblCloudAOUnits[[#This Row],[Products]],tblPrices[Products],0), 0)* tblCloudAOUnits[[#This Row],[cv_2025]]/10^6</f>
        <v>0</v>
      </c>
      <c r="U64" s="62" cm="1">
        <f t="array" ref="U64">INDEX(tblPrices[cv_2026], MATCH(tblCloudAOUnits[[#This Row],[Products]],tblPrices[Products],0), 0)* tblCloudAOUnits[[#This Row],[cv_2026]]/10^6</f>
        <v>0</v>
      </c>
      <c r="V64" s="62" cm="1">
        <f t="array" ref="V64">INDEX(tblPrices[cv_2027], MATCH(tblCloudAOUnits[[#This Row],[Products]],tblPrices[Products],0), 0)* tblCloudAOUnits[[#This Row],[cv_2027]]/10^6</f>
        <v>0</v>
      </c>
      <c r="W64" s="62" cm="1">
        <f t="array" ref="W64">INDEX(tblPrices[cv_2028], MATCH(tblCloudAOUnits[[#This Row],[Products]],tblPrices[Products],0), 0)* tblCloudAOUnits[[#This Row],[cv_2028]]/10^6</f>
        <v>0</v>
      </c>
      <c r="X64" s="1">
        <f>VLOOKUP(A64,Products!$A$29:$F$110,6,FALSE)</f>
        <v>400</v>
      </c>
    </row>
    <row r="65" spans="1:24" s="1" customFormat="1" ht="13.15">
      <c r="A65" s="52" t="s">
        <v>339</v>
      </c>
      <c r="B65" s="8">
        <v>0</v>
      </c>
      <c r="C65" s="53">
        <v>0</v>
      </c>
      <c r="D65" s="53"/>
      <c r="E65" s="53"/>
      <c r="F65" s="53"/>
      <c r="G65" s="53"/>
      <c r="H65" s="53"/>
      <c r="I65" s="53"/>
      <c r="J65" s="53"/>
      <c r="K65" s="53"/>
      <c r="L65" s="53"/>
      <c r="M65" s="62" cm="1">
        <f t="array" ref="M65">INDEX(tblPrices[cv_2018], MATCH(tblCloudAOUnits[[#This Row],[Products]],tblPrices[Products],0), 0)* tblCloudAOUnits[[#This Row],[cv_2018]]/10^6</f>
        <v>0</v>
      </c>
      <c r="N65" s="62" cm="1">
        <f t="array" ref="N65">INDEX(tblPrices[cv_2019], MATCH(tblCloudAOUnits[[#This Row],[Products]],tblPrices[Products],0), 0)* tblCloudAOUnits[[#This Row],[cv_2019]]/10^6</f>
        <v>0</v>
      </c>
      <c r="O65" s="62" cm="1">
        <f t="array" ref="O65">INDEX(tblPrices[cv_2020], MATCH(tblCloudAOUnits[[#This Row],[Products]],tblPrices[Products],0), 0)* tblCloudAOUnits[[#This Row],[cv_2020]]/10^6</f>
        <v>0</v>
      </c>
      <c r="P65" s="62" cm="1">
        <f t="array" ref="P65">INDEX(tblPrices[cv_2021], MATCH(tblCloudAOUnits[[#This Row],[Products]],tblPrices[Products],0), 0)* tblCloudAOUnits[[#This Row],[cv_2021]]/10^6</f>
        <v>0</v>
      </c>
      <c r="Q65" s="62" cm="1">
        <f t="array" ref="Q65">INDEX(tblPrices[cv_2022], MATCH(tblCloudAOUnits[[#This Row],[Products]],tblPrices[Products],0), 0)* tblCloudAOUnits[[#This Row],[cv_2022]]/10^6</f>
        <v>0</v>
      </c>
      <c r="R65" s="62" cm="1">
        <f t="array" ref="R65">INDEX(tblPrices[cv_2023], MATCH(tblCloudAOUnits[[#This Row],[Products]],tblPrices[Products],0), 0)* tblCloudAOUnits[[#This Row],[cv_2023]]/10^6</f>
        <v>0</v>
      </c>
      <c r="S65" s="62" cm="1">
        <f t="array" ref="S65">INDEX(tblPrices[cv_2024], MATCH(tblCloudAOUnits[[#This Row],[Products]],tblPrices[Products],0), 0)* tblCloudAOUnits[[#This Row],[cv_2024]]/10^6</f>
        <v>0</v>
      </c>
      <c r="T65" s="62" cm="1">
        <f t="array" ref="T65">INDEX(tblPrices[cv_2025], MATCH(tblCloudAOUnits[[#This Row],[Products]],tblPrices[Products],0), 0)* tblCloudAOUnits[[#This Row],[cv_2025]]/10^6</f>
        <v>0</v>
      </c>
      <c r="U65" s="62" cm="1">
        <f t="array" ref="U65">INDEX(tblPrices[cv_2026], MATCH(tblCloudAOUnits[[#This Row],[Products]],tblPrices[Products],0), 0)* tblCloudAOUnits[[#This Row],[cv_2026]]/10^6</f>
        <v>0</v>
      </c>
      <c r="V65" s="62" cm="1">
        <f t="array" ref="V65">INDEX(tblPrices[cv_2027], MATCH(tblCloudAOUnits[[#This Row],[Products]],tblPrices[Products],0), 0)* tblCloudAOUnits[[#This Row],[cv_2027]]/10^6</f>
        <v>0</v>
      </c>
      <c r="W65" s="62" cm="1">
        <f t="array" ref="W65">INDEX(tblPrices[cv_2028], MATCH(tblCloudAOUnits[[#This Row],[Products]],tblPrices[Products],0), 0)* tblCloudAOUnits[[#This Row],[cv_2028]]/10^6</f>
        <v>0</v>
      </c>
    </row>
    <row r="66" spans="1:24" s="1" customFormat="1" ht="13.15">
      <c r="A66" s="9" t="s">
        <v>11</v>
      </c>
      <c r="B66" s="8">
        <v>0</v>
      </c>
      <c r="C66" s="8">
        <v>0</v>
      </c>
      <c r="D66" s="8"/>
      <c r="E66" s="8"/>
      <c r="F66" s="8"/>
      <c r="G66" s="8"/>
      <c r="H66" s="8"/>
      <c r="I66" s="8"/>
      <c r="J66" s="8"/>
      <c r="K66" s="8"/>
      <c r="L66" s="8"/>
      <c r="M66" s="62" cm="1">
        <f t="array" ref="M66">INDEX(tblPrices[cv_2018], MATCH(tblCloudAOUnits[[#This Row],[Products]],tblPrices[Products],0), 0)* tblCloudAOUnits[[#This Row],[cv_2018]]/10^6</f>
        <v>0</v>
      </c>
      <c r="N66" s="62" cm="1">
        <f t="array" ref="N66">INDEX(tblPrices[cv_2019], MATCH(tblCloudAOUnits[[#This Row],[Products]],tblPrices[Products],0), 0)* tblCloudAOUnits[[#This Row],[cv_2019]]/10^6</f>
        <v>0</v>
      </c>
      <c r="O66" s="62" cm="1">
        <f t="array" ref="O66">INDEX(tblPrices[cv_2020], MATCH(tblCloudAOUnits[[#This Row],[Products]],tblPrices[Products],0), 0)* tblCloudAOUnits[[#This Row],[cv_2020]]/10^6</f>
        <v>0</v>
      </c>
      <c r="P66" s="62" cm="1">
        <f t="array" ref="P66">INDEX(tblPrices[cv_2021], MATCH(tblCloudAOUnits[[#This Row],[Products]],tblPrices[Products],0), 0)* tblCloudAOUnits[[#This Row],[cv_2021]]/10^6</f>
        <v>0</v>
      </c>
      <c r="Q66" s="62" cm="1">
        <f t="array" ref="Q66">INDEX(tblPrices[cv_2022], MATCH(tblCloudAOUnits[[#This Row],[Products]],tblPrices[Products],0), 0)* tblCloudAOUnits[[#This Row],[cv_2022]]/10^6</f>
        <v>0</v>
      </c>
      <c r="R66" s="62" cm="1">
        <f t="array" ref="R66">INDEX(tblPrices[cv_2023], MATCH(tblCloudAOUnits[[#This Row],[Products]],tblPrices[Products],0), 0)* tblCloudAOUnits[[#This Row],[cv_2023]]/10^6</f>
        <v>0</v>
      </c>
      <c r="S66" s="62" cm="1">
        <f t="array" ref="S66">INDEX(tblPrices[cv_2024], MATCH(tblCloudAOUnits[[#This Row],[Products]],tblPrices[Products],0), 0)* tblCloudAOUnits[[#This Row],[cv_2024]]/10^6</f>
        <v>0</v>
      </c>
      <c r="T66" s="62" cm="1">
        <f t="array" ref="T66">INDEX(tblPrices[cv_2025], MATCH(tblCloudAOUnits[[#This Row],[Products]],tblPrices[Products],0), 0)* tblCloudAOUnits[[#This Row],[cv_2025]]/10^6</f>
        <v>0</v>
      </c>
      <c r="U66" s="62" cm="1">
        <f t="array" ref="U66">INDEX(tblPrices[cv_2026], MATCH(tblCloudAOUnits[[#This Row],[Products]],tblPrices[Products],0), 0)* tblCloudAOUnits[[#This Row],[cv_2026]]/10^6</f>
        <v>0</v>
      </c>
      <c r="V66" s="62" cm="1">
        <f t="array" ref="V66">INDEX(tblPrices[cv_2027], MATCH(tblCloudAOUnits[[#This Row],[Products]],tblPrices[Products],0), 0)* tblCloudAOUnits[[#This Row],[cv_2027]]/10^6</f>
        <v>0</v>
      </c>
      <c r="W66" s="62" cm="1">
        <f t="array" ref="W66">INDEX(tblPrices[cv_2028], MATCH(tblCloudAOUnits[[#This Row],[Products]],tblPrices[Products],0), 0)* tblCloudAOUnits[[#This Row],[cv_2028]]/10^6</f>
        <v>0</v>
      </c>
      <c r="X66" s="1">
        <f>VLOOKUP(A66,Products!$A$29:$F$110,6,FALSE)</f>
        <v>400</v>
      </c>
    </row>
    <row r="67" spans="1:24" s="1" customFormat="1" ht="13.15">
      <c r="A67" s="9" t="s">
        <v>10</v>
      </c>
      <c r="B67" s="8">
        <v>0</v>
      </c>
      <c r="C67" s="8">
        <v>0</v>
      </c>
      <c r="D67" s="8"/>
      <c r="E67" s="8"/>
      <c r="F67" s="8"/>
      <c r="G67" s="8"/>
      <c r="H67" s="8"/>
      <c r="I67" s="8"/>
      <c r="J67" s="8"/>
      <c r="K67" s="8"/>
      <c r="L67" s="8"/>
      <c r="M67" s="62" cm="1">
        <f t="array" ref="M67">INDEX(tblPrices[cv_2018], MATCH(tblCloudAOUnits[[#This Row],[Products]],tblPrices[Products],0), 0)* tblCloudAOUnits[[#This Row],[cv_2018]]/10^6</f>
        <v>0</v>
      </c>
      <c r="N67" s="62" cm="1">
        <f t="array" ref="N67">INDEX(tblPrices[cv_2019], MATCH(tblCloudAOUnits[[#This Row],[Products]],tblPrices[Products],0), 0)* tblCloudAOUnits[[#This Row],[cv_2019]]/10^6</f>
        <v>0</v>
      </c>
      <c r="O67" s="62" cm="1">
        <f t="array" ref="O67">INDEX(tblPrices[cv_2020], MATCH(tblCloudAOUnits[[#This Row],[Products]],tblPrices[Products],0), 0)* tblCloudAOUnits[[#This Row],[cv_2020]]/10^6</f>
        <v>0</v>
      </c>
      <c r="P67" s="62" cm="1">
        <f t="array" ref="P67">INDEX(tblPrices[cv_2021], MATCH(tblCloudAOUnits[[#This Row],[Products]],tblPrices[Products],0), 0)* tblCloudAOUnits[[#This Row],[cv_2021]]/10^6</f>
        <v>0</v>
      </c>
      <c r="Q67" s="62" cm="1">
        <f t="array" ref="Q67">INDEX(tblPrices[cv_2022], MATCH(tblCloudAOUnits[[#This Row],[Products]],tblPrices[Products],0), 0)* tblCloudAOUnits[[#This Row],[cv_2022]]/10^6</f>
        <v>0</v>
      </c>
      <c r="R67" s="62" cm="1">
        <f t="array" ref="R67">INDEX(tblPrices[cv_2023], MATCH(tblCloudAOUnits[[#This Row],[Products]],tblPrices[Products],0), 0)* tblCloudAOUnits[[#This Row],[cv_2023]]/10^6</f>
        <v>0</v>
      </c>
      <c r="S67" s="62" cm="1">
        <f t="array" ref="S67">INDEX(tblPrices[cv_2024], MATCH(tblCloudAOUnits[[#This Row],[Products]],tblPrices[Products],0), 0)* tblCloudAOUnits[[#This Row],[cv_2024]]/10^6</f>
        <v>0</v>
      </c>
      <c r="T67" s="62" cm="1">
        <f t="array" ref="T67">INDEX(tblPrices[cv_2025], MATCH(tblCloudAOUnits[[#This Row],[Products]],tblPrices[Products],0), 0)* tblCloudAOUnits[[#This Row],[cv_2025]]/10^6</f>
        <v>0</v>
      </c>
      <c r="U67" s="62" cm="1">
        <f t="array" ref="U67">INDEX(tblPrices[cv_2026], MATCH(tblCloudAOUnits[[#This Row],[Products]],tblPrices[Products],0), 0)* tblCloudAOUnits[[#This Row],[cv_2026]]/10^6</f>
        <v>0</v>
      </c>
      <c r="V67" s="62" cm="1">
        <f t="array" ref="V67">INDEX(tblPrices[cv_2027], MATCH(tblCloudAOUnits[[#This Row],[Products]],tblPrices[Products],0), 0)* tblCloudAOUnits[[#This Row],[cv_2027]]/10^6</f>
        <v>0</v>
      </c>
      <c r="W67" s="62" cm="1">
        <f t="array" ref="W67">INDEX(tblPrices[cv_2028], MATCH(tblCloudAOUnits[[#This Row],[Products]],tblPrices[Products],0), 0)* tblCloudAOUnits[[#This Row],[cv_2028]]/10^6</f>
        <v>0</v>
      </c>
      <c r="X67" s="1">
        <f>VLOOKUP(A67,Products!$A$29:$F$110,6,FALSE)</f>
        <v>400</v>
      </c>
    </row>
    <row r="68" spans="1:24" s="1" customFormat="1" ht="13.15">
      <c r="A68" s="9" t="s">
        <v>42</v>
      </c>
      <c r="B68" s="8">
        <v>0</v>
      </c>
      <c r="C68" s="8">
        <v>0</v>
      </c>
      <c r="D68" s="8"/>
      <c r="E68" s="8"/>
      <c r="F68" s="8"/>
      <c r="G68" s="8"/>
      <c r="H68" s="8"/>
      <c r="I68" s="8"/>
      <c r="J68" s="8"/>
      <c r="K68" s="8"/>
      <c r="L68" s="8"/>
      <c r="M68" s="62" cm="1">
        <f t="array" ref="M68">INDEX(tblPrices[cv_2018], MATCH(tblCloudAOUnits[[#This Row],[Products]],tblPrices[Products],0), 0)* tblCloudAOUnits[[#This Row],[cv_2018]]/10^6</f>
        <v>0</v>
      </c>
      <c r="N68" s="62" cm="1">
        <f t="array" ref="N68">INDEX(tblPrices[cv_2019], MATCH(tblCloudAOUnits[[#This Row],[Products]],tblPrices[Products],0), 0)* tblCloudAOUnits[[#This Row],[cv_2019]]/10^6</f>
        <v>0</v>
      </c>
      <c r="O68" s="62" cm="1">
        <f t="array" ref="O68">INDEX(tblPrices[cv_2020], MATCH(tblCloudAOUnits[[#This Row],[Products]],tblPrices[Products],0), 0)* tblCloudAOUnits[[#This Row],[cv_2020]]/10^6</f>
        <v>0</v>
      </c>
      <c r="P68" s="62" cm="1">
        <f t="array" ref="P68">INDEX(tblPrices[cv_2021], MATCH(tblCloudAOUnits[[#This Row],[Products]],tblPrices[Products],0), 0)* tblCloudAOUnits[[#This Row],[cv_2021]]/10^6</f>
        <v>0</v>
      </c>
      <c r="Q68" s="62" cm="1">
        <f t="array" ref="Q68">INDEX(tblPrices[cv_2022], MATCH(tblCloudAOUnits[[#This Row],[Products]],tblPrices[Products],0), 0)* tblCloudAOUnits[[#This Row],[cv_2022]]/10^6</f>
        <v>0</v>
      </c>
      <c r="R68" s="62" cm="1">
        <f t="array" ref="R68">INDEX(tblPrices[cv_2023], MATCH(tblCloudAOUnits[[#This Row],[Products]],tblPrices[Products],0), 0)* tblCloudAOUnits[[#This Row],[cv_2023]]/10^6</f>
        <v>0</v>
      </c>
      <c r="S68" s="62" cm="1">
        <f t="array" ref="S68">INDEX(tblPrices[cv_2024], MATCH(tblCloudAOUnits[[#This Row],[Products]],tblPrices[Products],0), 0)* tblCloudAOUnits[[#This Row],[cv_2024]]/10^6</f>
        <v>0</v>
      </c>
      <c r="T68" s="62" cm="1">
        <f t="array" ref="T68">INDEX(tblPrices[cv_2025], MATCH(tblCloudAOUnits[[#This Row],[Products]],tblPrices[Products],0), 0)* tblCloudAOUnits[[#This Row],[cv_2025]]/10^6</f>
        <v>0</v>
      </c>
      <c r="U68" s="62" cm="1">
        <f t="array" ref="U68">INDEX(tblPrices[cv_2026], MATCH(tblCloudAOUnits[[#This Row],[Products]],tblPrices[Products],0), 0)* tblCloudAOUnits[[#This Row],[cv_2026]]/10^6</f>
        <v>0</v>
      </c>
      <c r="V68" s="62" cm="1">
        <f t="array" ref="V68">INDEX(tblPrices[cv_2027], MATCH(tblCloudAOUnits[[#This Row],[Products]],tblPrices[Products],0), 0)* tblCloudAOUnits[[#This Row],[cv_2027]]/10^6</f>
        <v>0</v>
      </c>
      <c r="W68" s="62" cm="1">
        <f t="array" ref="W68">INDEX(tblPrices[cv_2028], MATCH(tblCloudAOUnits[[#This Row],[Products]],tblPrices[Products],0), 0)* tblCloudAOUnits[[#This Row],[cv_2028]]/10^6</f>
        <v>0</v>
      </c>
      <c r="X68" s="1">
        <f>VLOOKUP(A68,Products!$A$29:$F$110,6,FALSE)</f>
        <v>400</v>
      </c>
    </row>
    <row r="69" spans="1:24" s="1" customFormat="1" ht="13.15">
      <c r="A69" s="9" t="s">
        <v>12</v>
      </c>
      <c r="B69" s="8">
        <v>0</v>
      </c>
      <c r="C69" s="8">
        <v>7.2705054945054712</v>
      </c>
      <c r="D69" s="8"/>
      <c r="E69" s="8"/>
      <c r="F69" s="8"/>
      <c r="G69" s="8"/>
      <c r="H69" s="8"/>
      <c r="I69" s="8"/>
      <c r="J69" s="8"/>
      <c r="K69" s="8"/>
      <c r="L69" s="8"/>
      <c r="M69" s="62" cm="1">
        <f t="array" ref="M69">INDEX(tblPrices[cv_2018], MATCH(tblCloudAOUnits[[#This Row],[Products]],tblPrices[Products],0), 0)* tblCloudAOUnits[[#This Row],[cv_2018]]/10^6</f>
        <v>0</v>
      </c>
      <c r="N69" s="62" cm="1">
        <f t="array" ref="N69">INDEX(tblPrices[cv_2019], MATCH(tblCloudAOUnits[[#This Row],[Products]],tblPrices[Products],0), 0)* tblCloudAOUnits[[#This Row],[cv_2019]]/10^6</f>
        <v>4.8069621551999842E-2</v>
      </c>
      <c r="O69" s="62" cm="1">
        <f t="array" ref="O69">INDEX(tblPrices[cv_2020], MATCH(tblCloudAOUnits[[#This Row],[Products]],tblPrices[Products],0), 0)* tblCloudAOUnits[[#This Row],[cv_2020]]/10^6</f>
        <v>0</v>
      </c>
      <c r="P69" s="62" cm="1">
        <f t="array" ref="P69">INDEX(tblPrices[cv_2021], MATCH(tblCloudAOUnits[[#This Row],[Products]],tblPrices[Products],0), 0)* tblCloudAOUnits[[#This Row],[cv_2021]]/10^6</f>
        <v>0</v>
      </c>
      <c r="Q69" s="62" cm="1">
        <f t="array" ref="Q69">INDEX(tblPrices[cv_2022], MATCH(tblCloudAOUnits[[#This Row],[Products]],tblPrices[Products],0), 0)* tblCloudAOUnits[[#This Row],[cv_2022]]/10^6</f>
        <v>0</v>
      </c>
      <c r="R69" s="62" cm="1">
        <f t="array" ref="R69">INDEX(tblPrices[cv_2023], MATCH(tblCloudAOUnits[[#This Row],[Products]],tblPrices[Products],0), 0)* tblCloudAOUnits[[#This Row],[cv_2023]]/10^6</f>
        <v>0</v>
      </c>
      <c r="S69" s="62" cm="1">
        <f t="array" ref="S69">INDEX(tblPrices[cv_2024], MATCH(tblCloudAOUnits[[#This Row],[Products]],tblPrices[Products],0), 0)* tblCloudAOUnits[[#This Row],[cv_2024]]/10^6</f>
        <v>0</v>
      </c>
      <c r="T69" s="62" cm="1">
        <f t="array" ref="T69">INDEX(tblPrices[cv_2025], MATCH(tblCloudAOUnits[[#This Row],[Products]],tblPrices[Products],0), 0)* tblCloudAOUnits[[#This Row],[cv_2025]]/10^6</f>
        <v>0</v>
      </c>
      <c r="U69" s="62" cm="1">
        <f t="array" ref="U69">INDEX(tblPrices[cv_2026], MATCH(tblCloudAOUnits[[#This Row],[Products]],tblPrices[Products],0), 0)* tblCloudAOUnits[[#This Row],[cv_2026]]/10^6</f>
        <v>0</v>
      </c>
      <c r="V69" s="62" cm="1">
        <f t="array" ref="V69">INDEX(tblPrices[cv_2027], MATCH(tblCloudAOUnits[[#This Row],[Products]],tblPrices[Products],0), 0)* tblCloudAOUnits[[#This Row],[cv_2027]]/10^6</f>
        <v>0</v>
      </c>
      <c r="W69" s="62" cm="1">
        <f t="array" ref="W69">INDEX(tblPrices[cv_2028], MATCH(tblCloudAOUnits[[#This Row],[Products]],tblPrices[Products],0), 0)* tblCloudAOUnits[[#This Row],[cv_2028]]/10^6</f>
        <v>0</v>
      </c>
      <c r="X69" s="1">
        <f>VLOOKUP(A69,Products!$A$29:$F$110,6,FALSE)</f>
        <v>400</v>
      </c>
    </row>
    <row r="70" spans="1:24" s="1" customFormat="1" ht="13.15">
      <c r="A70" s="9" t="s">
        <v>48</v>
      </c>
      <c r="B70" s="8">
        <v>0</v>
      </c>
      <c r="C70" s="8">
        <v>0</v>
      </c>
      <c r="D70" s="8"/>
      <c r="E70" s="8"/>
      <c r="F70" s="8"/>
      <c r="G70" s="8"/>
      <c r="H70" s="8"/>
      <c r="I70" s="8"/>
      <c r="J70" s="8"/>
      <c r="K70" s="8"/>
      <c r="L70" s="8"/>
      <c r="M70" s="62" cm="1">
        <f t="array" ref="M70">INDEX(tblPrices[cv_2018], MATCH(tblCloudAOUnits[[#This Row],[Products]],tblPrices[Products],0), 0)* tblCloudAOUnits[[#This Row],[cv_2018]]/10^6</f>
        <v>0</v>
      </c>
      <c r="N70" s="62" cm="1">
        <f t="array" ref="N70">INDEX(tblPrices[cv_2019], MATCH(tblCloudAOUnits[[#This Row],[Products]],tblPrices[Products],0), 0)* tblCloudAOUnits[[#This Row],[cv_2019]]/10^6</f>
        <v>0</v>
      </c>
      <c r="O70" s="62" cm="1">
        <f t="array" ref="O70">INDEX(tblPrices[cv_2020], MATCH(tblCloudAOUnits[[#This Row],[Products]],tblPrices[Products],0), 0)* tblCloudAOUnits[[#This Row],[cv_2020]]/10^6</f>
        <v>0</v>
      </c>
      <c r="P70" s="62" cm="1">
        <f t="array" ref="P70">INDEX(tblPrices[cv_2021], MATCH(tblCloudAOUnits[[#This Row],[Products]],tblPrices[Products],0), 0)* tblCloudAOUnits[[#This Row],[cv_2021]]/10^6</f>
        <v>0</v>
      </c>
      <c r="Q70" s="62" cm="1">
        <f t="array" ref="Q70">INDEX(tblPrices[cv_2022], MATCH(tblCloudAOUnits[[#This Row],[Products]],tblPrices[Products],0), 0)* tblCloudAOUnits[[#This Row],[cv_2022]]/10^6</f>
        <v>0</v>
      </c>
      <c r="R70" s="62" cm="1">
        <f t="array" ref="R70">INDEX(tblPrices[cv_2023], MATCH(tblCloudAOUnits[[#This Row],[Products]],tblPrices[Products],0), 0)* tblCloudAOUnits[[#This Row],[cv_2023]]/10^6</f>
        <v>0</v>
      </c>
      <c r="S70" s="62" cm="1">
        <f t="array" ref="S70">INDEX(tblPrices[cv_2024], MATCH(tblCloudAOUnits[[#This Row],[Products]],tblPrices[Products],0), 0)* tblCloudAOUnits[[#This Row],[cv_2024]]/10^6</f>
        <v>0</v>
      </c>
      <c r="T70" s="62" cm="1">
        <f t="array" ref="T70">INDEX(tblPrices[cv_2025], MATCH(tblCloudAOUnits[[#This Row],[Products]],tblPrices[Products],0), 0)* tblCloudAOUnits[[#This Row],[cv_2025]]/10^6</f>
        <v>0</v>
      </c>
      <c r="U70" s="62" cm="1">
        <f t="array" ref="U70">INDEX(tblPrices[cv_2026], MATCH(tblCloudAOUnits[[#This Row],[Products]],tblPrices[Products],0), 0)* tblCloudAOUnits[[#This Row],[cv_2026]]/10^6</f>
        <v>0</v>
      </c>
      <c r="V70" s="62" cm="1">
        <f t="array" ref="V70">INDEX(tblPrices[cv_2027], MATCH(tblCloudAOUnits[[#This Row],[Products]],tblPrices[Products],0), 0)* tblCloudAOUnits[[#This Row],[cv_2027]]/10^6</f>
        <v>0</v>
      </c>
      <c r="W70" s="62" cm="1">
        <f t="array" ref="W70">INDEX(tblPrices[cv_2028], MATCH(tblCloudAOUnits[[#This Row],[Products]],tblPrices[Products],0), 0)* tblCloudAOUnits[[#This Row],[cv_2028]]/10^6</f>
        <v>0</v>
      </c>
      <c r="X70" s="1">
        <f>VLOOKUP(A70,Products!$A$29:$F$110,6,FALSE)</f>
        <v>800</v>
      </c>
    </row>
    <row r="71" spans="1:24" s="1" customFormat="1" ht="13.15">
      <c r="A71" s="9" t="s">
        <v>13</v>
      </c>
      <c r="B71" s="8">
        <v>0</v>
      </c>
      <c r="C71" s="8">
        <v>0</v>
      </c>
      <c r="D71" s="8"/>
      <c r="E71" s="8"/>
      <c r="F71" s="8"/>
      <c r="G71" s="8"/>
      <c r="H71" s="8"/>
      <c r="I71" s="8"/>
      <c r="J71" s="8"/>
      <c r="K71" s="8"/>
      <c r="L71" s="8"/>
      <c r="M71" s="62" cm="1">
        <f t="array" ref="M71">INDEX(tblPrices[cv_2018], MATCH(tblCloudAOUnits[[#This Row],[Products]],tblPrices[Products],0), 0)* tblCloudAOUnits[[#This Row],[cv_2018]]/10^6</f>
        <v>0</v>
      </c>
      <c r="N71" s="62" cm="1">
        <f t="array" ref="N71">INDEX(tblPrices[cv_2019], MATCH(tblCloudAOUnits[[#This Row],[Products]],tblPrices[Products],0), 0)* tblCloudAOUnits[[#This Row],[cv_2019]]/10^6</f>
        <v>0</v>
      </c>
      <c r="O71" s="62" cm="1">
        <f t="array" ref="O71">INDEX(tblPrices[cv_2020], MATCH(tblCloudAOUnits[[#This Row],[Products]],tblPrices[Products],0), 0)* tblCloudAOUnits[[#This Row],[cv_2020]]/10^6</f>
        <v>0</v>
      </c>
      <c r="P71" s="62" cm="1">
        <f t="array" ref="P71">INDEX(tblPrices[cv_2021], MATCH(tblCloudAOUnits[[#This Row],[Products]],tblPrices[Products],0), 0)* tblCloudAOUnits[[#This Row],[cv_2021]]/10^6</f>
        <v>0</v>
      </c>
      <c r="Q71" s="62" cm="1">
        <f t="array" ref="Q71">INDEX(tblPrices[cv_2022], MATCH(tblCloudAOUnits[[#This Row],[Products]],tblPrices[Products],0), 0)* tblCloudAOUnits[[#This Row],[cv_2022]]/10^6</f>
        <v>0</v>
      </c>
      <c r="R71" s="62" cm="1">
        <f t="array" ref="R71">INDEX(tblPrices[cv_2023], MATCH(tblCloudAOUnits[[#This Row],[Products]],tblPrices[Products],0), 0)* tblCloudAOUnits[[#This Row],[cv_2023]]/10^6</f>
        <v>0</v>
      </c>
      <c r="S71" s="62" cm="1">
        <f t="array" ref="S71">INDEX(tblPrices[cv_2024], MATCH(tblCloudAOUnits[[#This Row],[Products]],tblPrices[Products],0), 0)* tblCloudAOUnits[[#This Row],[cv_2024]]/10^6</f>
        <v>0</v>
      </c>
      <c r="T71" s="62" cm="1">
        <f t="array" ref="T71">INDEX(tblPrices[cv_2025], MATCH(tblCloudAOUnits[[#This Row],[Products]],tblPrices[Products],0), 0)* tblCloudAOUnits[[#This Row],[cv_2025]]/10^6</f>
        <v>0</v>
      </c>
      <c r="U71" s="62" cm="1">
        <f t="array" ref="U71">INDEX(tblPrices[cv_2026], MATCH(tblCloudAOUnits[[#This Row],[Products]],tblPrices[Products],0), 0)* tblCloudAOUnits[[#This Row],[cv_2026]]/10^6</f>
        <v>0</v>
      </c>
      <c r="V71" s="62" cm="1">
        <f t="array" ref="V71">INDEX(tblPrices[cv_2027], MATCH(tblCloudAOUnits[[#This Row],[Products]],tblPrices[Products],0), 0)* tblCloudAOUnits[[#This Row],[cv_2027]]/10^6</f>
        <v>0</v>
      </c>
      <c r="W71" s="62" cm="1">
        <f t="array" ref="W71">INDEX(tblPrices[cv_2028], MATCH(tblCloudAOUnits[[#This Row],[Products]],tblPrices[Products],0), 0)* tblCloudAOUnits[[#This Row],[cv_2028]]/10^6</f>
        <v>0</v>
      </c>
      <c r="X71" s="1">
        <f>VLOOKUP(A71,Products!$A$29:$F$110,6,FALSE)</f>
        <v>800</v>
      </c>
    </row>
    <row r="72" spans="1:24" s="1" customFormat="1" ht="13.15">
      <c r="A72" s="9" t="s">
        <v>14</v>
      </c>
      <c r="B72" s="8">
        <v>0</v>
      </c>
      <c r="C72" s="8">
        <v>0</v>
      </c>
      <c r="D72" s="8"/>
      <c r="E72" s="8"/>
      <c r="F72" s="8"/>
      <c r="G72" s="8"/>
      <c r="H72" s="8"/>
      <c r="I72" s="8"/>
      <c r="J72" s="8"/>
      <c r="K72" s="8"/>
      <c r="L72" s="8"/>
      <c r="M72" s="62" cm="1">
        <f t="array" ref="M72">INDEX(tblPrices[cv_2018], MATCH(tblCloudAOUnits[[#This Row],[Products]],tblPrices[Products],0), 0)* tblCloudAOUnits[[#This Row],[cv_2018]]/10^6</f>
        <v>0</v>
      </c>
      <c r="N72" s="62" cm="1">
        <f t="array" ref="N72">INDEX(tblPrices[cv_2019], MATCH(tblCloudAOUnits[[#This Row],[Products]],tblPrices[Products],0), 0)* tblCloudAOUnits[[#This Row],[cv_2019]]/10^6</f>
        <v>0</v>
      </c>
      <c r="O72" s="62" cm="1">
        <f t="array" ref="O72">INDEX(tblPrices[cv_2020], MATCH(tblCloudAOUnits[[#This Row],[Products]],tblPrices[Products],0), 0)* tblCloudAOUnits[[#This Row],[cv_2020]]/10^6</f>
        <v>0</v>
      </c>
      <c r="P72" s="62" cm="1">
        <f t="array" ref="P72">INDEX(tblPrices[cv_2021], MATCH(tblCloudAOUnits[[#This Row],[Products]],tblPrices[Products],0), 0)* tblCloudAOUnits[[#This Row],[cv_2021]]/10^6</f>
        <v>0</v>
      </c>
      <c r="Q72" s="62" cm="1">
        <f t="array" ref="Q72">INDEX(tblPrices[cv_2022], MATCH(tblCloudAOUnits[[#This Row],[Products]],tblPrices[Products],0), 0)* tblCloudAOUnits[[#This Row],[cv_2022]]/10^6</f>
        <v>0</v>
      </c>
      <c r="R72" s="62" cm="1">
        <f t="array" ref="R72">INDEX(tblPrices[cv_2023], MATCH(tblCloudAOUnits[[#This Row],[Products]],tblPrices[Products],0), 0)* tblCloudAOUnits[[#This Row],[cv_2023]]/10^6</f>
        <v>0</v>
      </c>
      <c r="S72" s="62" cm="1">
        <f t="array" ref="S72">INDEX(tblPrices[cv_2024], MATCH(tblCloudAOUnits[[#This Row],[Products]],tblPrices[Products],0), 0)* tblCloudAOUnits[[#This Row],[cv_2024]]/10^6</f>
        <v>0</v>
      </c>
      <c r="T72" s="62" cm="1">
        <f t="array" ref="T72">INDEX(tblPrices[cv_2025], MATCH(tblCloudAOUnits[[#This Row],[Products]],tblPrices[Products],0), 0)* tblCloudAOUnits[[#This Row],[cv_2025]]/10^6</f>
        <v>0</v>
      </c>
      <c r="U72" s="62" cm="1">
        <f t="array" ref="U72">INDEX(tblPrices[cv_2026], MATCH(tblCloudAOUnits[[#This Row],[Products]],tblPrices[Products],0), 0)* tblCloudAOUnits[[#This Row],[cv_2026]]/10^6</f>
        <v>0</v>
      </c>
      <c r="V72" s="62" cm="1">
        <f t="array" ref="V72">INDEX(tblPrices[cv_2027], MATCH(tblCloudAOUnits[[#This Row],[Products]],tblPrices[Products],0), 0)* tblCloudAOUnits[[#This Row],[cv_2027]]/10^6</f>
        <v>0</v>
      </c>
      <c r="W72" s="62" cm="1">
        <f t="array" ref="W72">INDEX(tblPrices[cv_2028], MATCH(tblCloudAOUnits[[#This Row],[Products]],tblPrices[Products],0), 0)* tblCloudAOUnits[[#This Row],[cv_2028]]/10^6</f>
        <v>0</v>
      </c>
      <c r="X72" s="1">
        <f>VLOOKUP(A72,Products!$A$29:$F$110,6,FALSE)</f>
        <v>800</v>
      </c>
    </row>
    <row r="73" spans="1:24">
      <c r="A73" s="9" t="s">
        <v>15</v>
      </c>
      <c r="B73" s="8">
        <v>0</v>
      </c>
      <c r="C73" s="8">
        <v>0</v>
      </c>
      <c r="D73" s="8"/>
      <c r="E73" s="8"/>
      <c r="F73" s="8"/>
      <c r="G73" s="8"/>
      <c r="H73" s="8"/>
      <c r="I73" s="8"/>
      <c r="J73" s="8"/>
      <c r="K73" s="8"/>
      <c r="L73" s="8"/>
      <c r="M73" s="62" cm="1">
        <f t="array" ref="M73">INDEX(tblPrices[cv_2018], MATCH(tblCloudAOUnits[[#This Row],[Products]],tblPrices[Products],0), 0)* tblCloudAOUnits[[#This Row],[cv_2018]]/10^6</f>
        <v>0</v>
      </c>
      <c r="N73" s="62" cm="1">
        <f t="array" ref="N73">INDEX(tblPrices[cv_2019], MATCH(tblCloudAOUnits[[#This Row],[Products]],tblPrices[Products],0), 0)* tblCloudAOUnits[[#This Row],[cv_2019]]/10^6</f>
        <v>0</v>
      </c>
      <c r="O73" s="62" cm="1">
        <f t="array" ref="O73">INDEX(tblPrices[cv_2020], MATCH(tblCloudAOUnits[[#This Row],[Products]],tblPrices[Products],0), 0)* tblCloudAOUnits[[#This Row],[cv_2020]]/10^6</f>
        <v>0</v>
      </c>
      <c r="P73" s="62" cm="1">
        <f t="array" ref="P73">INDEX(tblPrices[cv_2021], MATCH(tblCloudAOUnits[[#This Row],[Products]],tblPrices[Products],0), 0)* tblCloudAOUnits[[#This Row],[cv_2021]]/10^6</f>
        <v>0</v>
      </c>
      <c r="Q73" s="62" cm="1">
        <f t="array" ref="Q73">INDEX(tblPrices[cv_2022], MATCH(tblCloudAOUnits[[#This Row],[Products]],tblPrices[Products],0), 0)* tblCloudAOUnits[[#This Row],[cv_2022]]/10^6</f>
        <v>0</v>
      </c>
      <c r="R73" s="62" cm="1">
        <f t="array" ref="R73">INDEX(tblPrices[cv_2023], MATCH(tblCloudAOUnits[[#This Row],[Products]],tblPrices[Products],0), 0)* tblCloudAOUnits[[#This Row],[cv_2023]]/10^6</f>
        <v>0</v>
      </c>
      <c r="S73" s="62" cm="1">
        <f t="array" ref="S73">INDEX(tblPrices[cv_2024], MATCH(tblCloudAOUnits[[#This Row],[Products]],tblPrices[Products],0), 0)* tblCloudAOUnits[[#This Row],[cv_2024]]/10^6</f>
        <v>0</v>
      </c>
      <c r="T73" s="62" cm="1">
        <f t="array" ref="T73">INDEX(tblPrices[cv_2025], MATCH(tblCloudAOUnits[[#This Row],[Products]],tblPrices[Products],0), 0)* tblCloudAOUnits[[#This Row],[cv_2025]]/10^6</f>
        <v>0</v>
      </c>
      <c r="U73" s="62" cm="1">
        <f t="array" ref="U73">INDEX(tblPrices[cv_2026], MATCH(tblCloudAOUnits[[#This Row],[Products]],tblPrices[Products],0), 0)* tblCloudAOUnits[[#This Row],[cv_2026]]/10^6</f>
        <v>0</v>
      </c>
      <c r="V73" s="62" cm="1">
        <f t="array" ref="V73">INDEX(tblPrices[cv_2027], MATCH(tblCloudAOUnits[[#This Row],[Products]],tblPrices[Products],0), 0)* tblCloudAOUnits[[#This Row],[cv_2027]]/10^6</f>
        <v>0</v>
      </c>
      <c r="W73" s="62" cm="1">
        <f t="array" ref="W73">INDEX(tblPrices[cv_2028], MATCH(tblCloudAOUnits[[#This Row],[Products]],tblPrices[Products],0), 0)* tblCloudAOUnits[[#This Row],[cv_2028]]/10^6</f>
        <v>0</v>
      </c>
      <c r="X73" s="1">
        <f>VLOOKUP(A73,Products!$A$29:$F$110,6,FALSE)</f>
        <v>800</v>
      </c>
    </row>
    <row r="74" spans="1:24">
      <c r="A74" s="9" t="s">
        <v>16</v>
      </c>
      <c r="B74" s="8">
        <v>0</v>
      </c>
      <c r="C74" s="8">
        <v>0</v>
      </c>
      <c r="D74" s="8"/>
      <c r="E74" s="8"/>
      <c r="F74" s="8"/>
      <c r="G74" s="8"/>
      <c r="H74" s="8"/>
      <c r="I74" s="8"/>
      <c r="J74" s="8"/>
      <c r="K74" s="8"/>
      <c r="L74" s="8"/>
      <c r="M74" s="62" cm="1">
        <f t="array" ref="M74">INDEX(tblPrices[cv_2018], MATCH(tblCloudAOUnits[[#This Row],[Products]],tblPrices[Products],0), 0)* tblCloudAOUnits[[#This Row],[cv_2018]]/10^6</f>
        <v>0</v>
      </c>
      <c r="N74" s="62" cm="1">
        <f t="array" ref="N74">INDEX(tblPrices[cv_2019], MATCH(tblCloudAOUnits[[#This Row],[Products]],tblPrices[Products],0), 0)* tblCloudAOUnits[[#This Row],[cv_2019]]/10^6</f>
        <v>0</v>
      </c>
      <c r="O74" s="62" cm="1">
        <f t="array" ref="O74">INDEX(tblPrices[cv_2020], MATCH(tblCloudAOUnits[[#This Row],[Products]],tblPrices[Products],0), 0)* tblCloudAOUnits[[#This Row],[cv_2020]]/10^6</f>
        <v>0</v>
      </c>
      <c r="P74" s="62" cm="1">
        <f t="array" ref="P74">INDEX(tblPrices[cv_2021], MATCH(tblCloudAOUnits[[#This Row],[Products]],tblPrices[Products],0), 0)* tblCloudAOUnits[[#This Row],[cv_2021]]/10^6</f>
        <v>0</v>
      </c>
      <c r="Q74" s="62" cm="1">
        <f t="array" ref="Q74">INDEX(tblPrices[cv_2022], MATCH(tblCloudAOUnits[[#This Row],[Products]],tblPrices[Products],0), 0)* tblCloudAOUnits[[#This Row],[cv_2022]]/10^6</f>
        <v>0</v>
      </c>
      <c r="R74" s="62" cm="1">
        <f t="array" ref="R74">INDEX(tblPrices[cv_2023], MATCH(tblCloudAOUnits[[#This Row],[Products]],tblPrices[Products],0), 0)* tblCloudAOUnits[[#This Row],[cv_2023]]/10^6</f>
        <v>0</v>
      </c>
      <c r="S74" s="62" cm="1">
        <f t="array" ref="S74">INDEX(tblPrices[cv_2024], MATCH(tblCloudAOUnits[[#This Row],[Products]],tblPrices[Products],0), 0)* tblCloudAOUnits[[#This Row],[cv_2024]]/10^6</f>
        <v>0</v>
      </c>
      <c r="T74" s="62" cm="1">
        <f t="array" ref="T74">INDEX(tblPrices[cv_2025], MATCH(tblCloudAOUnits[[#This Row],[Products]],tblPrices[Products],0), 0)* tblCloudAOUnits[[#This Row],[cv_2025]]/10^6</f>
        <v>0</v>
      </c>
      <c r="U74" s="62" cm="1">
        <f t="array" ref="U74">INDEX(tblPrices[cv_2026], MATCH(tblCloudAOUnits[[#This Row],[Products]],tblPrices[Products],0), 0)* tblCloudAOUnits[[#This Row],[cv_2026]]/10^6</f>
        <v>0</v>
      </c>
      <c r="V74" s="62" cm="1">
        <f t="array" ref="V74">INDEX(tblPrices[cv_2027], MATCH(tblCloudAOUnits[[#This Row],[Products]],tblPrices[Products],0), 0)* tblCloudAOUnits[[#This Row],[cv_2027]]/10^6</f>
        <v>0</v>
      </c>
      <c r="W74" s="62" cm="1">
        <f t="array" ref="W74">INDEX(tblPrices[cv_2028], MATCH(tblCloudAOUnits[[#This Row],[Products]],tblPrices[Products],0), 0)* tblCloudAOUnits[[#This Row],[cv_2028]]/10^6</f>
        <v>0</v>
      </c>
      <c r="X74" s="1">
        <f>VLOOKUP(A74,Products!$A$29:$F$110,6,FALSE)</f>
        <v>800</v>
      </c>
    </row>
    <row r="75" spans="1:24">
      <c r="A75" s="9" t="s">
        <v>17</v>
      </c>
      <c r="B75" s="8">
        <v>0</v>
      </c>
      <c r="C75" s="8">
        <v>0</v>
      </c>
      <c r="D75" s="8"/>
      <c r="E75" s="8"/>
      <c r="F75" s="8"/>
      <c r="G75" s="8"/>
      <c r="H75" s="8"/>
      <c r="I75" s="8"/>
      <c r="J75" s="8"/>
      <c r="K75" s="8"/>
      <c r="L75" s="8"/>
      <c r="M75" s="62" cm="1">
        <f t="array" ref="M75">INDEX(tblPrices[cv_2018], MATCH(tblCloudAOUnits[[#This Row],[Products]],tblPrices[Products],0), 0)* tblCloudAOUnits[[#This Row],[cv_2018]]/10^6</f>
        <v>0</v>
      </c>
      <c r="N75" s="62" cm="1">
        <f t="array" ref="N75">INDEX(tblPrices[cv_2019], MATCH(tblCloudAOUnits[[#This Row],[Products]],tblPrices[Products],0), 0)* tblCloudAOUnits[[#This Row],[cv_2019]]/10^6</f>
        <v>0</v>
      </c>
      <c r="O75" s="62" cm="1">
        <f t="array" ref="O75">INDEX(tblPrices[cv_2020], MATCH(tblCloudAOUnits[[#This Row],[Products]],tblPrices[Products],0), 0)* tblCloudAOUnits[[#This Row],[cv_2020]]/10^6</f>
        <v>0</v>
      </c>
      <c r="P75" s="62" cm="1">
        <f t="array" ref="P75">INDEX(tblPrices[cv_2021], MATCH(tblCloudAOUnits[[#This Row],[Products]],tblPrices[Products],0), 0)* tblCloudAOUnits[[#This Row],[cv_2021]]/10^6</f>
        <v>0</v>
      </c>
      <c r="Q75" s="62" cm="1">
        <f t="array" ref="Q75">INDEX(tblPrices[cv_2022], MATCH(tblCloudAOUnits[[#This Row],[Products]],tblPrices[Products],0), 0)* tblCloudAOUnits[[#This Row],[cv_2022]]/10^6</f>
        <v>0</v>
      </c>
      <c r="R75" s="62" cm="1">
        <f t="array" ref="R75">INDEX(tblPrices[cv_2023], MATCH(tblCloudAOUnits[[#This Row],[Products]],tblPrices[Products],0), 0)* tblCloudAOUnits[[#This Row],[cv_2023]]/10^6</f>
        <v>0</v>
      </c>
      <c r="S75" s="62" cm="1">
        <f t="array" ref="S75">INDEX(tblPrices[cv_2024], MATCH(tblCloudAOUnits[[#This Row],[Products]],tblPrices[Products],0), 0)* tblCloudAOUnits[[#This Row],[cv_2024]]/10^6</f>
        <v>0</v>
      </c>
      <c r="T75" s="62" cm="1">
        <f t="array" ref="T75">INDEX(tblPrices[cv_2025], MATCH(tblCloudAOUnits[[#This Row],[Products]],tblPrices[Products],0), 0)* tblCloudAOUnits[[#This Row],[cv_2025]]/10^6</f>
        <v>0</v>
      </c>
      <c r="U75" s="62" cm="1">
        <f t="array" ref="U75">INDEX(tblPrices[cv_2026], MATCH(tblCloudAOUnits[[#This Row],[Products]],tblPrices[Products],0), 0)* tblCloudAOUnits[[#This Row],[cv_2026]]/10^6</f>
        <v>0</v>
      </c>
      <c r="V75" s="62" cm="1">
        <f t="array" ref="V75">INDEX(tblPrices[cv_2027], MATCH(tblCloudAOUnits[[#This Row],[Products]],tblPrices[Products],0), 0)* tblCloudAOUnits[[#This Row],[cv_2027]]/10^6</f>
        <v>0</v>
      </c>
      <c r="W75" s="62" cm="1">
        <f t="array" ref="W75">INDEX(tblPrices[cv_2028], MATCH(tblCloudAOUnits[[#This Row],[Products]],tblPrices[Products],0), 0)* tblCloudAOUnits[[#This Row],[cv_2028]]/10^6</f>
        <v>0</v>
      </c>
      <c r="X75" s="1">
        <f>VLOOKUP(A75,Products!$A$29:$F$110,6,FALSE)</f>
        <v>800</v>
      </c>
    </row>
    <row r="76" spans="1:24">
      <c r="A76" s="9" t="s">
        <v>18</v>
      </c>
      <c r="B76" s="8">
        <v>0</v>
      </c>
      <c r="C76" s="8">
        <v>0</v>
      </c>
      <c r="D76" s="8"/>
      <c r="E76" s="8"/>
      <c r="F76" s="8"/>
      <c r="G76" s="8"/>
      <c r="H76" s="8"/>
      <c r="I76" s="8"/>
      <c r="J76" s="8"/>
      <c r="K76" s="8"/>
      <c r="L76" s="8"/>
      <c r="M76" s="62" cm="1">
        <f t="array" ref="M76">INDEX(tblPrices[cv_2018], MATCH(tblCloudAOUnits[[#This Row],[Products]],tblPrices[Products],0), 0)* tblCloudAOUnits[[#This Row],[cv_2018]]/10^6</f>
        <v>0</v>
      </c>
      <c r="N76" s="62" cm="1">
        <f t="array" ref="N76">INDEX(tblPrices[cv_2019], MATCH(tblCloudAOUnits[[#This Row],[Products]],tblPrices[Products],0), 0)* tblCloudAOUnits[[#This Row],[cv_2019]]/10^6</f>
        <v>0</v>
      </c>
      <c r="O76" s="62" cm="1">
        <f t="array" ref="O76">INDEX(tblPrices[cv_2020], MATCH(tblCloudAOUnits[[#This Row],[Products]],tblPrices[Products],0), 0)* tblCloudAOUnits[[#This Row],[cv_2020]]/10^6</f>
        <v>0</v>
      </c>
      <c r="P76" s="62" cm="1">
        <f t="array" ref="P76">INDEX(tblPrices[cv_2021], MATCH(tblCloudAOUnits[[#This Row],[Products]],tblPrices[Products],0), 0)* tblCloudAOUnits[[#This Row],[cv_2021]]/10^6</f>
        <v>0</v>
      </c>
      <c r="Q76" s="62" cm="1">
        <f t="array" ref="Q76">INDEX(tblPrices[cv_2022], MATCH(tblCloudAOUnits[[#This Row],[Products]],tblPrices[Products],0), 0)* tblCloudAOUnits[[#This Row],[cv_2022]]/10^6</f>
        <v>0</v>
      </c>
      <c r="R76" s="62" cm="1">
        <f t="array" ref="R76">INDEX(tblPrices[cv_2023], MATCH(tblCloudAOUnits[[#This Row],[Products]],tblPrices[Products],0), 0)* tblCloudAOUnits[[#This Row],[cv_2023]]/10^6</f>
        <v>0</v>
      </c>
      <c r="S76" s="62" cm="1">
        <f t="array" ref="S76">INDEX(tblPrices[cv_2024], MATCH(tblCloudAOUnits[[#This Row],[Products]],tblPrices[Products],0), 0)* tblCloudAOUnits[[#This Row],[cv_2024]]/10^6</f>
        <v>0</v>
      </c>
      <c r="T76" s="62" cm="1">
        <f t="array" ref="T76">INDEX(tblPrices[cv_2025], MATCH(tblCloudAOUnits[[#This Row],[Products]],tblPrices[Products],0), 0)* tblCloudAOUnits[[#This Row],[cv_2025]]/10^6</f>
        <v>0</v>
      </c>
      <c r="U76" s="62" cm="1">
        <f t="array" ref="U76">INDEX(tblPrices[cv_2026], MATCH(tblCloudAOUnits[[#This Row],[Products]],tblPrices[Products],0), 0)* tblCloudAOUnits[[#This Row],[cv_2026]]/10^6</f>
        <v>0</v>
      </c>
      <c r="V76" s="62" cm="1">
        <f t="array" ref="V76">INDEX(tblPrices[cv_2027], MATCH(tblCloudAOUnits[[#This Row],[Products]],tblPrices[Products],0), 0)* tblCloudAOUnits[[#This Row],[cv_2027]]/10^6</f>
        <v>0</v>
      </c>
      <c r="W76" s="62" cm="1">
        <f t="array" ref="W76">INDEX(tblPrices[cv_2028], MATCH(tblCloudAOUnits[[#This Row],[Products]],tblPrices[Products],0), 0)* tblCloudAOUnits[[#This Row],[cv_2028]]/10^6</f>
        <v>0</v>
      </c>
      <c r="X76" s="1">
        <f>VLOOKUP(A76,Products!$A$29:$F$110,6,FALSE)</f>
        <v>1600</v>
      </c>
    </row>
    <row r="77" spans="1:24">
      <c r="A77" s="9" t="s">
        <v>19</v>
      </c>
      <c r="B77" s="8">
        <v>0</v>
      </c>
      <c r="C77" s="8">
        <v>0</v>
      </c>
      <c r="D77" s="8"/>
      <c r="E77" s="8"/>
      <c r="F77" s="8"/>
      <c r="G77" s="8"/>
      <c r="H77" s="8"/>
      <c r="I77" s="8"/>
      <c r="J77" s="8"/>
      <c r="K77" s="8"/>
      <c r="L77" s="8"/>
      <c r="M77" s="62" cm="1">
        <f t="array" ref="M77">INDEX(tblPrices[cv_2018], MATCH(tblCloudAOUnits[[#This Row],[Products]],tblPrices[Products],0), 0)* tblCloudAOUnits[[#This Row],[cv_2018]]/10^6</f>
        <v>0</v>
      </c>
      <c r="N77" s="62" cm="1">
        <f t="array" ref="N77">INDEX(tblPrices[cv_2019], MATCH(tblCloudAOUnits[[#This Row],[Products]],tblPrices[Products],0), 0)* tblCloudAOUnits[[#This Row],[cv_2019]]/10^6</f>
        <v>0</v>
      </c>
      <c r="O77" s="62" cm="1">
        <f t="array" ref="O77">INDEX(tblPrices[cv_2020], MATCH(tblCloudAOUnits[[#This Row],[Products]],tblPrices[Products],0), 0)* tblCloudAOUnits[[#This Row],[cv_2020]]/10^6</f>
        <v>0</v>
      </c>
      <c r="P77" s="62" cm="1">
        <f t="array" ref="P77">INDEX(tblPrices[cv_2021], MATCH(tblCloudAOUnits[[#This Row],[Products]],tblPrices[Products],0), 0)* tblCloudAOUnits[[#This Row],[cv_2021]]/10^6</f>
        <v>0</v>
      </c>
      <c r="Q77" s="62" cm="1">
        <f t="array" ref="Q77">INDEX(tblPrices[cv_2022], MATCH(tblCloudAOUnits[[#This Row],[Products]],tblPrices[Products],0), 0)* tblCloudAOUnits[[#This Row],[cv_2022]]/10^6</f>
        <v>0</v>
      </c>
      <c r="R77" s="62" cm="1">
        <f t="array" ref="R77">INDEX(tblPrices[cv_2023], MATCH(tblCloudAOUnits[[#This Row],[Products]],tblPrices[Products],0), 0)* tblCloudAOUnits[[#This Row],[cv_2023]]/10^6</f>
        <v>0</v>
      </c>
      <c r="S77" s="62" cm="1">
        <f t="array" ref="S77">INDEX(tblPrices[cv_2024], MATCH(tblCloudAOUnits[[#This Row],[Products]],tblPrices[Products],0), 0)* tblCloudAOUnits[[#This Row],[cv_2024]]/10^6</f>
        <v>0</v>
      </c>
      <c r="T77" s="62" cm="1">
        <f t="array" ref="T77">INDEX(tblPrices[cv_2025], MATCH(tblCloudAOUnits[[#This Row],[Products]],tblPrices[Products],0), 0)* tblCloudAOUnits[[#This Row],[cv_2025]]/10^6</f>
        <v>0</v>
      </c>
      <c r="U77" s="62" cm="1">
        <f t="array" ref="U77">INDEX(tblPrices[cv_2026], MATCH(tblCloudAOUnits[[#This Row],[Products]],tblPrices[Products],0), 0)* tblCloudAOUnits[[#This Row],[cv_2026]]/10^6</f>
        <v>0</v>
      </c>
      <c r="V77" s="62" cm="1">
        <f t="array" ref="V77">INDEX(tblPrices[cv_2027], MATCH(tblCloudAOUnits[[#This Row],[Products]],tblPrices[Products],0), 0)* tblCloudAOUnits[[#This Row],[cv_2027]]/10^6</f>
        <v>0</v>
      </c>
      <c r="W77" s="62" cm="1">
        <f t="array" ref="W77">INDEX(tblPrices[cv_2028], MATCH(tblCloudAOUnits[[#This Row],[Products]],tblPrices[Products],0), 0)* tblCloudAOUnits[[#This Row],[cv_2028]]/10^6</f>
        <v>0</v>
      </c>
      <c r="X77" s="1">
        <f>VLOOKUP(A77,Products!$A$29:$F$110,6,FALSE)</f>
        <v>1600</v>
      </c>
    </row>
    <row r="78" spans="1:24">
      <c r="A78" s="72" t="s">
        <v>20</v>
      </c>
      <c r="B78" s="73">
        <v>0</v>
      </c>
      <c r="C78" s="73">
        <v>0</v>
      </c>
      <c r="D78" s="73"/>
      <c r="E78" s="73"/>
      <c r="F78" s="73"/>
      <c r="G78" s="73"/>
      <c r="H78" s="73"/>
      <c r="I78" s="73"/>
      <c r="J78" s="73"/>
      <c r="K78" s="73"/>
      <c r="L78" s="73"/>
      <c r="M78" s="115" cm="1">
        <f t="array" ref="M78">INDEX(tblPrices[cv_2018], MATCH(tblCloudAOUnits[[#This Row],[Products]],tblPrices[Products],0), 0)* tblCloudAOUnits[[#This Row],[cv_2018]]/10^6</f>
        <v>0</v>
      </c>
      <c r="N78" s="115" cm="1">
        <f t="array" ref="N78">INDEX(tblPrices[cv_2019], MATCH(tblCloudAOUnits[[#This Row],[Products]],tblPrices[Products],0), 0)* tblCloudAOUnits[[#This Row],[cv_2019]]/10^6</f>
        <v>0</v>
      </c>
      <c r="O78" s="115" cm="1">
        <f t="array" ref="O78">INDEX(tblPrices[cv_2020], MATCH(tblCloudAOUnits[[#This Row],[Products]],tblPrices[Products],0), 0)* tblCloudAOUnits[[#This Row],[cv_2020]]/10^6</f>
        <v>0</v>
      </c>
      <c r="P78" s="115" cm="1">
        <f t="array" ref="P78">INDEX(tblPrices[cv_2021], MATCH(tblCloudAOUnits[[#This Row],[Products]],tblPrices[Products],0), 0)* tblCloudAOUnits[[#This Row],[cv_2021]]/10^6</f>
        <v>0</v>
      </c>
      <c r="Q78" s="115" cm="1">
        <f t="array" ref="Q78">INDEX(tblPrices[cv_2022], MATCH(tblCloudAOUnits[[#This Row],[Products]],tblPrices[Products],0), 0)* tblCloudAOUnits[[#This Row],[cv_2022]]/10^6</f>
        <v>0</v>
      </c>
      <c r="R78" s="115" cm="1">
        <f t="array" ref="R78">INDEX(tblPrices[cv_2023], MATCH(tblCloudAOUnits[[#This Row],[Products]],tblPrices[Products],0), 0)* tblCloudAOUnits[[#This Row],[cv_2023]]/10^6</f>
        <v>0</v>
      </c>
      <c r="S78" s="115" cm="1">
        <f t="array" ref="S78">INDEX(tblPrices[cv_2024], MATCH(tblCloudAOUnits[[#This Row],[Products]],tblPrices[Products],0), 0)* tblCloudAOUnits[[#This Row],[cv_2024]]/10^6</f>
        <v>0</v>
      </c>
      <c r="T78" s="115" cm="1">
        <f t="array" ref="T78">INDEX(tblPrices[cv_2025], MATCH(tblCloudAOUnits[[#This Row],[Products]],tblPrices[Products],0), 0)* tblCloudAOUnits[[#This Row],[cv_2025]]/10^6</f>
        <v>0</v>
      </c>
      <c r="U78" s="115" cm="1">
        <f t="array" ref="U78">INDEX(tblPrices[cv_2026], MATCH(tblCloudAOUnits[[#This Row],[Products]],tblPrices[Products],0), 0)* tblCloudAOUnits[[#This Row],[cv_2026]]/10^6</f>
        <v>0</v>
      </c>
      <c r="V78" s="115" cm="1">
        <f t="array" ref="V78">INDEX(tblPrices[cv_2027], MATCH(tblCloudAOUnits[[#This Row],[Products]],tblPrices[Products],0), 0)* tblCloudAOUnits[[#This Row],[cv_2027]]/10^6</f>
        <v>0</v>
      </c>
      <c r="W78" s="115" cm="1">
        <f t="array" ref="W78">INDEX(tblPrices[cv_2028], MATCH(tblCloudAOUnits[[#This Row],[Products]],tblPrices[Products],0), 0)* tblCloudAOUnits[[#This Row],[cv_2028]]/10^6</f>
        <v>0</v>
      </c>
      <c r="X78" s="4">
        <f>VLOOKUP(A78,Products!$A$29:$F$110,6,FALSE)</f>
        <v>1600</v>
      </c>
    </row>
    <row r="79" spans="1:24">
      <c r="A79" s="9" t="s">
        <v>21</v>
      </c>
      <c r="B79" s="8">
        <v>2679.3526499999916</v>
      </c>
      <c r="C79" s="8">
        <v>3678.5107290667584</v>
      </c>
      <c r="D79" s="8"/>
      <c r="E79" s="8"/>
      <c r="F79" s="8"/>
      <c r="G79" s="8"/>
      <c r="H79" s="8"/>
      <c r="I79" s="8"/>
      <c r="J79" s="8"/>
      <c r="K79" s="8"/>
      <c r="L79" s="8"/>
      <c r="M79" s="62" cm="1">
        <f t="array" ref="M79">INDEX(tblPrices[cv_2018], MATCH(tblCloudAOUnits[[#This Row],[Products]],tblPrices[Products],0), 0)* tblCloudAOUnits[[#This Row],[cv_2018]]/10^6</f>
        <v>1.2836087394897042</v>
      </c>
      <c r="N79" s="62" cm="1">
        <f t="array" ref="N79">INDEX(tblPrices[cv_2019], MATCH(tblCloudAOUnits[[#This Row],[Products]],tblPrices[Products],0), 0)* tblCloudAOUnits[[#This Row],[cv_2019]]/10^6</f>
        <v>1.4406182854953351</v>
      </c>
      <c r="O79" s="62" cm="1">
        <f t="array" ref="O79">INDEX(tblPrices[cv_2020], MATCH(tblCloudAOUnits[[#This Row],[Products]],tblPrices[Products],0), 0)* tblCloudAOUnits[[#This Row],[cv_2020]]/10^6</f>
        <v>0</v>
      </c>
      <c r="P79" s="62" cm="1">
        <f t="array" ref="P79">INDEX(tblPrices[cv_2021], MATCH(tblCloudAOUnits[[#This Row],[Products]],tblPrices[Products],0), 0)* tblCloudAOUnits[[#This Row],[cv_2021]]/10^6</f>
        <v>0</v>
      </c>
      <c r="Q79" s="62" cm="1">
        <f t="array" ref="Q79">INDEX(tblPrices[cv_2022], MATCH(tblCloudAOUnits[[#This Row],[Products]],tblPrices[Products],0), 0)* tblCloudAOUnits[[#This Row],[cv_2022]]/10^6</f>
        <v>0</v>
      </c>
      <c r="R79" s="62" cm="1">
        <f t="array" ref="R79">INDEX(tblPrices[cv_2023], MATCH(tblCloudAOUnits[[#This Row],[Products]],tblPrices[Products],0), 0)* tblCloudAOUnits[[#This Row],[cv_2023]]/10^6</f>
        <v>0</v>
      </c>
      <c r="S79" s="62" cm="1">
        <f t="array" ref="S79">INDEX(tblPrices[cv_2024], MATCH(tblCloudAOUnits[[#This Row],[Products]],tblPrices[Products],0), 0)* tblCloudAOUnits[[#This Row],[cv_2024]]/10^6</f>
        <v>0</v>
      </c>
      <c r="T79" s="62" cm="1">
        <f t="array" ref="T79">INDEX(tblPrices[cv_2025], MATCH(tblCloudAOUnits[[#This Row],[Products]],tblPrices[Products],0), 0)* tblCloudAOUnits[[#This Row],[cv_2025]]/10^6</f>
        <v>0</v>
      </c>
      <c r="U79" s="62" cm="1">
        <f t="array" ref="U79">INDEX(tblPrices[cv_2026], MATCH(tblCloudAOUnits[[#This Row],[Products]],tblPrices[Products],0), 0)* tblCloudAOUnits[[#This Row],[cv_2026]]/10^6</f>
        <v>0</v>
      </c>
      <c r="V79" s="62" cm="1">
        <f t="array" ref="V79">INDEX(tblPrices[cv_2027], MATCH(tblCloudAOUnits[[#This Row],[Products]],tblPrices[Products],0), 0)* tblCloudAOUnits[[#This Row],[cv_2027]]/10^6</f>
        <v>0</v>
      </c>
      <c r="W79" s="62" cm="1">
        <f t="array" ref="W79">INDEX(tblPrices[cv_2028], MATCH(tblCloudAOUnits[[#This Row],[Products]],tblPrices[Products],0), 0)* tblCloudAOUnits[[#This Row],[cv_2028]]/10^6</f>
        <v>0</v>
      </c>
      <c r="X79" s="1">
        <f>VLOOKUP(A79,Products!$A$29:$F$110,6,FALSE)</f>
        <v>10</v>
      </c>
    </row>
    <row r="80" spans="1:24">
      <c r="A80" s="9" t="s">
        <v>22</v>
      </c>
      <c r="B80" s="8">
        <v>0</v>
      </c>
      <c r="C80" s="8">
        <v>0</v>
      </c>
      <c r="D80" s="8"/>
      <c r="E80" s="8"/>
      <c r="F80" s="8"/>
      <c r="G80" s="8"/>
      <c r="H80" s="8"/>
      <c r="I80" s="8"/>
      <c r="J80" s="8"/>
      <c r="K80" s="8"/>
      <c r="L80" s="8"/>
      <c r="M80" s="62" cm="1">
        <f t="array" ref="M80">INDEX(tblPrices[cv_2018], MATCH(tblCloudAOUnits[[#This Row],[Products]],tblPrices[Products],0), 0)* tblCloudAOUnits[[#This Row],[cv_2018]]/10^6</f>
        <v>0</v>
      </c>
      <c r="N80" s="62" cm="1">
        <f t="array" ref="N80">INDEX(tblPrices[cv_2019], MATCH(tblCloudAOUnits[[#This Row],[Products]],tblPrices[Products],0), 0)* tblCloudAOUnits[[#This Row],[cv_2019]]/10^6</f>
        <v>0</v>
      </c>
      <c r="O80" s="62" cm="1">
        <f t="array" ref="O80">INDEX(tblPrices[cv_2020], MATCH(tblCloudAOUnits[[#This Row],[Products]],tblPrices[Products],0), 0)* tblCloudAOUnits[[#This Row],[cv_2020]]/10^6</f>
        <v>0</v>
      </c>
      <c r="P80" s="62" cm="1">
        <f t="array" ref="P80">INDEX(tblPrices[cv_2021], MATCH(tblCloudAOUnits[[#This Row],[Products]],tblPrices[Products],0), 0)* tblCloudAOUnits[[#This Row],[cv_2021]]/10^6</f>
        <v>0</v>
      </c>
      <c r="Q80" s="62" cm="1">
        <f t="array" ref="Q80">INDEX(tblPrices[cv_2022], MATCH(tblCloudAOUnits[[#This Row],[Products]],tblPrices[Products],0), 0)* tblCloudAOUnits[[#This Row],[cv_2022]]/10^6</f>
        <v>0</v>
      </c>
      <c r="R80" s="62" cm="1">
        <f t="array" ref="R80">INDEX(tblPrices[cv_2023], MATCH(tblCloudAOUnits[[#This Row],[Products]],tblPrices[Products],0), 0)* tblCloudAOUnits[[#This Row],[cv_2023]]/10^6</f>
        <v>0</v>
      </c>
      <c r="S80" s="62" cm="1">
        <f t="array" ref="S80">INDEX(tblPrices[cv_2024], MATCH(tblCloudAOUnits[[#This Row],[Products]],tblPrices[Products],0), 0)* tblCloudAOUnits[[#This Row],[cv_2024]]/10^6</f>
        <v>0</v>
      </c>
      <c r="T80" s="62" cm="1">
        <f t="array" ref="T80">INDEX(tblPrices[cv_2025], MATCH(tblCloudAOUnits[[#This Row],[Products]],tblPrices[Products],0), 0)* tblCloudAOUnits[[#This Row],[cv_2025]]/10^6</f>
        <v>0</v>
      </c>
      <c r="U80" s="62" cm="1">
        <f t="array" ref="U80">INDEX(tblPrices[cv_2026], MATCH(tblCloudAOUnits[[#This Row],[Products]],tblPrices[Products],0), 0)* tblCloudAOUnits[[#This Row],[cv_2026]]/10^6</f>
        <v>0</v>
      </c>
      <c r="V80" s="62" cm="1">
        <f t="array" ref="V80">INDEX(tblPrices[cv_2027], MATCH(tblCloudAOUnits[[#This Row],[Products]],tblPrices[Products],0), 0)* tblCloudAOUnits[[#This Row],[cv_2027]]/10^6</f>
        <v>0</v>
      </c>
      <c r="W80" s="62" cm="1">
        <f t="array" ref="W80">INDEX(tblPrices[cv_2028], MATCH(tblCloudAOUnits[[#This Row],[Products]],tblPrices[Products],0), 0)* tblCloudAOUnits[[#This Row],[cv_2028]]/10^6</f>
        <v>0</v>
      </c>
      <c r="X80" s="1">
        <f>VLOOKUP(A80,Products!$A$29:$F$110,6,FALSE)</f>
        <v>40</v>
      </c>
    </row>
    <row r="81" spans="1:24">
      <c r="A81" s="9" t="s">
        <v>23</v>
      </c>
      <c r="B81" s="8">
        <v>5696.6052097478932</v>
      </c>
      <c r="C81" s="8">
        <v>5299.6847999999982</v>
      </c>
      <c r="D81" s="8"/>
      <c r="E81" s="8"/>
      <c r="F81" s="8"/>
      <c r="G81" s="8"/>
      <c r="H81" s="8"/>
      <c r="I81" s="8"/>
      <c r="J81" s="8"/>
      <c r="K81" s="8"/>
      <c r="L81" s="8"/>
      <c r="M81" s="62" cm="1">
        <f t="array" ref="M81">INDEX(tblPrices[cv_2018], MATCH(tblCloudAOUnits[[#This Row],[Products]],tblPrices[Products],0), 0)* tblCloudAOUnits[[#This Row],[cv_2018]]/10^6</f>
        <v>45.572841677983142</v>
      </c>
      <c r="N81" s="62" cm="1">
        <f t="array" ref="N81">INDEX(tblPrices[cv_2019], MATCH(tblCloudAOUnits[[#This Row],[Products]],tblPrices[Products],0), 0)* tblCloudAOUnits[[#This Row],[cv_2019]]/10^6</f>
        <v>33.917982719999991</v>
      </c>
      <c r="O81" s="62" cm="1">
        <f t="array" ref="O81">INDEX(tblPrices[cv_2020], MATCH(tblCloudAOUnits[[#This Row],[Products]],tblPrices[Products],0), 0)* tblCloudAOUnits[[#This Row],[cv_2020]]/10^6</f>
        <v>0</v>
      </c>
      <c r="P81" s="62" cm="1">
        <f t="array" ref="P81">INDEX(tblPrices[cv_2021], MATCH(tblCloudAOUnits[[#This Row],[Products]],tblPrices[Products],0), 0)* tblCloudAOUnits[[#This Row],[cv_2021]]/10^6</f>
        <v>0</v>
      </c>
      <c r="Q81" s="62" cm="1">
        <f t="array" ref="Q81">INDEX(tblPrices[cv_2022], MATCH(tblCloudAOUnits[[#This Row],[Products]],tblPrices[Products],0), 0)* tblCloudAOUnits[[#This Row],[cv_2022]]/10^6</f>
        <v>0</v>
      </c>
      <c r="R81" s="62" cm="1">
        <f t="array" ref="R81">INDEX(tblPrices[cv_2023], MATCH(tblCloudAOUnits[[#This Row],[Products]],tblPrices[Products],0), 0)* tblCloudAOUnits[[#This Row],[cv_2023]]/10^6</f>
        <v>0</v>
      </c>
      <c r="S81" s="62" cm="1">
        <f t="array" ref="S81">INDEX(tblPrices[cv_2024], MATCH(tblCloudAOUnits[[#This Row],[Products]],tblPrices[Products],0), 0)* tblCloudAOUnits[[#This Row],[cv_2024]]/10^6</f>
        <v>0</v>
      </c>
      <c r="T81" s="62" cm="1">
        <f t="array" ref="T81">INDEX(tblPrices[cv_2025], MATCH(tblCloudAOUnits[[#This Row],[Products]],tblPrices[Products],0), 0)* tblCloudAOUnits[[#This Row],[cv_2025]]/10^6</f>
        <v>0</v>
      </c>
      <c r="U81" s="62" cm="1">
        <f t="array" ref="U81">INDEX(tblPrices[cv_2026], MATCH(tblCloudAOUnits[[#This Row],[Products]],tblPrices[Products],0), 0)* tblCloudAOUnits[[#This Row],[cv_2026]]/10^6</f>
        <v>0</v>
      </c>
      <c r="V81" s="62" cm="1">
        <f t="array" ref="V81">INDEX(tblPrices[cv_2027], MATCH(tblCloudAOUnits[[#This Row],[Products]],tblPrices[Products],0), 0)* tblCloudAOUnits[[#This Row],[cv_2027]]/10^6</f>
        <v>0</v>
      </c>
      <c r="W81" s="62" cm="1">
        <f t="array" ref="W81">INDEX(tblPrices[cv_2028], MATCH(tblCloudAOUnits[[#This Row],[Products]],tblPrices[Products],0), 0)* tblCloudAOUnits[[#This Row],[cv_2028]]/10^6</f>
        <v>0</v>
      </c>
      <c r="X81" s="1">
        <f>VLOOKUP(A81,Products!$A$29:$F$110,6,FALSE)</f>
        <v>100</v>
      </c>
    </row>
    <row r="82" spans="1:24">
      <c r="A82" s="9" t="s">
        <v>24</v>
      </c>
      <c r="B82" s="8">
        <v>0</v>
      </c>
      <c r="C82" s="8">
        <v>0</v>
      </c>
      <c r="D82" s="8"/>
      <c r="E82" s="8"/>
      <c r="F82" s="8"/>
      <c r="G82" s="8"/>
      <c r="H82" s="8"/>
      <c r="I82" s="8"/>
      <c r="J82" s="8"/>
      <c r="K82" s="8"/>
      <c r="L82" s="8"/>
      <c r="M82" s="62" cm="1">
        <f t="array" ref="M82">INDEX(tblPrices[cv_2018], MATCH(tblCloudAOUnits[[#This Row],[Products]],tblPrices[Products],0), 0)* tblCloudAOUnits[[#This Row],[cv_2018]]/10^6</f>
        <v>0</v>
      </c>
      <c r="N82" s="62" cm="1">
        <f t="array" ref="N82">INDEX(tblPrices[cv_2019], MATCH(tblCloudAOUnits[[#This Row],[Products]],tblPrices[Products],0), 0)* tblCloudAOUnits[[#This Row],[cv_2019]]/10^6</f>
        <v>0</v>
      </c>
      <c r="O82" s="62" cm="1">
        <f t="array" ref="O82">INDEX(tblPrices[cv_2020], MATCH(tblCloudAOUnits[[#This Row],[Products]],tblPrices[Products],0), 0)* tblCloudAOUnits[[#This Row],[cv_2020]]/10^6</f>
        <v>0</v>
      </c>
      <c r="P82" s="62" cm="1">
        <f t="array" ref="P82">INDEX(tblPrices[cv_2021], MATCH(tblCloudAOUnits[[#This Row],[Products]],tblPrices[Products],0), 0)* tblCloudAOUnits[[#This Row],[cv_2021]]/10^6</f>
        <v>0</v>
      </c>
      <c r="Q82" s="62" cm="1">
        <f t="array" ref="Q82">INDEX(tblPrices[cv_2022], MATCH(tblCloudAOUnits[[#This Row],[Products]],tblPrices[Products],0), 0)* tblCloudAOUnits[[#This Row],[cv_2022]]/10^6</f>
        <v>0</v>
      </c>
      <c r="R82" s="62" cm="1">
        <f t="array" ref="R82">INDEX(tblPrices[cv_2023], MATCH(tblCloudAOUnits[[#This Row],[Products]],tblPrices[Products],0), 0)* tblCloudAOUnits[[#This Row],[cv_2023]]/10^6</f>
        <v>0</v>
      </c>
      <c r="S82" s="62" cm="1">
        <f t="array" ref="S82">INDEX(tblPrices[cv_2024], MATCH(tblCloudAOUnits[[#This Row],[Products]],tblPrices[Products],0), 0)* tblCloudAOUnits[[#This Row],[cv_2024]]/10^6</f>
        <v>0</v>
      </c>
      <c r="T82" s="62" cm="1">
        <f t="array" ref="T82">INDEX(tblPrices[cv_2025], MATCH(tblCloudAOUnits[[#This Row],[Products]],tblPrices[Products],0), 0)* tblCloudAOUnits[[#This Row],[cv_2025]]/10^6</f>
        <v>0</v>
      </c>
      <c r="U82" s="62" cm="1">
        <f t="array" ref="U82">INDEX(tblPrices[cv_2026], MATCH(tblCloudAOUnits[[#This Row],[Products]],tblPrices[Products],0), 0)* tblCloudAOUnits[[#This Row],[cv_2026]]/10^6</f>
        <v>0</v>
      </c>
      <c r="V82" s="62" cm="1">
        <f t="array" ref="V82">INDEX(tblPrices[cv_2027], MATCH(tblCloudAOUnits[[#This Row],[Products]],tblPrices[Products],0), 0)* tblCloudAOUnits[[#This Row],[cv_2027]]/10^6</f>
        <v>0</v>
      </c>
      <c r="W82" s="62" cm="1">
        <f t="array" ref="W82">INDEX(tblPrices[cv_2028], MATCH(tblCloudAOUnits[[#This Row],[Products]],tblPrices[Products],0), 0)* tblCloudAOUnits[[#This Row],[cv_2028]]/10^6</f>
        <v>0</v>
      </c>
      <c r="X82" s="1">
        <f>VLOOKUP(A82,Products!$A$29:$F$110,6,FALSE)</f>
        <v>100</v>
      </c>
    </row>
    <row r="83" spans="1:24">
      <c r="A83" s="9" t="s">
        <v>25</v>
      </c>
      <c r="B83" s="8">
        <v>243.39533963585407</v>
      </c>
      <c r="C83" s="8">
        <v>524.65807999999788</v>
      </c>
      <c r="D83" s="8"/>
      <c r="E83" s="8"/>
      <c r="F83" s="8"/>
      <c r="G83" s="8"/>
      <c r="H83" s="8"/>
      <c r="I83" s="8"/>
      <c r="J83" s="8"/>
      <c r="K83" s="8"/>
      <c r="L83" s="8"/>
      <c r="M83" s="62" cm="1">
        <f t="array" ref="M83">INDEX(tblPrices[cv_2018], MATCH(tblCloudAOUnits[[#This Row],[Products]],tblPrices[Products],0), 0)* tblCloudAOUnits[[#This Row],[cv_2018]]/10^6</f>
        <v>1.3386743679971975</v>
      </c>
      <c r="N83" s="62" cm="1">
        <f t="array" ref="N83">INDEX(tblPrices[cv_2019], MATCH(tblCloudAOUnits[[#This Row],[Products]],tblPrices[Products],0), 0)* tblCloudAOUnits[[#This Row],[cv_2019]]/10^6</f>
        <v>2.3084955519999908</v>
      </c>
      <c r="O83" s="62" cm="1">
        <f t="array" ref="O83">INDEX(tblPrices[cv_2020], MATCH(tblCloudAOUnits[[#This Row],[Products]],tblPrices[Products],0), 0)* tblCloudAOUnits[[#This Row],[cv_2020]]/10^6</f>
        <v>0</v>
      </c>
      <c r="P83" s="62" cm="1">
        <f t="array" ref="P83">INDEX(tblPrices[cv_2021], MATCH(tblCloudAOUnits[[#This Row],[Products]],tblPrices[Products],0), 0)* tblCloudAOUnits[[#This Row],[cv_2021]]/10^6</f>
        <v>0</v>
      </c>
      <c r="Q83" s="62" cm="1">
        <f t="array" ref="Q83">INDEX(tblPrices[cv_2022], MATCH(tblCloudAOUnits[[#This Row],[Products]],tblPrices[Products],0), 0)* tblCloudAOUnits[[#This Row],[cv_2022]]/10^6</f>
        <v>0</v>
      </c>
      <c r="R83" s="62" cm="1">
        <f t="array" ref="R83">INDEX(tblPrices[cv_2023], MATCH(tblCloudAOUnits[[#This Row],[Products]],tblPrices[Products],0), 0)* tblCloudAOUnits[[#This Row],[cv_2023]]/10^6</f>
        <v>0</v>
      </c>
      <c r="S83" s="62" cm="1">
        <f t="array" ref="S83">INDEX(tblPrices[cv_2024], MATCH(tblCloudAOUnits[[#This Row],[Products]],tblPrices[Products],0), 0)* tblCloudAOUnits[[#This Row],[cv_2024]]/10^6</f>
        <v>0</v>
      </c>
      <c r="T83" s="62" cm="1">
        <f t="array" ref="T83">INDEX(tblPrices[cv_2025], MATCH(tblCloudAOUnits[[#This Row],[Products]],tblPrices[Products],0), 0)* tblCloudAOUnits[[#This Row],[cv_2025]]/10^6</f>
        <v>0</v>
      </c>
      <c r="U83" s="62" cm="1">
        <f t="array" ref="U83">INDEX(tblPrices[cv_2026], MATCH(tblCloudAOUnits[[#This Row],[Products]],tblPrices[Products],0), 0)* tblCloudAOUnits[[#This Row],[cv_2026]]/10^6</f>
        <v>0</v>
      </c>
      <c r="V83" s="62" cm="1">
        <f t="array" ref="V83">INDEX(tblPrices[cv_2027], MATCH(tblCloudAOUnits[[#This Row],[Products]],tblPrices[Products],0), 0)* tblCloudAOUnits[[#This Row],[cv_2027]]/10^6</f>
        <v>0</v>
      </c>
      <c r="W83" s="62" cm="1">
        <f t="array" ref="W83">INDEX(tblPrices[cv_2028], MATCH(tblCloudAOUnits[[#This Row],[Products]],tblPrices[Products],0), 0)* tblCloudAOUnits[[#This Row],[cv_2028]]/10^6</f>
        <v>0</v>
      </c>
      <c r="X83" s="1">
        <f>VLOOKUP(A83,Products!$A$29:$F$110,6,FALSE)</f>
        <v>100</v>
      </c>
    </row>
    <row r="84" spans="1:24">
      <c r="A84" s="9" t="s">
        <v>26</v>
      </c>
      <c r="B84" s="8">
        <v>0</v>
      </c>
      <c r="C84" s="8">
        <v>0</v>
      </c>
      <c r="D84" s="8"/>
      <c r="E84" s="8"/>
      <c r="F84" s="8"/>
      <c r="G84" s="8"/>
      <c r="H84" s="8"/>
      <c r="I84" s="8"/>
      <c r="J84" s="8"/>
      <c r="K84" s="8"/>
      <c r="L84" s="8"/>
      <c r="M84" s="62" cm="1">
        <f t="array" ref="M84">INDEX(tblPrices[cv_2018], MATCH(tblCloudAOUnits[[#This Row],[Products]],tblPrices[Products],0), 0)* tblCloudAOUnits[[#This Row],[cv_2018]]/10^6</f>
        <v>0</v>
      </c>
      <c r="N84" s="62" cm="1">
        <f t="array" ref="N84">INDEX(tblPrices[cv_2019], MATCH(tblCloudAOUnits[[#This Row],[Products]],tblPrices[Products],0), 0)* tblCloudAOUnits[[#This Row],[cv_2019]]/10^6</f>
        <v>0</v>
      </c>
      <c r="O84" s="62" cm="1">
        <f t="array" ref="O84">INDEX(tblPrices[cv_2020], MATCH(tblCloudAOUnits[[#This Row],[Products]],tblPrices[Products],0), 0)* tblCloudAOUnits[[#This Row],[cv_2020]]/10^6</f>
        <v>0</v>
      </c>
      <c r="P84" s="62" cm="1">
        <f t="array" ref="P84">INDEX(tblPrices[cv_2021], MATCH(tblCloudAOUnits[[#This Row],[Products]],tblPrices[Products],0), 0)* tblCloudAOUnits[[#This Row],[cv_2021]]/10^6</f>
        <v>0</v>
      </c>
      <c r="Q84" s="62" cm="1">
        <f t="array" ref="Q84">INDEX(tblPrices[cv_2022], MATCH(tblCloudAOUnits[[#This Row],[Products]],tblPrices[Products],0), 0)* tblCloudAOUnits[[#This Row],[cv_2022]]/10^6</f>
        <v>0</v>
      </c>
      <c r="R84" s="62" cm="1">
        <f t="array" ref="R84">INDEX(tblPrices[cv_2023], MATCH(tblCloudAOUnits[[#This Row],[Products]],tblPrices[Products],0), 0)* tblCloudAOUnits[[#This Row],[cv_2023]]/10^6</f>
        <v>0</v>
      </c>
      <c r="S84" s="62" cm="1">
        <f t="array" ref="S84">INDEX(tblPrices[cv_2024], MATCH(tblCloudAOUnits[[#This Row],[Products]],tblPrices[Products],0), 0)* tblCloudAOUnits[[#This Row],[cv_2024]]/10^6</f>
        <v>0</v>
      </c>
      <c r="T84" s="62" cm="1">
        <f t="array" ref="T84">INDEX(tblPrices[cv_2025], MATCH(tblCloudAOUnits[[#This Row],[Products]],tblPrices[Products],0), 0)* tblCloudAOUnits[[#This Row],[cv_2025]]/10^6</f>
        <v>0</v>
      </c>
      <c r="U84" s="62" cm="1">
        <f t="array" ref="U84">INDEX(tblPrices[cv_2026], MATCH(tblCloudAOUnits[[#This Row],[Products]],tblPrices[Products],0), 0)* tblCloudAOUnits[[#This Row],[cv_2026]]/10^6</f>
        <v>0</v>
      </c>
      <c r="V84" s="62" cm="1">
        <f t="array" ref="V84">INDEX(tblPrices[cv_2027], MATCH(tblCloudAOUnits[[#This Row],[Products]],tblPrices[Products],0), 0)* tblCloudAOUnits[[#This Row],[cv_2027]]/10^6</f>
        <v>0</v>
      </c>
      <c r="W84" s="62" cm="1">
        <f t="array" ref="W84">INDEX(tblPrices[cv_2028], MATCH(tblCloudAOUnits[[#This Row],[Products]],tblPrices[Products],0), 0)* tblCloudAOUnits[[#This Row],[cv_2028]]/10^6</f>
        <v>0</v>
      </c>
      <c r="X84" s="1">
        <f>VLOOKUP(A84,Products!$A$29:$F$110,6,FALSE)</f>
        <v>100</v>
      </c>
    </row>
    <row r="85" spans="1:24">
      <c r="A85" s="9" t="s">
        <v>27</v>
      </c>
      <c r="B85" s="8"/>
      <c r="C85" s="8"/>
      <c r="D85" s="8"/>
      <c r="E85" s="8"/>
      <c r="F85" s="8"/>
      <c r="G85" s="8"/>
      <c r="H85" s="8"/>
      <c r="I85" s="8"/>
      <c r="J85" s="8"/>
      <c r="K85" s="8"/>
      <c r="L85" s="8"/>
      <c r="M85" s="62" cm="1">
        <f t="array" ref="M85">INDEX(tblPrices[cv_2018], MATCH(tblCloudAOUnits[[#This Row],[Products]],tblPrices[Products],0), 0)* tblCloudAOUnits[[#This Row],[cv_2018]]/10^6</f>
        <v>0</v>
      </c>
      <c r="N85" s="62" cm="1">
        <f t="array" ref="N85">INDEX(tblPrices[cv_2019], MATCH(tblCloudAOUnits[[#This Row],[Products]],tblPrices[Products],0), 0)* tblCloudAOUnits[[#This Row],[cv_2019]]/10^6</f>
        <v>0</v>
      </c>
      <c r="O85" s="62" cm="1">
        <f t="array" ref="O85">INDEX(tblPrices[cv_2020], MATCH(tblCloudAOUnits[[#This Row],[Products]],tblPrices[Products],0), 0)* tblCloudAOUnits[[#This Row],[cv_2020]]/10^6</f>
        <v>0</v>
      </c>
      <c r="P85" s="62" cm="1">
        <f t="array" ref="P85">INDEX(tblPrices[cv_2021], MATCH(tblCloudAOUnits[[#This Row],[Products]],tblPrices[Products],0), 0)* tblCloudAOUnits[[#This Row],[cv_2021]]/10^6</f>
        <v>0</v>
      </c>
      <c r="Q85" s="62" cm="1">
        <f t="array" ref="Q85">INDEX(tblPrices[cv_2022], MATCH(tblCloudAOUnits[[#This Row],[Products]],tblPrices[Products],0), 0)* tblCloudAOUnits[[#This Row],[cv_2022]]/10^6</f>
        <v>0</v>
      </c>
      <c r="R85" s="62" cm="1">
        <f t="array" ref="R85">INDEX(tblPrices[cv_2023], MATCH(tblCloudAOUnits[[#This Row],[Products]],tblPrices[Products],0), 0)* tblCloudAOUnits[[#This Row],[cv_2023]]/10^6</f>
        <v>0</v>
      </c>
      <c r="S85" s="62" cm="1">
        <f t="array" ref="S85">INDEX(tblPrices[cv_2024], MATCH(tblCloudAOUnits[[#This Row],[Products]],tblPrices[Products],0), 0)* tblCloudAOUnits[[#This Row],[cv_2024]]/10^6</f>
        <v>0</v>
      </c>
      <c r="T85" s="62" cm="1">
        <f t="array" ref="T85">INDEX(tblPrices[cv_2025], MATCH(tblCloudAOUnits[[#This Row],[Products]],tblPrices[Products],0), 0)* tblCloudAOUnits[[#This Row],[cv_2025]]/10^6</f>
        <v>0</v>
      </c>
      <c r="U85" s="62" cm="1">
        <f t="array" ref="U85">INDEX(tblPrices[cv_2026], MATCH(tblCloudAOUnits[[#This Row],[Products]],tblPrices[Products],0), 0)* tblCloudAOUnits[[#This Row],[cv_2026]]/10^6</f>
        <v>0</v>
      </c>
      <c r="V85" s="62" cm="1">
        <f t="array" ref="V85">INDEX(tblPrices[cv_2027], MATCH(tblCloudAOUnits[[#This Row],[Products]],tblPrices[Products],0), 0)* tblCloudAOUnits[[#This Row],[cv_2027]]/10^6</f>
        <v>0</v>
      </c>
      <c r="W85" s="62" cm="1">
        <f t="array" ref="W85">INDEX(tblPrices[cv_2028], MATCH(tblCloudAOUnits[[#This Row],[Products]],tblPrices[Products],0), 0)* tblCloudAOUnits[[#This Row],[cv_2028]]/10^6</f>
        <v>0</v>
      </c>
      <c r="X85" s="1">
        <f>VLOOKUP(A85,Products!$A$29:$F$110,6,FALSE)</f>
        <v>100</v>
      </c>
    </row>
    <row r="86" spans="1:24">
      <c r="A86" s="9" t="s">
        <v>28</v>
      </c>
      <c r="B86" s="8">
        <v>1167.6344262295097</v>
      </c>
      <c r="C86" s="8">
        <v>2569.5954000000038</v>
      </c>
      <c r="D86" s="8"/>
      <c r="E86" s="8"/>
      <c r="F86" s="8"/>
      <c r="G86" s="8"/>
      <c r="H86" s="8"/>
      <c r="I86" s="8"/>
      <c r="J86" s="8"/>
      <c r="K86" s="8"/>
      <c r="L86" s="8"/>
      <c r="M86" s="62" cm="1">
        <f t="array" ref="M86">INDEX(tblPrices[cv_2018], MATCH(tblCloudAOUnits[[#This Row],[Products]],tblPrices[Products],0), 0)* tblCloudAOUnits[[#This Row],[cv_2018]]/10^6</f>
        <v>10.19026408345754</v>
      </c>
      <c r="N86" s="62" cm="1">
        <f t="array" ref="N86">INDEX(tblPrices[cv_2019], MATCH(tblCloudAOUnits[[#This Row],[Products]],tblPrices[Products],0), 0)* tblCloudAOUnits[[#This Row],[cv_2019]]/10^6</f>
        <v>17.940447883636388</v>
      </c>
      <c r="O86" s="62" cm="1">
        <f t="array" ref="O86">INDEX(tblPrices[cv_2020], MATCH(tblCloudAOUnits[[#This Row],[Products]],tblPrices[Products],0), 0)* tblCloudAOUnits[[#This Row],[cv_2020]]/10^6</f>
        <v>0</v>
      </c>
      <c r="P86" s="62" cm="1">
        <f t="array" ref="P86">INDEX(tblPrices[cv_2021], MATCH(tblCloudAOUnits[[#This Row],[Products]],tblPrices[Products],0), 0)* tblCloudAOUnits[[#This Row],[cv_2021]]/10^6</f>
        <v>0</v>
      </c>
      <c r="Q86" s="62" cm="1">
        <f t="array" ref="Q86">INDEX(tblPrices[cv_2022], MATCH(tblCloudAOUnits[[#This Row],[Products]],tblPrices[Products],0), 0)* tblCloudAOUnits[[#This Row],[cv_2022]]/10^6</f>
        <v>0</v>
      </c>
      <c r="R86" s="62" cm="1">
        <f t="array" ref="R86">INDEX(tblPrices[cv_2023], MATCH(tblCloudAOUnits[[#This Row],[Products]],tblPrices[Products],0), 0)* tblCloudAOUnits[[#This Row],[cv_2023]]/10^6</f>
        <v>0</v>
      </c>
      <c r="S86" s="62" cm="1">
        <f t="array" ref="S86">INDEX(tblPrices[cv_2024], MATCH(tblCloudAOUnits[[#This Row],[Products]],tblPrices[Products],0), 0)* tblCloudAOUnits[[#This Row],[cv_2024]]/10^6</f>
        <v>0</v>
      </c>
      <c r="T86" s="62" cm="1">
        <f t="array" ref="T86">INDEX(tblPrices[cv_2025], MATCH(tblCloudAOUnits[[#This Row],[Products]],tblPrices[Products],0), 0)* tblCloudAOUnits[[#This Row],[cv_2025]]/10^6</f>
        <v>0</v>
      </c>
      <c r="U86" s="62" cm="1">
        <f t="array" ref="U86">INDEX(tblPrices[cv_2026], MATCH(tblCloudAOUnits[[#This Row],[Products]],tblPrices[Products],0), 0)* tblCloudAOUnits[[#This Row],[cv_2026]]/10^6</f>
        <v>0</v>
      </c>
      <c r="V86" s="62" cm="1">
        <f t="array" ref="V86">INDEX(tblPrices[cv_2027], MATCH(tblCloudAOUnits[[#This Row],[Products]],tblPrices[Products],0), 0)* tblCloudAOUnits[[#This Row],[cv_2027]]/10^6</f>
        <v>0</v>
      </c>
      <c r="W86" s="62" cm="1">
        <f t="array" ref="W86">INDEX(tblPrices[cv_2028], MATCH(tblCloudAOUnits[[#This Row],[Products]],tblPrices[Products],0), 0)* tblCloudAOUnits[[#This Row],[cv_2028]]/10^6</f>
        <v>0</v>
      </c>
      <c r="X86" s="1">
        <f>VLOOKUP(A86,Products!$A$29:$F$110,6,FALSE)</f>
        <v>200</v>
      </c>
    </row>
    <row r="87" spans="1:24">
      <c r="A87" s="9" t="s">
        <v>29</v>
      </c>
      <c r="B87" s="8">
        <v>453.61475409836117</v>
      </c>
      <c r="C87" s="8">
        <v>2057.5920000000028</v>
      </c>
      <c r="D87" s="8"/>
      <c r="E87" s="8"/>
      <c r="F87" s="8"/>
      <c r="G87" s="8"/>
      <c r="H87" s="8"/>
      <c r="I87" s="8"/>
      <c r="J87" s="8"/>
      <c r="K87" s="8"/>
      <c r="L87" s="8"/>
      <c r="M87" s="62" cm="1">
        <f t="array" ref="M87">INDEX(tblPrices[cv_2018], MATCH(tblCloudAOUnits[[#This Row],[Products]],tblPrices[Products],0), 0)* tblCloudAOUnits[[#This Row],[cv_2018]]/10^6</f>
        <v>2.7216885245901672</v>
      </c>
      <c r="N87" s="62" cm="1">
        <f t="array" ref="N87">INDEX(tblPrices[cv_2019], MATCH(tblCloudAOUnits[[#This Row],[Products]],tblPrices[Products],0), 0)* tblCloudAOUnits[[#This Row],[cv_2019]]/10^6</f>
        <v>9.8764416000000121</v>
      </c>
      <c r="O87" s="62" cm="1">
        <f t="array" ref="O87">INDEX(tblPrices[cv_2020], MATCH(tblCloudAOUnits[[#This Row],[Products]],tblPrices[Products],0), 0)* tblCloudAOUnits[[#This Row],[cv_2020]]/10^6</f>
        <v>0</v>
      </c>
      <c r="P87" s="62" cm="1">
        <f t="array" ref="P87">INDEX(tblPrices[cv_2021], MATCH(tblCloudAOUnits[[#This Row],[Products]],tblPrices[Products],0), 0)* tblCloudAOUnits[[#This Row],[cv_2021]]/10^6</f>
        <v>0</v>
      </c>
      <c r="Q87" s="62" cm="1">
        <f t="array" ref="Q87">INDEX(tblPrices[cv_2022], MATCH(tblCloudAOUnits[[#This Row],[Products]],tblPrices[Products],0), 0)* tblCloudAOUnits[[#This Row],[cv_2022]]/10^6</f>
        <v>0</v>
      </c>
      <c r="R87" s="62" cm="1">
        <f t="array" ref="R87">INDEX(tblPrices[cv_2023], MATCH(tblCloudAOUnits[[#This Row],[Products]],tblPrices[Products],0), 0)* tblCloudAOUnits[[#This Row],[cv_2023]]/10^6</f>
        <v>0</v>
      </c>
      <c r="S87" s="62" cm="1">
        <f t="array" ref="S87">INDEX(tblPrices[cv_2024], MATCH(tblCloudAOUnits[[#This Row],[Products]],tblPrices[Products],0), 0)* tblCloudAOUnits[[#This Row],[cv_2024]]/10^6</f>
        <v>0</v>
      </c>
      <c r="T87" s="62" cm="1">
        <f t="array" ref="T87">INDEX(tblPrices[cv_2025], MATCH(tblCloudAOUnits[[#This Row],[Products]],tblPrices[Products],0), 0)* tblCloudAOUnits[[#This Row],[cv_2025]]/10^6</f>
        <v>0</v>
      </c>
      <c r="U87" s="62" cm="1">
        <f t="array" ref="U87">INDEX(tblPrices[cv_2026], MATCH(tblCloudAOUnits[[#This Row],[Products]],tblPrices[Products],0), 0)* tblCloudAOUnits[[#This Row],[cv_2026]]/10^6</f>
        <v>0</v>
      </c>
      <c r="V87" s="62" cm="1">
        <f t="array" ref="V87">INDEX(tblPrices[cv_2027], MATCH(tblCloudAOUnits[[#This Row],[Products]],tblPrices[Products],0), 0)* tblCloudAOUnits[[#This Row],[cv_2027]]/10^6</f>
        <v>0</v>
      </c>
      <c r="W87" s="62" cm="1">
        <f t="array" ref="W87">INDEX(tblPrices[cv_2028], MATCH(tblCloudAOUnits[[#This Row],[Products]],tblPrices[Products],0), 0)* tblCloudAOUnits[[#This Row],[cv_2028]]/10^6</f>
        <v>0</v>
      </c>
      <c r="X87" s="1">
        <f>VLOOKUP(A87,Products!$A$29:$F$110,6,FALSE)</f>
        <v>200</v>
      </c>
    </row>
    <row r="88" spans="1:24">
      <c r="A88" s="9" t="s">
        <v>30</v>
      </c>
      <c r="B88" s="8"/>
      <c r="C88" s="8"/>
      <c r="D88" s="8"/>
      <c r="E88" s="8"/>
      <c r="F88" s="8"/>
      <c r="G88" s="8"/>
      <c r="H88" s="8"/>
      <c r="I88" s="8"/>
      <c r="J88" s="8"/>
      <c r="K88" s="8"/>
      <c r="L88" s="8"/>
      <c r="M88" s="62" cm="1">
        <f t="array" ref="M88">INDEX(tblPrices[cv_2018], MATCH(tblCloudAOUnits[[#This Row],[Products]],tblPrices[Products],0), 0)* tblCloudAOUnits[[#This Row],[cv_2018]]/10^6</f>
        <v>0</v>
      </c>
      <c r="N88" s="62" cm="1">
        <f t="array" ref="N88">INDEX(tblPrices[cv_2019], MATCH(tblCloudAOUnits[[#This Row],[Products]],tblPrices[Products],0), 0)* tblCloudAOUnits[[#This Row],[cv_2019]]/10^6</f>
        <v>0</v>
      </c>
      <c r="O88" s="62" cm="1">
        <f t="array" ref="O88">INDEX(tblPrices[cv_2020], MATCH(tblCloudAOUnits[[#This Row],[Products]],tblPrices[Products],0), 0)* tblCloudAOUnits[[#This Row],[cv_2020]]/10^6</f>
        <v>0</v>
      </c>
      <c r="P88" s="62" cm="1">
        <f t="array" ref="P88">INDEX(tblPrices[cv_2021], MATCH(tblCloudAOUnits[[#This Row],[Products]],tblPrices[Products],0), 0)* tblCloudAOUnits[[#This Row],[cv_2021]]/10^6</f>
        <v>0</v>
      </c>
      <c r="Q88" s="62" cm="1">
        <f t="array" ref="Q88">INDEX(tblPrices[cv_2022], MATCH(tblCloudAOUnits[[#This Row],[Products]],tblPrices[Products],0), 0)* tblCloudAOUnits[[#This Row],[cv_2022]]/10^6</f>
        <v>0</v>
      </c>
      <c r="R88" s="62" cm="1">
        <f t="array" ref="R88">INDEX(tblPrices[cv_2023], MATCH(tblCloudAOUnits[[#This Row],[Products]],tblPrices[Products],0), 0)* tblCloudAOUnits[[#This Row],[cv_2023]]/10^6</f>
        <v>0</v>
      </c>
      <c r="S88" s="62" cm="1">
        <f t="array" ref="S88">INDEX(tblPrices[cv_2024], MATCH(tblCloudAOUnits[[#This Row],[Products]],tblPrices[Products],0), 0)* tblCloudAOUnits[[#This Row],[cv_2024]]/10^6</f>
        <v>0</v>
      </c>
      <c r="T88" s="62" cm="1">
        <f t="array" ref="T88">INDEX(tblPrices[cv_2025], MATCH(tblCloudAOUnits[[#This Row],[Products]],tblPrices[Products],0), 0)* tblCloudAOUnits[[#This Row],[cv_2025]]/10^6</f>
        <v>0</v>
      </c>
      <c r="U88" s="62" cm="1">
        <f t="array" ref="U88">INDEX(tblPrices[cv_2026], MATCH(tblCloudAOUnits[[#This Row],[Products]],tblPrices[Products],0), 0)* tblCloudAOUnits[[#This Row],[cv_2026]]/10^6</f>
        <v>0</v>
      </c>
      <c r="V88" s="62" cm="1">
        <f t="array" ref="V88">INDEX(tblPrices[cv_2027], MATCH(tblCloudAOUnits[[#This Row],[Products]],tblPrices[Products],0), 0)* tblCloudAOUnits[[#This Row],[cv_2027]]/10^6</f>
        <v>0</v>
      </c>
      <c r="W88" s="62" cm="1">
        <f t="array" ref="W88">INDEX(tblPrices[cv_2028], MATCH(tblCloudAOUnits[[#This Row],[Products]],tblPrices[Products],0), 0)* tblCloudAOUnits[[#This Row],[cv_2028]]/10^6</f>
        <v>0</v>
      </c>
      <c r="X88" s="1">
        <f>VLOOKUP(A88,Products!$A$29:$F$110,6,FALSE)</f>
        <v>200</v>
      </c>
    </row>
    <row r="89" spans="1:24">
      <c r="A89" s="9" t="s">
        <v>31</v>
      </c>
      <c r="B89" s="8">
        <v>0</v>
      </c>
      <c r="C89" s="8">
        <v>0</v>
      </c>
      <c r="D89" s="8"/>
      <c r="E89" s="8"/>
      <c r="F89" s="8"/>
      <c r="G89" s="8"/>
      <c r="H89" s="8"/>
      <c r="I89" s="8"/>
      <c r="J89" s="8"/>
      <c r="K89" s="8"/>
      <c r="L89" s="8"/>
      <c r="M89" s="62" cm="1">
        <f t="array" ref="M89">INDEX(tblPrices[cv_2018], MATCH(tblCloudAOUnits[[#This Row],[Products]],tblPrices[Products],0), 0)* tblCloudAOUnits[[#This Row],[cv_2018]]/10^6</f>
        <v>0</v>
      </c>
      <c r="N89" s="62" cm="1">
        <f t="array" ref="N89">INDEX(tblPrices[cv_2019], MATCH(tblCloudAOUnits[[#This Row],[Products]],tblPrices[Products],0), 0)* tblCloudAOUnits[[#This Row],[cv_2019]]/10^6</f>
        <v>0</v>
      </c>
      <c r="O89" s="62" cm="1">
        <f t="array" ref="O89">INDEX(tblPrices[cv_2020], MATCH(tblCloudAOUnits[[#This Row],[Products]],tblPrices[Products],0), 0)* tblCloudAOUnits[[#This Row],[cv_2020]]/10^6</f>
        <v>0</v>
      </c>
      <c r="P89" s="62" cm="1">
        <f t="array" ref="P89">INDEX(tblPrices[cv_2021], MATCH(tblCloudAOUnits[[#This Row],[Products]],tblPrices[Products],0), 0)* tblCloudAOUnits[[#This Row],[cv_2021]]/10^6</f>
        <v>0</v>
      </c>
      <c r="Q89" s="62" cm="1">
        <f t="array" ref="Q89">INDEX(tblPrices[cv_2022], MATCH(tblCloudAOUnits[[#This Row],[Products]],tblPrices[Products],0), 0)* tblCloudAOUnits[[#This Row],[cv_2022]]/10^6</f>
        <v>0</v>
      </c>
      <c r="R89" s="62" cm="1">
        <f t="array" ref="R89">INDEX(tblPrices[cv_2023], MATCH(tblCloudAOUnits[[#This Row],[Products]],tblPrices[Products],0), 0)* tblCloudAOUnits[[#This Row],[cv_2023]]/10^6</f>
        <v>0</v>
      </c>
      <c r="S89" s="62" cm="1">
        <f t="array" ref="S89">INDEX(tblPrices[cv_2024], MATCH(tblCloudAOUnits[[#This Row],[Products]],tblPrices[Products],0), 0)* tblCloudAOUnits[[#This Row],[cv_2024]]/10^6</f>
        <v>0</v>
      </c>
      <c r="T89" s="62" cm="1">
        <f t="array" ref="T89">INDEX(tblPrices[cv_2025], MATCH(tblCloudAOUnits[[#This Row],[Products]],tblPrices[Products],0), 0)* tblCloudAOUnits[[#This Row],[cv_2025]]/10^6</f>
        <v>0</v>
      </c>
      <c r="U89" s="62" cm="1">
        <f t="array" ref="U89">INDEX(tblPrices[cv_2026], MATCH(tblCloudAOUnits[[#This Row],[Products]],tblPrices[Products],0), 0)* tblCloudAOUnits[[#This Row],[cv_2026]]/10^6</f>
        <v>0</v>
      </c>
      <c r="V89" s="62" cm="1">
        <f t="array" ref="V89">INDEX(tblPrices[cv_2027], MATCH(tblCloudAOUnits[[#This Row],[Products]],tblPrices[Products],0), 0)* tblCloudAOUnits[[#This Row],[cv_2027]]/10^6</f>
        <v>0</v>
      </c>
      <c r="W89" s="62" cm="1">
        <f t="array" ref="W89">INDEX(tblPrices[cv_2028], MATCH(tblCloudAOUnits[[#This Row],[Products]],tblPrices[Products],0), 0)* tblCloudAOUnits[[#This Row],[cv_2028]]/10^6</f>
        <v>0</v>
      </c>
      <c r="X89" s="1">
        <f>VLOOKUP(A89,Products!$A$29:$F$110,6,FALSE)</f>
        <v>400</v>
      </c>
    </row>
    <row r="90" spans="1:24">
      <c r="A90" s="9" t="s">
        <v>32</v>
      </c>
      <c r="B90" s="8">
        <v>0</v>
      </c>
      <c r="C90" s="8">
        <v>0</v>
      </c>
      <c r="D90" s="8"/>
      <c r="E90" s="8"/>
      <c r="F90" s="8"/>
      <c r="G90" s="8"/>
      <c r="H90" s="8"/>
      <c r="I90" s="8"/>
      <c r="J90" s="8"/>
      <c r="K90" s="8"/>
      <c r="L90" s="8"/>
      <c r="M90" s="62" cm="1">
        <f t="array" ref="M90">INDEX(tblPrices[cv_2018], MATCH(tblCloudAOUnits[[#This Row],[Products]],tblPrices[Products],0), 0)* tblCloudAOUnits[[#This Row],[cv_2018]]/10^6</f>
        <v>0</v>
      </c>
      <c r="N90" s="62" cm="1">
        <f t="array" ref="N90">INDEX(tblPrices[cv_2019], MATCH(tblCloudAOUnits[[#This Row],[Products]],tblPrices[Products],0), 0)* tblCloudAOUnits[[#This Row],[cv_2019]]/10^6</f>
        <v>0</v>
      </c>
      <c r="O90" s="62" cm="1">
        <f t="array" ref="O90">INDEX(tblPrices[cv_2020], MATCH(tblCloudAOUnits[[#This Row],[Products]],tblPrices[Products],0), 0)* tblCloudAOUnits[[#This Row],[cv_2020]]/10^6</f>
        <v>0</v>
      </c>
      <c r="P90" s="62" cm="1">
        <f t="array" ref="P90">INDEX(tblPrices[cv_2021], MATCH(tblCloudAOUnits[[#This Row],[Products]],tblPrices[Products],0), 0)* tblCloudAOUnits[[#This Row],[cv_2021]]/10^6</f>
        <v>0</v>
      </c>
      <c r="Q90" s="62" cm="1">
        <f t="array" ref="Q90">INDEX(tblPrices[cv_2022], MATCH(tblCloudAOUnits[[#This Row],[Products]],tblPrices[Products],0), 0)* tblCloudAOUnits[[#This Row],[cv_2022]]/10^6</f>
        <v>0</v>
      </c>
      <c r="R90" s="62" cm="1">
        <f t="array" ref="R90">INDEX(tblPrices[cv_2023], MATCH(tblCloudAOUnits[[#This Row],[Products]],tblPrices[Products],0), 0)* tblCloudAOUnits[[#This Row],[cv_2023]]/10^6</f>
        <v>0</v>
      </c>
      <c r="S90" s="62" cm="1">
        <f t="array" ref="S90">INDEX(tblPrices[cv_2024], MATCH(tblCloudAOUnits[[#This Row],[Products]],tblPrices[Products],0), 0)* tblCloudAOUnits[[#This Row],[cv_2024]]/10^6</f>
        <v>0</v>
      </c>
      <c r="T90" s="62" cm="1">
        <f t="array" ref="T90">INDEX(tblPrices[cv_2025], MATCH(tblCloudAOUnits[[#This Row],[Products]],tblPrices[Products],0), 0)* tblCloudAOUnits[[#This Row],[cv_2025]]/10^6</f>
        <v>0</v>
      </c>
      <c r="U90" s="62" cm="1">
        <f t="array" ref="U90">INDEX(tblPrices[cv_2026], MATCH(tblCloudAOUnits[[#This Row],[Products]],tblPrices[Products],0), 0)* tblCloudAOUnits[[#This Row],[cv_2026]]/10^6</f>
        <v>0</v>
      </c>
      <c r="V90" s="62" cm="1">
        <f t="array" ref="V90">INDEX(tblPrices[cv_2027], MATCH(tblCloudAOUnits[[#This Row],[Products]],tblPrices[Products],0), 0)* tblCloudAOUnits[[#This Row],[cv_2027]]/10^6</f>
        <v>0</v>
      </c>
      <c r="W90" s="62" cm="1">
        <f t="array" ref="W90">INDEX(tblPrices[cv_2028], MATCH(tblCloudAOUnits[[#This Row],[Products]],tblPrices[Products],0), 0)* tblCloudAOUnits[[#This Row],[cv_2028]]/10^6</f>
        <v>0</v>
      </c>
      <c r="X90" s="1">
        <f>VLOOKUP(A90,Products!$A$29:$F$110,6,FALSE)</f>
        <v>400</v>
      </c>
    </row>
    <row r="91" spans="1:24">
      <c r="A91" s="9" t="s">
        <v>33</v>
      </c>
      <c r="B91" s="8">
        <v>0</v>
      </c>
      <c r="C91" s="8">
        <v>0</v>
      </c>
      <c r="D91" s="8"/>
      <c r="E91" s="8"/>
      <c r="F91" s="8"/>
      <c r="G91" s="8"/>
      <c r="H91" s="8"/>
      <c r="I91" s="8"/>
      <c r="J91" s="8"/>
      <c r="K91" s="8"/>
      <c r="L91" s="8"/>
      <c r="M91" s="62" cm="1">
        <f t="array" ref="M91">INDEX(tblPrices[cv_2018], MATCH(tblCloudAOUnits[[#This Row],[Products]],tblPrices[Products],0), 0)* tblCloudAOUnits[[#This Row],[cv_2018]]/10^6</f>
        <v>0</v>
      </c>
      <c r="N91" s="62" cm="1">
        <f t="array" ref="N91">INDEX(tblPrices[cv_2019], MATCH(tblCloudAOUnits[[#This Row],[Products]],tblPrices[Products],0), 0)* tblCloudAOUnits[[#This Row],[cv_2019]]/10^6</f>
        <v>0</v>
      </c>
      <c r="O91" s="62" cm="1">
        <f t="array" ref="O91">INDEX(tblPrices[cv_2020], MATCH(tblCloudAOUnits[[#This Row],[Products]],tblPrices[Products],0), 0)* tblCloudAOUnits[[#This Row],[cv_2020]]/10^6</f>
        <v>0</v>
      </c>
      <c r="P91" s="62" cm="1">
        <f t="array" ref="P91">INDEX(tblPrices[cv_2021], MATCH(tblCloudAOUnits[[#This Row],[Products]],tblPrices[Products],0), 0)* tblCloudAOUnits[[#This Row],[cv_2021]]/10^6</f>
        <v>0</v>
      </c>
      <c r="Q91" s="62" cm="1">
        <f t="array" ref="Q91">INDEX(tblPrices[cv_2022], MATCH(tblCloudAOUnits[[#This Row],[Products]],tblPrices[Products],0), 0)* tblCloudAOUnits[[#This Row],[cv_2022]]/10^6</f>
        <v>0</v>
      </c>
      <c r="R91" s="62" cm="1">
        <f t="array" ref="R91">INDEX(tblPrices[cv_2023], MATCH(tblCloudAOUnits[[#This Row],[Products]],tblPrices[Products],0), 0)* tblCloudAOUnits[[#This Row],[cv_2023]]/10^6</f>
        <v>0</v>
      </c>
      <c r="S91" s="62" cm="1">
        <f t="array" ref="S91">INDEX(tblPrices[cv_2024], MATCH(tblCloudAOUnits[[#This Row],[Products]],tblPrices[Products],0), 0)* tblCloudAOUnits[[#This Row],[cv_2024]]/10^6</f>
        <v>0</v>
      </c>
      <c r="T91" s="62" cm="1">
        <f t="array" ref="T91">INDEX(tblPrices[cv_2025], MATCH(tblCloudAOUnits[[#This Row],[Products]],tblPrices[Products],0), 0)* tblCloudAOUnits[[#This Row],[cv_2025]]/10^6</f>
        <v>0</v>
      </c>
      <c r="U91" s="62" cm="1">
        <f t="array" ref="U91">INDEX(tblPrices[cv_2026], MATCH(tblCloudAOUnits[[#This Row],[Products]],tblPrices[Products],0), 0)* tblCloudAOUnits[[#This Row],[cv_2026]]/10^6</f>
        <v>0</v>
      </c>
      <c r="V91" s="62" cm="1">
        <f t="array" ref="V91">INDEX(tblPrices[cv_2027], MATCH(tblCloudAOUnits[[#This Row],[Products]],tblPrices[Products],0), 0)* tblCloudAOUnits[[#This Row],[cv_2027]]/10^6</f>
        <v>0</v>
      </c>
      <c r="W91" s="62" cm="1">
        <f t="array" ref="W91">INDEX(tblPrices[cv_2028], MATCH(tblCloudAOUnits[[#This Row],[Products]],tblPrices[Products],0), 0)* tblCloudAOUnits[[#This Row],[cv_2028]]/10^6</f>
        <v>0</v>
      </c>
      <c r="X91" s="1">
        <f>VLOOKUP(A91,Products!$A$29:$F$110,6,FALSE)</f>
        <v>400</v>
      </c>
    </row>
    <row r="92" spans="1:24">
      <c r="A92" s="9" t="s">
        <v>34</v>
      </c>
      <c r="B92" s="8">
        <v>0</v>
      </c>
      <c r="C92" s="8">
        <v>0</v>
      </c>
      <c r="D92" s="8"/>
      <c r="E92" s="8"/>
      <c r="F92" s="8"/>
      <c r="G92" s="8"/>
      <c r="H92" s="8"/>
      <c r="I92" s="8"/>
      <c r="J92" s="8"/>
      <c r="K92" s="8"/>
      <c r="L92" s="8"/>
      <c r="M92" s="62" cm="1">
        <f t="array" ref="M92">INDEX(tblPrices[cv_2018], MATCH(tblCloudAOUnits[[#This Row],[Products]],tblPrices[Products],0), 0)* tblCloudAOUnits[[#This Row],[cv_2018]]/10^6</f>
        <v>0</v>
      </c>
      <c r="N92" s="62" cm="1">
        <f t="array" ref="N92">INDEX(tblPrices[cv_2019], MATCH(tblCloudAOUnits[[#This Row],[Products]],tblPrices[Products],0), 0)* tblCloudAOUnits[[#This Row],[cv_2019]]/10^6</f>
        <v>0</v>
      </c>
      <c r="O92" s="62" cm="1">
        <f t="array" ref="O92">INDEX(tblPrices[cv_2020], MATCH(tblCloudAOUnits[[#This Row],[Products]],tblPrices[Products],0), 0)* tblCloudAOUnits[[#This Row],[cv_2020]]/10^6</f>
        <v>0</v>
      </c>
      <c r="P92" s="62" cm="1">
        <f t="array" ref="P92">INDEX(tblPrices[cv_2021], MATCH(tblCloudAOUnits[[#This Row],[Products]],tblPrices[Products],0), 0)* tblCloudAOUnits[[#This Row],[cv_2021]]/10^6</f>
        <v>0</v>
      </c>
      <c r="Q92" s="62" cm="1">
        <f t="array" ref="Q92">INDEX(tblPrices[cv_2022], MATCH(tblCloudAOUnits[[#This Row],[Products]],tblPrices[Products],0), 0)* tblCloudAOUnits[[#This Row],[cv_2022]]/10^6</f>
        <v>0</v>
      </c>
      <c r="R92" s="62" cm="1">
        <f t="array" ref="R92">INDEX(tblPrices[cv_2023], MATCH(tblCloudAOUnits[[#This Row],[Products]],tblPrices[Products],0), 0)* tblCloudAOUnits[[#This Row],[cv_2023]]/10^6</f>
        <v>0</v>
      </c>
      <c r="S92" s="62" cm="1">
        <f t="array" ref="S92">INDEX(tblPrices[cv_2024], MATCH(tblCloudAOUnits[[#This Row],[Products]],tblPrices[Products],0), 0)* tblCloudAOUnits[[#This Row],[cv_2024]]/10^6</f>
        <v>0</v>
      </c>
      <c r="T92" s="62" cm="1">
        <f t="array" ref="T92">INDEX(tblPrices[cv_2025], MATCH(tblCloudAOUnits[[#This Row],[Products]],tblPrices[Products],0), 0)* tblCloudAOUnits[[#This Row],[cv_2025]]/10^6</f>
        <v>0</v>
      </c>
      <c r="U92" s="62" cm="1">
        <f t="array" ref="U92">INDEX(tblPrices[cv_2026], MATCH(tblCloudAOUnits[[#This Row],[Products]],tblPrices[Products],0), 0)* tblCloudAOUnits[[#This Row],[cv_2026]]/10^6</f>
        <v>0</v>
      </c>
      <c r="V92" s="62" cm="1">
        <f t="array" ref="V92">INDEX(tblPrices[cv_2027], MATCH(tblCloudAOUnits[[#This Row],[Products]],tblPrices[Products],0), 0)* tblCloudAOUnits[[#This Row],[cv_2027]]/10^6</f>
        <v>0</v>
      </c>
      <c r="W92" s="62" cm="1">
        <f t="array" ref="W92">INDEX(tblPrices[cv_2028], MATCH(tblCloudAOUnits[[#This Row],[Products]],tblPrices[Products],0), 0)* tblCloudAOUnits[[#This Row],[cv_2028]]/10^6</f>
        <v>0</v>
      </c>
      <c r="X92" s="1">
        <f>VLOOKUP(A92,Products!$A$29:$F$110,6,FALSE)</f>
        <v>400</v>
      </c>
    </row>
    <row r="93" spans="1:24">
      <c r="A93" s="9" t="s">
        <v>35</v>
      </c>
      <c r="B93" s="8">
        <v>0</v>
      </c>
      <c r="C93" s="8"/>
      <c r="D93" s="8"/>
      <c r="E93" s="8"/>
      <c r="F93" s="8"/>
      <c r="G93" s="8"/>
      <c r="H93" s="8"/>
      <c r="I93" s="8"/>
      <c r="J93" s="8"/>
      <c r="K93" s="8"/>
      <c r="L93" s="8"/>
      <c r="M93" s="62" cm="1">
        <f t="array" ref="M93">INDEX(tblPrices[cv_2018], MATCH(tblCloudAOUnits[[#This Row],[Products]],tblPrices[Products],0), 0)* tblCloudAOUnits[[#This Row],[cv_2018]]/10^6</f>
        <v>0</v>
      </c>
      <c r="N93" s="62" cm="1">
        <f t="array" ref="N93">INDEX(tblPrices[cv_2019], MATCH(tblCloudAOUnits[[#This Row],[Products]],tblPrices[Products],0), 0)* tblCloudAOUnits[[#This Row],[cv_2019]]/10^6</f>
        <v>0</v>
      </c>
      <c r="O93" s="62" cm="1">
        <f t="array" ref="O93">INDEX(tblPrices[cv_2020], MATCH(tblCloudAOUnits[[#This Row],[Products]],tblPrices[Products],0), 0)* tblCloudAOUnits[[#This Row],[cv_2020]]/10^6</f>
        <v>0</v>
      </c>
      <c r="P93" s="62" cm="1">
        <f t="array" ref="P93">INDEX(tblPrices[cv_2021], MATCH(tblCloudAOUnits[[#This Row],[Products]],tblPrices[Products],0), 0)* tblCloudAOUnits[[#This Row],[cv_2021]]/10^6</f>
        <v>0</v>
      </c>
      <c r="Q93" s="62" cm="1">
        <f t="array" ref="Q93">INDEX(tblPrices[cv_2022], MATCH(tblCloudAOUnits[[#This Row],[Products]],tblPrices[Products],0), 0)* tblCloudAOUnits[[#This Row],[cv_2022]]/10^6</f>
        <v>0</v>
      </c>
      <c r="R93" s="62" cm="1">
        <f t="array" ref="R93">INDEX(tblPrices[cv_2023], MATCH(tblCloudAOUnits[[#This Row],[Products]],tblPrices[Products],0), 0)* tblCloudAOUnits[[#This Row],[cv_2023]]/10^6</f>
        <v>0</v>
      </c>
      <c r="S93" s="62" cm="1">
        <f t="array" ref="S93">INDEX(tblPrices[cv_2024], MATCH(tblCloudAOUnits[[#This Row],[Products]],tblPrices[Products],0), 0)* tblCloudAOUnits[[#This Row],[cv_2024]]/10^6</f>
        <v>0</v>
      </c>
      <c r="T93" s="62" cm="1">
        <f t="array" ref="T93">INDEX(tblPrices[cv_2025], MATCH(tblCloudAOUnits[[#This Row],[Products]],tblPrices[Products],0), 0)* tblCloudAOUnits[[#This Row],[cv_2025]]/10^6</f>
        <v>0</v>
      </c>
      <c r="U93" s="62" cm="1">
        <f t="array" ref="U93">INDEX(tblPrices[cv_2026], MATCH(tblCloudAOUnits[[#This Row],[Products]],tblPrices[Products],0), 0)* tblCloudAOUnits[[#This Row],[cv_2026]]/10^6</f>
        <v>0</v>
      </c>
      <c r="V93" s="62" cm="1">
        <f t="array" ref="V93">INDEX(tblPrices[cv_2027], MATCH(tblCloudAOUnits[[#This Row],[Products]],tblPrices[Products],0), 0)* tblCloudAOUnits[[#This Row],[cv_2027]]/10^6</f>
        <v>0</v>
      </c>
      <c r="W93" s="62" cm="1">
        <f t="array" ref="W93">INDEX(tblPrices[cv_2028], MATCH(tblCloudAOUnits[[#This Row],[Products]],tblPrices[Products],0), 0)* tblCloudAOUnits[[#This Row],[cv_2028]]/10^6</f>
        <v>0</v>
      </c>
      <c r="X93" s="1">
        <f>VLOOKUP(A93,Products!$A$29:$F$110,6,FALSE)</f>
        <v>600</v>
      </c>
    </row>
    <row r="94" spans="1:24">
      <c r="A94" s="9" t="s">
        <v>36</v>
      </c>
      <c r="B94" s="8">
        <v>0</v>
      </c>
      <c r="C94" s="8">
        <v>0</v>
      </c>
      <c r="D94" s="8"/>
      <c r="E94" s="8"/>
      <c r="F94" s="8"/>
      <c r="G94" s="8"/>
      <c r="H94" s="8"/>
      <c r="I94" s="8"/>
      <c r="J94" s="8"/>
      <c r="K94" s="8"/>
      <c r="L94" s="8"/>
      <c r="M94" s="62" cm="1">
        <f t="array" ref="M94">INDEX(tblPrices[cv_2018], MATCH(tblCloudAOUnits[[#This Row],[Products]],tblPrices[Products],0), 0)* tblCloudAOUnits[[#This Row],[cv_2018]]/10^6</f>
        <v>0</v>
      </c>
      <c r="N94" s="62" cm="1">
        <f t="array" ref="N94">INDEX(tblPrices[cv_2019], MATCH(tblCloudAOUnits[[#This Row],[Products]],tblPrices[Products],0), 0)* tblCloudAOUnits[[#This Row],[cv_2019]]/10^6</f>
        <v>0</v>
      </c>
      <c r="O94" s="62" cm="1">
        <f t="array" ref="O94">INDEX(tblPrices[cv_2020], MATCH(tblCloudAOUnits[[#This Row],[Products]],tblPrices[Products],0), 0)* tblCloudAOUnits[[#This Row],[cv_2020]]/10^6</f>
        <v>0</v>
      </c>
      <c r="P94" s="62" cm="1">
        <f t="array" ref="P94">INDEX(tblPrices[cv_2021], MATCH(tblCloudAOUnits[[#This Row],[Products]],tblPrices[Products],0), 0)* tblCloudAOUnits[[#This Row],[cv_2021]]/10^6</f>
        <v>0</v>
      </c>
      <c r="Q94" s="62" cm="1">
        <f t="array" ref="Q94">INDEX(tblPrices[cv_2022], MATCH(tblCloudAOUnits[[#This Row],[Products]],tblPrices[Products],0), 0)* tblCloudAOUnits[[#This Row],[cv_2022]]/10^6</f>
        <v>0</v>
      </c>
      <c r="R94" s="62" cm="1">
        <f t="array" ref="R94">INDEX(tblPrices[cv_2023], MATCH(tblCloudAOUnits[[#This Row],[Products]],tblPrices[Products],0), 0)* tblCloudAOUnits[[#This Row],[cv_2023]]/10^6</f>
        <v>0</v>
      </c>
      <c r="S94" s="62" cm="1">
        <f t="array" ref="S94">INDEX(tblPrices[cv_2024], MATCH(tblCloudAOUnits[[#This Row],[Products]],tblPrices[Products],0), 0)* tblCloudAOUnits[[#This Row],[cv_2024]]/10^6</f>
        <v>0</v>
      </c>
      <c r="T94" s="62" cm="1">
        <f t="array" ref="T94">INDEX(tblPrices[cv_2025], MATCH(tblCloudAOUnits[[#This Row],[Products]],tblPrices[Products],0), 0)* tblCloudAOUnits[[#This Row],[cv_2025]]/10^6</f>
        <v>0</v>
      </c>
      <c r="U94" s="62" cm="1">
        <f t="array" ref="U94">INDEX(tblPrices[cv_2026], MATCH(tblCloudAOUnits[[#This Row],[Products]],tblPrices[Products],0), 0)* tblCloudAOUnits[[#This Row],[cv_2026]]/10^6</f>
        <v>0</v>
      </c>
      <c r="V94" s="62" cm="1">
        <f t="array" ref="V94">INDEX(tblPrices[cv_2027], MATCH(tblCloudAOUnits[[#This Row],[Products]],tblPrices[Products],0), 0)* tblCloudAOUnits[[#This Row],[cv_2027]]/10^6</f>
        <v>0</v>
      </c>
      <c r="W94" s="62" cm="1">
        <f t="array" ref="W94">INDEX(tblPrices[cv_2028], MATCH(tblCloudAOUnits[[#This Row],[Products]],tblPrices[Products],0), 0)* tblCloudAOUnits[[#This Row],[cv_2028]]/10^6</f>
        <v>0</v>
      </c>
      <c r="X94" s="1">
        <f>VLOOKUP(A94,Products!$A$29:$F$110,6,FALSE)</f>
        <v>800</v>
      </c>
    </row>
    <row r="95" spans="1:24">
      <c r="A95" s="9" t="s">
        <v>37</v>
      </c>
      <c r="B95" s="8">
        <v>0</v>
      </c>
      <c r="C95" s="8">
        <v>0</v>
      </c>
      <c r="D95" s="8"/>
      <c r="E95" s="8"/>
      <c r="F95" s="8"/>
      <c r="G95" s="8"/>
      <c r="H95" s="8"/>
      <c r="I95" s="8"/>
      <c r="J95" s="8"/>
      <c r="K95" s="8"/>
      <c r="L95" s="8"/>
      <c r="M95" s="62" cm="1">
        <f t="array" ref="M95">INDEX(tblPrices[cv_2018], MATCH(tblCloudAOUnits[[#This Row],[Products]],tblPrices[Products],0), 0)* tblCloudAOUnits[[#This Row],[cv_2018]]/10^6</f>
        <v>0</v>
      </c>
      <c r="N95" s="62" cm="1">
        <f t="array" ref="N95">INDEX(tblPrices[cv_2019], MATCH(tblCloudAOUnits[[#This Row],[Products]],tblPrices[Products],0), 0)* tblCloudAOUnits[[#This Row],[cv_2019]]/10^6</f>
        <v>0</v>
      </c>
      <c r="O95" s="62" cm="1">
        <f t="array" ref="O95">INDEX(tblPrices[cv_2020], MATCH(tblCloudAOUnits[[#This Row],[Products]],tblPrices[Products],0), 0)* tblCloudAOUnits[[#This Row],[cv_2020]]/10^6</f>
        <v>0</v>
      </c>
      <c r="P95" s="62" cm="1">
        <f t="array" ref="P95">INDEX(tblPrices[cv_2021], MATCH(tblCloudAOUnits[[#This Row],[Products]],tblPrices[Products],0), 0)* tblCloudAOUnits[[#This Row],[cv_2021]]/10^6</f>
        <v>0</v>
      </c>
      <c r="Q95" s="62" cm="1">
        <f t="array" ref="Q95">INDEX(tblPrices[cv_2022], MATCH(tblCloudAOUnits[[#This Row],[Products]],tblPrices[Products],0), 0)* tblCloudAOUnits[[#This Row],[cv_2022]]/10^6</f>
        <v>0</v>
      </c>
      <c r="R95" s="62" cm="1">
        <f t="array" ref="R95">INDEX(tblPrices[cv_2023], MATCH(tblCloudAOUnits[[#This Row],[Products]],tblPrices[Products],0), 0)* tblCloudAOUnits[[#This Row],[cv_2023]]/10^6</f>
        <v>0</v>
      </c>
      <c r="S95" s="62" cm="1">
        <f t="array" ref="S95">INDEX(tblPrices[cv_2024], MATCH(tblCloudAOUnits[[#This Row],[Products]],tblPrices[Products],0), 0)* tblCloudAOUnits[[#This Row],[cv_2024]]/10^6</f>
        <v>0</v>
      </c>
      <c r="T95" s="62" cm="1">
        <f t="array" ref="T95">INDEX(tblPrices[cv_2025], MATCH(tblCloudAOUnits[[#This Row],[Products]],tblPrices[Products],0), 0)* tblCloudAOUnits[[#This Row],[cv_2025]]/10^6</f>
        <v>0</v>
      </c>
      <c r="U95" s="62" cm="1">
        <f t="array" ref="U95">INDEX(tblPrices[cv_2026], MATCH(tblCloudAOUnits[[#This Row],[Products]],tblPrices[Products],0), 0)* tblCloudAOUnits[[#This Row],[cv_2026]]/10^6</f>
        <v>0</v>
      </c>
      <c r="V95" s="62" cm="1">
        <f t="array" ref="V95">INDEX(tblPrices[cv_2027], MATCH(tblCloudAOUnits[[#This Row],[Products]],tblPrices[Products],0), 0)* tblCloudAOUnits[[#This Row],[cv_2027]]/10^6</f>
        <v>0</v>
      </c>
      <c r="W95" s="62" cm="1">
        <f t="array" ref="W95">INDEX(tblPrices[cv_2028], MATCH(tblCloudAOUnits[[#This Row],[Products]],tblPrices[Products],0), 0)* tblCloudAOUnits[[#This Row],[cv_2028]]/10^6</f>
        <v>0</v>
      </c>
      <c r="X95" s="1">
        <f>VLOOKUP(A95,Products!$A$29:$F$110,6,FALSE)</f>
        <v>800</v>
      </c>
    </row>
    <row r="96" spans="1:24">
      <c r="A96" s="9" t="s">
        <v>38</v>
      </c>
      <c r="B96" s="8">
        <v>0</v>
      </c>
      <c r="C96" s="8">
        <v>0</v>
      </c>
      <c r="D96" s="8"/>
      <c r="E96" s="8"/>
      <c r="F96" s="8"/>
      <c r="G96" s="8"/>
      <c r="H96" s="8"/>
      <c r="I96" s="8"/>
      <c r="J96" s="8"/>
      <c r="K96" s="8"/>
      <c r="L96" s="8"/>
      <c r="M96" s="62" cm="1">
        <f t="array" ref="M96">INDEX(tblPrices[cv_2018], MATCH(tblCloudAOUnits[[#This Row],[Products]],tblPrices[Products],0), 0)* tblCloudAOUnits[[#This Row],[cv_2018]]/10^6</f>
        <v>0</v>
      </c>
      <c r="N96" s="62" cm="1">
        <f t="array" ref="N96">INDEX(tblPrices[cv_2019], MATCH(tblCloudAOUnits[[#This Row],[Products]],tblPrices[Products],0), 0)* tblCloudAOUnits[[#This Row],[cv_2019]]/10^6</f>
        <v>0</v>
      </c>
      <c r="O96" s="62" cm="1">
        <f t="array" ref="O96">INDEX(tblPrices[cv_2020], MATCH(tblCloudAOUnits[[#This Row],[Products]],tblPrices[Products],0), 0)* tblCloudAOUnits[[#This Row],[cv_2020]]/10^6</f>
        <v>0</v>
      </c>
      <c r="P96" s="62" cm="1">
        <f t="array" ref="P96">INDEX(tblPrices[cv_2021], MATCH(tblCloudAOUnits[[#This Row],[Products]],tblPrices[Products],0), 0)* tblCloudAOUnits[[#This Row],[cv_2021]]/10^6</f>
        <v>0</v>
      </c>
      <c r="Q96" s="62" cm="1">
        <f t="array" ref="Q96">INDEX(tblPrices[cv_2022], MATCH(tblCloudAOUnits[[#This Row],[Products]],tblPrices[Products],0), 0)* tblCloudAOUnits[[#This Row],[cv_2022]]/10^6</f>
        <v>0</v>
      </c>
      <c r="R96" s="62" cm="1">
        <f t="array" ref="R96">INDEX(tblPrices[cv_2023], MATCH(tblCloudAOUnits[[#This Row],[Products]],tblPrices[Products],0), 0)* tblCloudAOUnits[[#This Row],[cv_2023]]/10^6</f>
        <v>0</v>
      </c>
      <c r="S96" s="62" cm="1">
        <f t="array" ref="S96">INDEX(tblPrices[cv_2024], MATCH(tblCloudAOUnits[[#This Row],[Products]],tblPrices[Products],0), 0)* tblCloudAOUnits[[#This Row],[cv_2024]]/10^6</f>
        <v>0</v>
      </c>
      <c r="T96" s="62" cm="1">
        <f t="array" ref="T96">INDEX(tblPrices[cv_2025], MATCH(tblCloudAOUnits[[#This Row],[Products]],tblPrices[Products],0), 0)* tblCloudAOUnits[[#This Row],[cv_2025]]/10^6</f>
        <v>0</v>
      </c>
      <c r="U96" s="62" cm="1">
        <f t="array" ref="U96">INDEX(tblPrices[cv_2026], MATCH(tblCloudAOUnits[[#This Row],[Products]],tblPrices[Products],0), 0)* tblCloudAOUnits[[#This Row],[cv_2026]]/10^6</f>
        <v>0</v>
      </c>
      <c r="V96" s="62" cm="1">
        <f t="array" ref="V96">INDEX(tblPrices[cv_2027], MATCH(tblCloudAOUnits[[#This Row],[Products]],tblPrices[Products],0), 0)* tblCloudAOUnits[[#This Row],[cv_2027]]/10^6</f>
        <v>0</v>
      </c>
      <c r="W96" s="62" cm="1">
        <f t="array" ref="W96">INDEX(tblPrices[cv_2028], MATCH(tblCloudAOUnits[[#This Row],[Products]],tblPrices[Products],0), 0)* tblCloudAOUnits[[#This Row],[cv_2028]]/10^6</f>
        <v>0</v>
      </c>
      <c r="X96" s="1">
        <f>VLOOKUP(A96,Products!$A$29:$F$110,6,FALSE)</f>
        <v>1200</v>
      </c>
    </row>
    <row r="97" spans="1:24">
      <c r="A97" s="9" t="s">
        <v>39</v>
      </c>
      <c r="B97" s="8">
        <v>0</v>
      </c>
      <c r="C97" s="8">
        <v>0</v>
      </c>
      <c r="D97" s="8"/>
      <c r="E97" s="8"/>
      <c r="F97" s="8"/>
      <c r="G97" s="8"/>
      <c r="H97" s="8"/>
      <c r="I97" s="8"/>
      <c r="J97" s="8"/>
      <c r="K97" s="8"/>
      <c r="L97" s="8"/>
      <c r="M97" s="62" cm="1">
        <f t="array" ref="M97">INDEX(tblPrices[cv_2018], MATCH(tblCloudAOUnits[[#This Row],[Products]],tblPrices[Products],0), 0)* tblCloudAOUnits[[#This Row],[cv_2018]]/10^6</f>
        <v>0</v>
      </c>
      <c r="N97" s="62" cm="1">
        <f t="array" ref="N97">INDEX(tblPrices[cv_2019], MATCH(tblCloudAOUnits[[#This Row],[Products]],tblPrices[Products],0), 0)* tblCloudAOUnits[[#This Row],[cv_2019]]/10^6</f>
        <v>0</v>
      </c>
      <c r="O97" s="62" cm="1">
        <f t="array" ref="O97">INDEX(tblPrices[cv_2020], MATCH(tblCloudAOUnits[[#This Row],[Products]],tblPrices[Products],0), 0)* tblCloudAOUnits[[#This Row],[cv_2020]]/10^6</f>
        <v>0</v>
      </c>
      <c r="P97" s="62" cm="1">
        <f t="array" ref="P97">INDEX(tblPrices[cv_2021], MATCH(tblCloudAOUnits[[#This Row],[Products]],tblPrices[Products],0), 0)* tblCloudAOUnits[[#This Row],[cv_2021]]/10^6</f>
        <v>0</v>
      </c>
      <c r="Q97" s="62" cm="1">
        <f t="array" ref="Q97">INDEX(tblPrices[cv_2022], MATCH(tblCloudAOUnits[[#This Row],[Products]],tblPrices[Products],0), 0)* tblCloudAOUnits[[#This Row],[cv_2022]]/10^6</f>
        <v>0</v>
      </c>
      <c r="R97" s="62" cm="1">
        <f t="array" ref="R97">INDEX(tblPrices[cv_2023], MATCH(tblCloudAOUnits[[#This Row],[Products]],tblPrices[Products],0), 0)* tblCloudAOUnits[[#This Row],[cv_2023]]/10^6</f>
        <v>0</v>
      </c>
      <c r="S97" s="62" cm="1">
        <f t="array" ref="S97">INDEX(tblPrices[cv_2024], MATCH(tblCloudAOUnits[[#This Row],[Products]],tblPrices[Products],0), 0)* tblCloudAOUnits[[#This Row],[cv_2024]]/10^6</f>
        <v>0</v>
      </c>
      <c r="T97" s="62" cm="1">
        <f t="array" ref="T97">INDEX(tblPrices[cv_2025], MATCH(tblCloudAOUnits[[#This Row],[Products]],tblPrices[Products],0), 0)* tblCloudAOUnits[[#This Row],[cv_2025]]/10^6</f>
        <v>0</v>
      </c>
      <c r="U97" s="62" cm="1">
        <f t="array" ref="U97">INDEX(tblPrices[cv_2026], MATCH(tblCloudAOUnits[[#This Row],[Products]],tblPrices[Products],0), 0)* tblCloudAOUnits[[#This Row],[cv_2026]]/10^6</f>
        <v>0</v>
      </c>
      <c r="V97" s="62" cm="1">
        <f t="array" ref="V97">INDEX(tblPrices[cv_2027], MATCH(tblCloudAOUnits[[#This Row],[Products]],tblPrices[Products],0), 0)* tblCloudAOUnits[[#This Row],[cv_2027]]/10^6</f>
        <v>0</v>
      </c>
      <c r="W97" s="62" cm="1">
        <f t="array" ref="W97">INDEX(tblPrices[cv_2028], MATCH(tblCloudAOUnits[[#This Row],[Products]],tblPrices[Products],0), 0)* tblCloudAOUnits[[#This Row],[cv_2028]]/10^6</f>
        <v>0</v>
      </c>
      <c r="X97" s="1">
        <f>VLOOKUP(A97,Products!$A$29:$F$110,6,FALSE)</f>
        <v>1600</v>
      </c>
    </row>
    <row r="98" spans="1:24">
      <c r="B98" s="41">
        <f>SUM(B41:B97)</f>
        <v>5746000.2019257024</v>
      </c>
      <c r="C98" s="41">
        <f t="shared" ref="C98:K98" si="0">SUM(C41:C97)</f>
        <v>4933657.7943391465</v>
      </c>
      <c r="D98" s="41">
        <f t="shared" si="0"/>
        <v>0</v>
      </c>
      <c r="E98" s="41">
        <f t="shared" si="0"/>
        <v>0</v>
      </c>
      <c r="F98" s="41">
        <f t="shared" si="0"/>
        <v>0</v>
      </c>
      <c r="G98" s="41">
        <f t="shared" si="0"/>
        <v>0</v>
      </c>
      <c r="H98" s="41">
        <f t="shared" si="0"/>
        <v>0</v>
      </c>
      <c r="I98" s="41">
        <f t="shared" si="0"/>
        <v>0</v>
      </c>
      <c r="J98" s="41">
        <f t="shared" si="0"/>
        <v>0</v>
      </c>
      <c r="K98" s="41">
        <f t="shared" si="0"/>
        <v>0</v>
      </c>
      <c r="L98" s="41">
        <f t="shared" ref="L98" si="1">SUM(L41:L97)</f>
        <v>0</v>
      </c>
      <c r="M98" s="92">
        <f t="shared" ref="M98" si="2">SUM(M41:M97)</f>
        <v>715.88743183717338</v>
      </c>
      <c r="N98" s="92">
        <f t="shared" ref="N98" si="3">SUM(N41:N97)</f>
        <v>665.20797939792101</v>
      </c>
      <c r="O98" s="92">
        <f t="shared" ref="O98" si="4">SUM(O41:O97)</f>
        <v>0</v>
      </c>
      <c r="P98" s="92">
        <f t="shared" ref="P98" si="5">SUM(P41:P97)</f>
        <v>0</v>
      </c>
      <c r="Q98" s="92">
        <f t="shared" ref="Q98:R98" si="6">SUM(Q41:Q97)</f>
        <v>0</v>
      </c>
      <c r="R98" s="92">
        <f t="shared" si="6"/>
        <v>0</v>
      </c>
      <c r="S98" s="92">
        <f t="shared" ref="S98" si="7">SUM(S41:S97)</f>
        <v>0</v>
      </c>
      <c r="T98" s="92">
        <f t="shared" ref="T98" si="8">SUM(T41:T97)</f>
        <v>0</v>
      </c>
      <c r="U98" s="92">
        <f t="shared" ref="U98" si="9">SUM(U41:U97)</f>
        <v>0</v>
      </c>
      <c r="V98" s="92">
        <f t="shared" ref="V98" si="10">SUM(V41:V97)</f>
        <v>0</v>
      </c>
      <c r="W98" s="92">
        <f t="shared" ref="W98" si="11">SUM(W41:W97)</f>
        <v>0</v>
      </c>
    </row>
    <row r="100" spans="1:24">
      <c r="G100" s="37">
        <f>G99-G98</f>
        <v>0</v>
      </c>
      <c r="H100" s="37">
        <f t="shared" ref="H100:L100" si="12">H99-H98</f>
        <v>0</v>
      </c>
      <c r="I100" s="37">
        <f t="shared" si="12"/>
        <v>0</v>
      </c>
      <c r="J100" s="37">
        <f t="shared" si="12"/>
        <v>0</v>
      </c>
      <c r="K100" s="37">
        <f t="shared" si="12"/>
        <v>0</v>
      </c>
      <c r="L100" s="37">
        <f t="shared" si="12"/>
        <v>0</v>
      </c>
    </row>
    <row r="101" spans="1:24">
      <c r="A101" s="175" t="s">
        <v>431</v>
      </c>
      <c r="B101" s="68">
        <v>2018</v>
      </c>
      <c r="C101" s="50">
        <v>2019</v>
      </c>
      <c r="D101" s="50">
        <v>2020</v>
      </c>
      <c r="E101" s="50">
        <v>2021</v>
      </c>
      <c r="F101" s="50">
        <v>2022</v>
      </c>
      <c r="G101" s="50">
        <v>2023</v>
      </c>
      <c r="H101" s="50">
        <v>2024</v>
      </c>
      <c r="I101" s="50">
        <v>2025</v>
      </c>
      <c r="J101" s="50">
        <v>2026</v>
      </c>
      <c r="K101" s="50">
        <v>2027</v>
      </c>
      <c r="L101" s="50">
        <v>2028</v>
      </c>
      <c r="M101" s="68">
        <v>2018</v>
      </c>
      <c r="N101" s="50">
        <v>2019</v>
      </c>
      <c r="O101" s="50">
        <v>2020</v>
      </c>
      <c r="P101" s="50">
        <v>2021</v>
      </c>
      <c r="Q101" s="50">
        <v>2022</v>
      </c>
      <c r="R101" s="50">
        <v>2023</v>
      </c>
      <c r="S101" s="50">
        <v>2024</v>
      </c>
      <c r="T101" s="50">
        <v>2025</v>
      </c>
      <c r="U101" s="50">
        <v>2026</v>
      </c>
      <c r="V101" s="50">
        <v>2027</v>
      </c>
      <c r="W101" s="50">
        <v>2028</v>
      </c>
    </row>
    <row r="102" spans="1:24">
      <c r="A102" s="65" t="s">
        <v>80</v>
      </c>
      <c r="B102" s="2">
        <f t="shared" ref="B102:W102" si="13">SUMIF($X$41:$X$78,40,B$41:B$78)</f>
        <v>1068580.0645049999</v>
      </c>
      <c r="C102" s="2">
        <f t="shared" si="13"/>
        <v>1224764.2661299999</v>
      </c>
      <c r="D102" s="2">
        <f t="shared" si="13"/>
        <v>0</v>
      </c>
      <c r="E102" s="2">
        <f t="shared" si="13"/>
        <v>0</v>
      </c>
      <c r="F102" s="2">
        <f t="shared" si="13"/>
        <v>0</v>
      </c>
      <c r="G102" s="2">
        <f t="shared" si="13"/>
        <v>0</v>
      </c>
      <c r="H102" s="2">
        <f t="shared" si="13"/>
        <v>0</v>
      </c>
      <c r="I102" s="2">
        <f t="shared" si="13"/>
        <v>0</v>
      </c>
      <c r="J102" s="2">
        <f t="shared" si="13"/>
        <v>0</v>
      </c>
      <c r="K102" s="2">
        <f t="shared" si="13"/>
        <v>0</v>
      </c>
      <c r="L102" s="2">
        <f t="shared" si="13"/>
        <v>0</v>
      </c>
      <c r="M102" s="79">
        <f t="shared" si="13"/>
        <v>231.17656924322591</v>
      </c>
      <c r="N102" s="76">
        <f t="shared" si="13"/>
        <v>242.3417080577851</v>
      </c>
      <c r="O102" s="76">
        <f t="shared" si="13"/>
        <v>0</v>
      </c>
      <c r="P102" s="76">
        <f t="shared" si="13"/>
        <v>0</v>
      </c>
      <c r="Q102" s="76">
        <f t="shared" si="13"/>
        <v>0</v>
      </c>
      <c r="R102" s="76">
        <f t="shared" si="13"/>
        <v>0</v>
      </c>
      <c r="S102" s="76">
        <f t="shared" si="13"/>
        <v>0</v>
      </c>
      <c r="T102" s="76">
        <f t="shared" si="13"/>
        <v>0</v>
      </c>
      <c r="U102" s="76">
        <f t="shared" si="13"/>
        <v>0</v>
      </c>
      <c r="V102" s="76">
        <f t="shared" si="13"/>
        <v>0</v>
      </c>
      <c r="W102" s="76">
        <f t="shared" si="13"/>
        <v>0</v>
      </c>
    </row>
    <row r="103" spans="1:24">
      <c r="A103" s="65" t="s">
        <v>205</v>
      </c>
      <c r="B103" s="2">
        <f t="shared" ref="B103:W103" si="14">SUMIF($X$41:$X$78,100,B$41:B$78)</f>
        <v>992140.72503156902</v>
      </c>
      <c r="C103" s="2">
        <f t="shared" si="14"/>
        <v>1301564.0708895004</v>
      </c>
      <c r="D103" s="2">
        <f t="shared" si="14"/>
        <v>0</v>
      </c>
      <c r="E103" s="2">
        <f t="shared" si="14"/>
        <v>0</v>
      </c>
      <c r="F103" s="2">
        <f t="shared" si="14"/>
        <v>0</v>
      </c>
      <c r="G103" s="2">
        <f t="shared" si="14"/>
        <v>0</v>
      </c>
      <c r="H103" s="2">
        <f t="shared" si="14"/>
        <v>0</v>
      </c>
      <c r="I103" s="2">
        <f t="shared" si="14"/>
        <v>0</v>
      </c>
      <c r="J103" s="2">
        <f t="shared" si="14"/>
        <v>0</v>
      </c>
      <c r="K103" s="2">
        <f t="shared" si="14"/>
        <v>0</v>
      </c>
      <c r="L103" s="2">
        <f t="shared" si="14"/>
        <v>0</v>
      </c>
      <c r="M103" s="79">
        <f t="shared" si="14"/>
        <v>369.64499076221944</v>
      </c>
      <c r="N103" s="76">
        <f t="shared" si="14"/>
        <v>325.38815552173736</v>
      </c>
      <c r="O103" s="76">
        <f t="shared" si="14"/>
        <v>0</v>
      </c>
      <c r="P103" s="76">
        <f t="shared" si="14"/>
        <v>0</v>
      </c>
      <c r="Q103" s="76">
        <f t="shared" si="14"/>
        <v>0</v>
      </c>
      <c r="R103" s="76">
        <f t="shared" si="14"/>
        <v>0</v>
      </c>
      <c r="S103" s="76">
        <f t="shared" si="14"/>
        <v>0</v>
      </c>
      <c r="T103" s="76">
        <f t="shared" si="14"/>
        <v>0</v>
      </c>
      <c r="U103" s="76">
        <f t="shared" si="14"/>
        <v>0</v>
      </c>
      <c r="V103" s="76">
        <f t="shared" si="14"/>
        <v>0</v>
      </c>
      <c r="W103" s="76">
        <f t="shared" si="14"/>
        <v>0</v>
      </c>
    </row>
    <row r="104" spans="1:24">
      <c r="A104" s="65" t="s">
        <v>206</v>
      </c>
      <c r="B104" s="2">
        <f t="shared" ref="B104:W104" si="15">SUMIF($X$41:$X$78,200,B$41:B$78)</f>
        <v>0</v>
      </c>
      <c r="C104" s="2">
        <f t="shared" si="15"/>
        <v>500</v>
      </c>
      <c r="D104" s="2">
        <f t="shared" si="15"/>
        <v>0</v>
      </c>
      <c r="E104" s="2">
        <f t="shared" si="15"/>
        <v>0</v>
      </c>
      <c r="F104" s="2">
        <f t="shared" si="15"/>
        <v>0</v>
      </c>
      <c r="G104" s="2">
        <f t="shared" si="15"/>
        <v>0</v>
      </c>
      <c r="H104" s="2">
        <f t="shared" si="15"/>
        <v>0</v>
      </c>
      <c r="I104" s="2">
        <f t="shared" si="15"/>
        <v>0</v>
      </c>
      <c r="J104" s="2">
        <f t="shared" si="15"/>
        <v>0</v>
      </c>
      <c r="K104" s="2">
        <f t="shared" si="15"/>
        <v>0</v>
      </c>
      <c r="L104" s="2">
        <f t="shared" si="15"/>
        <v>0</v>
      </c>
      <c r="M104" s="79">
        <f t="shared" si="15"/>
        <v>0</v>
      </c>
      <c r="N104" s="76">
        <f t="shared" si="15"/>
        <v>0.3</v>
      </c>
      <c r="O104" s="76">
        <f t="shared" si="15"/>
        <v>0</v>
      </c>
      <c r="P104" s="76">
        <f t="shared" si="15"/>
        <v>0</v>
      </c>
      <c r="Q104" s="76">
        <f t="shared" si="15"/>
        <v>0</v>
      </c>
      <c r="R104" s="76">
        <f t="shared" si="15"/>
        <v>0</v>
      </c>
      <c r="S104" s="76">
        <f t="shared" si="15"/>
        <v>0</v>
      </c>
      <c r="T104" s="76">
        <f t="shared" si="15"/>
        <v>0</v>
      </c>
      <c r="U104" s="76">
        <f t="shared" si="15"/>
        <v>0</v>
      </c>
      <c r="V104" s="76">
        <f t="shared" si="15"/>
        <v>0</v>
      </c>
      <c r="W104" s="76">
        <f t="shared" si="15"/>
        <v>0</v>
      </c>
    </row>
    <row r="105" spans="1:24">
      <c r="A105" s="65" t="s">
        <v>207</v>
      </c>
      <c r="B105" s="2">
        <f t="shared" ref="B105:W105" si="16">SUMIF($X$41:$X$78,400,B$41:B$78)</f>
        <v>0</v>
      </c>
      <c r="C105" s="2">
        <f t="shared" si="16"/>
        <v>7.2705054945054712</v>
      </c>
      <c r="D105" s="2">
        <f t="shared" si="16"/>
        <v>0</v>
      </c>
      <c r="E105" s="2">
        <f t="shared" si="16"/>
        <v>0</v>
      </c>
      <c r="F105" s="2">
        <f t="shared" si="16"/>
        <v>0</v>
      </c>
      <c r="G105" s="2">
        <f t="shared" si="16"/>
        <v>0</v>
      </c>
      <c r="H105" s="2">
        <f t="shared" si="16"/>
        <v>0</v>
      </c>
      <c r="I105" s="2">
        <f t="shared" si="16"/>
        <v>0</v>
      </c>
      <c r="J105" s="2">
        <f t="shared" si="16"/>
        <v>0</v>
      </c>
      <c r="K105" s="2">
        <f t="shared" si="16"/>
        <v>0</v>
      </c>
      <c r="L105" s="2">
        <f t="shared" si="16"/>
        <v>0</v>
      </c>
      <c r="M105" s="79">
        <f t="shared" si="16"/>
        <v>0</v>
      </c>
      <c r="N105" s="76">
        <f t="shared" si="16"/>
        <v>4.8069621551999842E-2</v>
      </c>
      <c r="O105" s="76">
        <f t="shared" si="16"/>
        <v>0</v>
      </c>
      <c r="P105" s="76">
        <f t="shared" si="16"/>
        <v>0</v>
      </c>
      <c r="Q105" s="76">
        <f t="shared" si="16"/>
        <v>0</v>
      </c>
      <c r="R105" s="76">
        <f t="shared" si="16"/>
        <v>0</v>
      </c>
      <c r="S105" s="76">
        <f t="shared" si="16"/>
        <v>0</v>
      </c>
      <c r="T105" s="76">
        <f t="shared" si="16"/>
        <v>0</v>
      </c>
      <c r="U105" s="76">
        <f t="shared" si="16"/>
        <v>0</v>
      </c>
      <c r="V105" s="76">
        <f t="shared" si="16"/>
        <v>0</v>
      </c>
      <c r="W105" s="76">
        <f t="shared" si="16"/>
        <v>0</v>
      </c>
    </row>
    <row r="106" spans="1:24">
      <c r="A106" s="65" t="s">
        <v>209</v>
      </c>
      <c r="B106" s="2">
        <f t="shared" ref="B106:W106" si="17">SUMIF($X$41:$X$78,800,B$41:B$78)</f>
        <v>0</v>
      </c>
      <c r="C106" s="2">
        <f t="shared" si="17"/>
        <v>0</v>
      </c>
      <c r="D106" s="2">
        <f t="shared" si="17"/>
        <v>0</v>
      </c>
      <c r="E106" s="2">
        <f t="shared" si="17"/>
        <v>0</v>
      </c>
      <c r="F106" s="2">
        <f t="shared" si="17"/>
        <v>0</v>
      </c>
      <c r="G106" s="2">
        <f t="shared" si="17"/>
        <v>0</v>
      </c>
      <c r="H106" s="2">
        <f t="shared" si="17"/>
        <v>0</v>
      </c>
      <c r="I106" s="2">
        <f t="shared" si="17"/>
        <v>0</v>
      </c>
      <c r="J106" s="2">
        <f t="shared" si="17"/>
        <v>0</v>
      </c>
      <c r="K106" s="2">
        <f t="shared" si="17"/>
        <v>0</v>
      </c>
      <c r="L106" s="2">
        <f t="shared" si="17"/>
        <v>0</v>
      </c>
      <c r="M106" s="79">
        <f t="shared" si="17"/>
        <v>0</v>
      </c>
      <c r="N106" s="76">
        <f t="shared" si="17"/>
        <v>0</v>
      </c>
      <c r="O106" s="76">
        <f t="shared" si="17"/>
        <v>0</v>
      </c>
      <c r="P106" s="76">
        <f t="shared" si="17"/>
        <v>0</v>
      </c>
      <c r="Q106" s="76">
        <f t="shared" si="17"/>
        <v>0</v>
      </c>
      <c r="R106" s="76">
        <f t="shared" si="17"/>
        <v>0</v>
      </c>
      <c r="S106" s="76">
        <f t="shared" si="17"/>
        <v>0</v>
      </c>
      <c r="T106" s="76">
        <f t="shared" si="17"/>
        <v>0</v>
      </c>
      <c r="U106" s="76">
        <f t="shared" si="17"/>
        <v>0</v>
      </c>
      <c r="V106" s="76">
        <f t="shared" si="17"/>
        <v>0</v>
      </c>
      <c r="W106" s="76">
        <f t="shared" si="17"/>
        <v>0</v>
      </c>
    </row>
    <row r="107" spans="1:24">
      <c r="A107" s="65" t="s">
        <v>211</v>
      </c>
      <c r="B107" s="2">
        <f t="shared" ref="B107:W107" si="18">SUMIF($X$41:$X$78,1600,B$41:B$78)</f>
        <v>0</v>
      </c>
      <c r="C107" s="2">
        <f t="shared" si="18"/>
        <v>0</v>
      </c>
      <c r="D107" s="2">
        <f t="shared" si="18"/>
        <v>0</v>
      </c>
      <c r="E107" s="2">
        <f t="shared" si="18"/>
        <v>0</v>
      </c>
      <c r="F107" s="2">
        <f t="shared" si="18"/>
        <v>0</v>
      </c>
      <c r="G107" s="2">
        <f t="shared" si="18"/>
        <v>0</v>
      </c>
      <c r="H107" s="2">
        <f t="shared" si="18"/>
        <v>0</v>
      </c>
      <c r="I107" s="2">
        <f t="shared" si="18"/>
        <v>0</v>
      </c>
      <c r="J107" s="2">
        <f t="shared" si="18"/>
        <v>0</v>
      </c>
      <c r="K107" s="2">
        <f t="shared" si="18"/>
        <v>0</v>
      </c>
      <c r="L107" s="2">
        <f t="shared" si="18"/>
        <v>0</v>
      </c>
      <c r="M107" s="79">
        <f t="shared" si="18"/>
        <v>0</v>
      </c>
      <c r="N107" s="76">
        <f t="shared" si="18"/>
        <v>0</v>
      </c>
      <c r="O107" s="76">
        <f t="shared" si="18"/>
        <v>0</v>
      </c>
      <c r="P107" s="76">
        <f t="shared" si="18"/>
        <v>0</v>
      </c>
      <c r="Q107" s="76">
        <f t="shared" si="18"/>
        <v>0</v>
      </c>
      <c r="R107" s="76">
        <f t="shared" si="18"/>
        <v>0</v>
      </c>
      <c r="S107" s="76">
        <f t="shared" si="18"/>
        <v>0</v>
      </c>
      <c r="T107" s="76">
        <f t="shared" si="18"/>
        <v>0</v>
      </c>
      <c r="U107" s="76">
        <f t="shared" si="18"/>
        <v>0</v>
      </c>
      <c r="V107" s="76">
        <f t="shared" si="18"/>
        <v>0</v>
      </c>
      <c r="W107" s="76">
        <f t="shared" si="18"/>
        <v>0</v>
      </c>
    </row>
    <row r="108" spans="1:24">
      <c r="A108" s="65" t="s">
        <v>276</v>
      </c>
      <c r="B108" s="2">
        <f>SUM(B41:B78)</f>
        <v>5735759.5995459901</v>
      </c>
      <c r="C108" s="2">
        <f t="shared" ref="C108:W108" si="19">SUM(C41:C78)</f>
        <v>4919527.7533300789</v>
      </c>
      <c r="D108" s="2">
        <f t="shared" si="19"/>
        <v>0</v>
      </c>
      <c r="E108" s="2">
        <f t="shared" si="19"/>
        <v>0</v>
      </c>
      <c r="F108" s="2">
        <f t="shared" si="19"/>
        <v>0</v>
      </c>
      <c r="G108" s="2">
        <f t="shared" si="19"/>
        <v>0</v>
      </c>
      <c r="H108" s="2">
        <f t="shared" si="19"/>
        <v>0</v>
      </c>
      <c r="I108" s="2">
        <f t="shared" si="19"/>
        <v>0</v>
      </c>
      <c r="J108" s="2">
        <f t="shared" si="19"/>
        <v>0</v>
      </c>
      <c r="K108" s="2">
        <f t="shared" si="19"/>
        <v>0</v>
      </c>
      <c r="L108" s="2">
        <f t="shared" si="19"/>
        <v>0</v>
      </c>
      <c r="M108" s="79">
        <f t="shared" si="19"/>
        <v>654.7803544436556</v>
      </c>
      <c r="N108" s="76">
        <f t="shared" si="19"/>
        <v>599.72399335678938</v>
      </c>
      <c r="O108" s="76">
        <f t="shared" si="19"/>
        <v>0</v>
      </c>
      <c r="P108" s="76">
        <f t="shared" si="19"/>
        <v>0</v>
      </c>
      <c r="Q108" s="76">
        <f t="shared" si="19"/>
        <v>0</v>
      </c>
      <c r="R108" s="76">
        <f t="shared" si="19"/>
        <v>0</v>
      </c>
      <c r="S108" s="76">
        <f t="shared" si="19"/>
        <v>0</v>
      </c>
      <c r="T108" s="76">
        <f t="shared" si="19"/>
        <v>0</v>
      </c>
      <c r="U108" s="76">
        <f t="shared" si="19"/>
        <v>0</v>
      </c>
      <c r="V108" s="76">
        <f t="shared" si="19"/>
        <v>0</v>
      </c>
      <c r="W108" s="76">
        <f t="shared" si="19"/>
        <v>0</v>
      </c>
    </row>
    <row r="109" spans="1:24">
      <c r="A109" s="65"/>
    </row>
    <row r="110" spans="1:24">
      <c r="A110" s="176" t="s">
        <v>428</v>
      </c>
      <c r="B110" s="68">
        <v>2018</v>
      </c>
      <c r="C110" s="50">
        <v>2019</v>
      </c>
      <c r="D110" s="50">
        <v>2020</v>
      </c>
      <c r="E110" s="50">
        <v>2021</v>
      </c>
      <c r="F110" s="50">
        <v>2022</v>
      </c>
      <c r="G110" s="50">
        <v>2023</v>
      </c>
      <c r="H110" s="50">
        <v>2024</v>
      </c>
      <c r="I110" s="50">
        <v>2025</v>
      </c>
      <c r="J110" s="50">
        <v>2026</v>
      </c>
      <c r="K110" s="50">
        <v>2027</v>
      </c>
      <c r="L110" s="50">
        <v>2028</v>
      </c>
      <c r="M110" s="68">
        <v>2018</v>
      </c>
      <c r="N110" s="50">
        <v>2019</v>
      </c>
      <c r="O110" s="50">
        <v>2020</v>
      </c>
      <c r="P110" s="50">
        <v>2021</v>
      </c>
      <c r="Q110" s="50">
        <v>2022</v>
      </c>
      <c r="R110" s="50">
        <v>2023</v>
      </c>
      <c r="S110" s="50">
        <v>2024</v>
      </c>
      <c r="T110" s="50">
        <v>2025</v>
      </c>
      <c r="U110" s="50">
        <v>2026</v>
      </c>
      <c r="V110" s="50">
        <v>2027</v>
      </c>
      <c r="W110" s="50">
        <v>2028</v>
      </c>
    </row>
    <row r="111" spans="1:24">
      <c r="A111" s="65" t="s">
        <v>205</v>
      </c>
      <c r="B111" s="2">
        <f t="shared" ref="B111:W111" si="20">SUMIF($X$79:$X$97,100,B$79:B$97)</f>
        <v>5940.0005493837471</v>
      </c>
      <c r="C111" s="2">
        <f t="shared" si="20"/>
        <v>5824.3428799999965</v>
      </c>
      <c r="D111" s="2">
        <f t="shared" si="20"/>
        <v>0</v>
      </c>
      <c r="E111" s="2">
        <f t="shared" si="20"/>
        <v>0</v>
      </c>
      <c r="F111" s="2">
        <f t="shared" si="20"/>
        <v>0</v>
      </c>
      <c r="G111" s="2">
        <f t="shared" si="20"/>
        <v>0</v>
      </c>
      <c r="H111" s="2">
        <f t="shared" si="20"/>
        <v>0</v>
      </c>
      <c r="I111" s="2">
        <f t="shared" si="20"/>
        <v>0</v>
      </c>
      <c r="J111" s="2">
        <f t="shared" si="20"/>
        <v>0</v>
      </c>
      <c r="K111" s="2">
        <f t="shared" si="20"/>
        <v>0</v>
      </c>
      <c r="L111" s="2">
        <f t="shared" si="20"/>
        <v>0</v>
      </c>
      <c r="M111" s="79">
        <f t="shared" si="20"/>
        <v>46.911516045980342</v>
      </c>
      <c r="N111" s="76">
        <f t="shared" si="20"/>
        <v>36.22647827199998</v>
      </c>
      <c r="O111" s="76">
        <f t="shared" si="20"/>
        <v>0</v>
      </c>
      <c r="P111" s="76">
        <f t="shared" si="20"/>
        <v>0</v>
      </c>
      <c r="Q111" s="76">
        <f t="shared" si="20"/>
        <v>0</v>
      </c>
      <c r="R111" s="76">
        <f t="shared" si="20"/>
        <v>0</v>
      </c>
      <c r="S111" s="76">
        <f t="shared" si="20"/>
        <v>0</v>
      </c>
      <c r="T111" s="76">
        <f t="shared" si="20"/>
        <v>0</v>
      </c>
      <c r="U111" s="76">
        <f t="shared" si="20"/>
        <v>0</v>
      </c>
      <c r="V111" s="76">
        <f t="shared" si="20"/>
        <v>0</v>
      </c>
      <c r="W111" s="76">
        <f t="shared" si="20"/>
        <v>0</v>
      </c>
    </row>
    <row r="112" spans="1:24">
      <c r="A112" s="65" t="s">
        <v>206</v>
      </c>
      <c r="B112" s="2">
        <f t="shared" ref="B112:W112" si="21">SUMIF($X$79:$X$97,200,B$79:B$97)</f>
        <v>1621.2491803278708</v>
      </c>
      <c r="C112" s="2">
        <f t="shared" si="21"/>
        <v>4627.1874000000062</v>
      </c>
      <c r="D112" s="2">
        <f t="shared" si="21"/>
        <v>0</v>
      </c>
      <c r="E112" s="2">
        <f t="shared" si="21"/>
        <v>0</v>
      </c>
      <c r="F112" s="2">
        <f t="shared" si="21"/>
        <v>0</v>
      </c>
      <c r="G112" s="2">
        <f t="shared" si="21"/>
        <v>0</v>
      </c>
      <c r="H112" s="2">
        <f t="shared" si="21"/>
        <v>0</v>
      </c>
      <c r="I112" s="2">
        <f t="shared" si="21"/>
        <v>0</v>
      </c>
      <c r="J112" s="2">
        <f t="shared" si="21"/>
        <v>0</v>
      </c>
      <c r="K112" s="2">
        <f t="shared" si="21"/>
        <v>0</v>
      </c>
      <c r="L112" s="2">
        <f t="shared" si="21"/>
        <v>0</v>
      </c>
      <c r="M112" s="79">
        <f t="shared" si="21"/>
        <v>12.911952608047708</v>
      </c>
      <c r="N112" s="76">
        <f t="shared" si="21"/>
        <v>27.816889483636402</v>
      </c>
      <c r="O112" s="76">
        <f t="shared" si="21"/>
        <v>0</v>
      </c>
      <c r="P112" s="76">
        <f t="shared" si="21"/>
        <v>0</v>
      </c>
      <c r="Q112" s="76">
        <f t="shared" si="21"/>
        <v>0</v>
      </c>
      <c r="R112" s="76">
        <f t="shared" si="21"/>
        <v>0</v>
      </c>
      <c r="S112" s="76">
        <f t="shared" si="21"/>
        <v>0</v>
      </c>
      <c r="T112" s="76">
        <f t="shared" si="21"/>
        <v>0</v>
      </c>
      <c r="U112" s="76">
        <f t="shared" si="21"/>
        <v>0</v>
      </c>
      <c r="V112" s="76">
        <f t="shared" si="21"/>
        <v>0</v>
      </c>
      <c r="W112" s="76">
        <f t="shared" si="21"/>
        <v>0</v>
      </c>
    </row>
    <row r="113" spans="1:23">
      <c r="A113" s="65" t="s">
        <v>207</v>
      </c>
      <c r="B113" s="2">
        <f t="shared" ref="B113:W113" si="22">SUMIF($X$79:$X$97,400,B$79:B$97)</f>
        <v>0</v>
      </c>
      <c r="C113" s="2">
        <f t="shared" si="22"/>
        <v>0</v>
      </c>
      <c r="D113" s="2">
        <f t="shared" si="22"/>
        <v>0</v>
      </c>
      <c r="E113" s="2">
        <f t="shared" si="22"/>
        <v>0</v>
      </c>
      <c r="F113" s="2">
        <f t="shared" si="22"/>
        <v>0</v>
      </c>
      <c r="G113" s="2">
        <f t="shared" si="22"/>
        <v>0</v>
      </c>
      <c r="H113" s="2">
        <f t="shared" si="22"/>
        <v>0</v>
      </c>
      <c r="I113" s="2">
        <f t="shared" si="22"/>
        <v>0</v>
      </c>
      <c r="J113" s="2">
        <f t="shared" si="22"/>
        <v>0</v>
      </c>
      <c r="K113" s="2">
        <f t="shared" si="22"/>
        <v>0</v>
      </c>
      <c r="L113" s="2">
        <f t="shared" si="22"/>
        <v>0</v>
      </c>
      <c r="M113" s="79">
        <f t="shared" si="22"/>
        <v>0</v>
      </c>
      <c r="N113" s="76">
        <f t="shared" si="22"/>
        <v>0</v>
      </c>
      <c r="O113" s="76">
        <f t="shared" si="22"/>
        <v>0</v>
      </c>
      <c r="P113" s="76">
        <f t="shared" si="22"/>
        <v>0</v>
      </c>
      <c r="Q113" s="76">
        <f t="shared" si="22"/>
        <v>0</v>
      </c>
      <c r="R113" s="76">
        <f t="shared" si="22"/>
        <v>0</v>
      </c>
      <c r="S113" s="76">
        <f t="shared" si="22"/>
        <v>0</v>
      </c>
      <c r="T113" s="76">
        <f t="shared" si="22"/>
        <v>0</v>
      </c>
      <c r="U113" s="76">
        <f t="shared" si="22"/>
        <v>0</v>
      </c>
      <c r="V113" s="76">
        <f t="shared" si="22"/>
        <v>0</v>
      </c>
      <c r="W113" s="76">
        <f t="shared" si="22"/>
        <v>0</v>
      </c>
    </row>
    <row r="114" spans="1:23">
      <c r="A114" s="65" t="s">
        <v>429</v>
      </c>
      <c r="B114" s="2">
        <f t="shared" ref="B114:W114" si="23">SUMIF($X$79:$X$97,600,B$79:B$97)+SUMIF($X$79:$X$97,800,B$79:B$97)</f>
        <v>0</v>
      </c>
      <c r="C114" s="2">
        <f t="shared" si="23"/>
        <v>0</v>
      </c>
      <c r="D114" s="2">
        <f t="shared" si="23"/>
        <v>0</v>
      </c>
      <c r="E114" s="2">
        <f t="shared" si="23"/>
        <v>0</v>
      </c>
      <c r="F114" s="2">
        <f t="shared" si="23"/>
        <v>0</v>
      </c>
      <c r="G114" s="2">
        <f t="shared" si="23"/>
        <v>0</v>
      </c>
      <c r="H114" s="2">
        <f t="shared" si="23"/>
        <v>0</v>
      </c>
      <c r="I114" s="2">
        <f t="shared" si="23"/>
        <v>0</v>
      </c>
      <c r="J114" s="2">
        <f t="shared" si="23"/>
        <v>0</v>
      </c>
      <c r="K114" s="2">
        <f t="shared" si="23"/>
        <v>0</v>
      </c>
      <c r="L114" s="2">
        <f t="shared" si="23"/>
        <v>0</v>
      </c>
      <c r="M114" s="79">
        <f t="shared" si="23"/>
        <v>0</v>
      </c>
      <c r="N114" s="76">
        <f t="shared" si="23"/>
        <v>0</v>
      </c>
      <c r="O114" s="76">
        <f t="shared" si="23"/>
        <v>0</v>
      </c>
      <c r="P114" s="76">
        <f t="shared" si="23"/>
        <v>0</v>
      </c>
      <c r="Q114" s="76">
        <f t="shared" si="23"/>
        <v>0</v>
      </c>
      <c r="R114" s="76">
        <f t="shared" si="23"/>
        <v>0</v>
      </c>
      <c r="S114" s="76">
        <f t="shared" si="23"/>
        <v>0</v>
      </c>
      <c r="T114" s="76">
        <f t="shared" si="23"/>
        <v>0</v>
      </c>
      <c r="U114" s="76">
        <f t="shared" si="23"/>
        <v>0</v>
      </c>
      <c r="V114" s="76">
        <f t="shared" si="23"/>
        <v>0</v>
      </c>
      <c r="W114" s="76">
        <f t="shared" si="23"/>
        <v>0</v>
      </c>
    </row>
    <row r="115" spans="1:23">
      <c r="A115" s="65" t="s">
        <v>430</v>
      </c>
      <c r="B115" s="2">
        <f t="shared" ref="B115:W115" si="24">SUMIF($X$79:$X$97,1200,B$79:B$97)+SUMIF($X$79:$X$97,1600,B$79:B$97)</f>
        <v>0</v>
      </c>
      <c r="C115" s="2">
        <f t="shared" si="24"/>
        <v>0</v>
      </c>
      <c r="D115" s="2">
        <f t="shared" si="24"/>
        <v>0</v>
      </c>
      <c r="E115" s="2">
        <f t="shared" si="24"/>
        <v>0</v>
      </c>
      <c r="F115" s="2">
        <f t="shared" si="24"/>
        <v>0</v>
      </c>
      <c r="G115" s="2">
        <f t="shared" si="24"/>
        <v>0</v>
      </c>
      <c r="H115" s="2">
        <f t="shared" si="24"/>
        <v>0</v>
      </c>
      <c r="I115" s="2">
        <f t="shared" si="24"/>
        <v>0</v>
      </c>
      <c r="J115" s="2">
        <f t="shared" si="24"/>
        <v>0</v>
      </c>
      <c r="K115" s="2">
        <f t="shared" si="24"/>
        <v>0</v>
      </c>
      <c r="L115" s="2">
        <f t="shared" si="24"/>
        <v>0</v>
      </c>
      <c r="M115" s="79">
        <f t="shared" si="24"/>
        <v>0</v>
      </c>
      <c r="N115" s="76">
        <f t="shared" si="24"/>
        <v>0</v>
      </c>
      <c r="O115" s="76">
        <f t="shared" si="24"/>
        <v>0</v>
      </c>
      <c r="P115" s="76">
        <f t="shared" si="24"/>
        <v>0</v>
      </c>
      <c r="Q115" s="76">
        <f t="shared" si="24"/>
        <v>0</v>
      </c>
      <c r="R115" s="76">
        <f t="shared" si="24"/>
        <v>0</v>
      </c>
      <c r="S115" s="76">
        <f t="shared" si="24"/>
        <v>0</v>
      </c>
      <c r="T115" s="76">
        <f t="shared" si="24"/>
        <v>0</v>
      </c>
      <c r="U115" s="76">
        <f t="shared" si="24"/>
        <v>0</v>
      </c>
      <c r="V115" s="76">
        <f t="shared" si="24"/>
        <v>0</v>
      </c>
      <c r="W115" s="76">
        <f t="shared" si="24"/>
        <v>0</v>
      </c>
    </row>
    <row r="116" spans="1:23">
      <c r="A116" s="65" t="s">
        <v>277</v>
      </c>
      <c r="B116" s="2">
        <f>SUM(B79:B97)</f>
        <v>10240.60237971161</v>
      </c>
      <c r="C116" s="2">
        <f t="shared" ref="C116:W116" si="25">SUM(C79:C97)</f>
        <v>14130.041009066761</v>
      </c>
      <c r="D116" s="2">
        <f t="shared" si="25"/>
        <v>0</v>
      </c>
      <c r="E116" s="2">
        <f t="shared" si="25"/>
        <v>0</v>
      </c>
      <c r="F116" s="2">
        <f t="shared" si="25"/>
        <v>0</v>
      </c>
      <c r="G116" s="2">
        <f t="shared" si="25"/>
        <v>0</v>
      </c>
      <c r="H116" s="2">
        <f t="shared" si="25"/>
        <v>0</v>
      </c>
      <c r="I116" s="2">
        <f t="shared" si="25"/>
        <v>0</v>
      </c>
      <c r="J116" s="2">
        <f t="shared" si="25"/>
        <v>0</v>
      </c>
      <c r="K116" s="2">
        <f t="shared" si="25"/>
        <v>0</v>
      </c>
      <c r="L116" s="2">
        <f t="shared" si="25"/>
        <v>0</v>
      </c>
      <c r="M116" s="79">
        <f t="shared" si="25"/>
        <v>61.107077393517756</v>
      </c>
      <c r="N116" s="76">
        <f t="shared" si="25"/>
        <v>65.483986041131715</v>
      </c>
      <c r="O116" s="76">
        <f t="shared" si="25"/>
        <v>0</v>
      </c>
      <c r="P116" s="76">
        <f t="shared" si="25"/>
        <v>0</v>
      </c>
      <c r="Q116" s="76">
        <f t="shared" si="25"/>
        <v>0</v>
      </c>
      <c r="R116" s="76">
        <f t="shared" si="25"/>
        <v>0</v>
      </c>
      <c r="S116" s="76">
        <f t="shared" si="25"/>
        <v>0</v>
      </c>
      <c r="T116" s="76">
        <f t="shared" si="25"/>
        <v>0</v>
      </c>
      <c r="U116" s="76">
        <f t="shared" si="25"/>
        <v>0</v>
      </c>
      <c r="V116" s="76">
        <f t="shared" si="25"/>
        <v>0</v>
      </c>
      <c r="W116" s="76">
        <f t="shared" si="25"/>
        <v>0</v>
      </c>
    </row>
    <row r="120" spans="1:23">
      <c r="A120" t="s">
        <v>275</v>
      </c>
    </row>
    <row r="121" spans="1:23">
      <c r="A121" s="40" t="s">
        <v>213</v>
      </c>
      <c r="B121" s="17">
        <v>2018</v>
      </c>
      <c r="C121" s="17">
        <v>2019</v>
      </c>
      <c r="D121" s="17">
        <v>2020</v>
      </c>
      <c r="E121" s="17">
        <v>2021</v>
      </c>
      <c r="F121" s="17">
        <v>2022</v>
      </c>
      <c r="G121" s="17">
        <v>2023</v>
      </c>
      <c r="H121" s="17">
        <v>2024</v>
      </c>
      <c r="I121" s="17">
        <v>2025</v>
      </c>
      <c r="J121" s="17">
        <v>2026</v>
      </c>
      <c r="K121" s="17">
        <v>2027</v>
      </c>
      <c r="L121" s="17">
        <v>2028</v>
      </c>
    </row>
    <row r="122" spans="1:23">
      <c r="A122" s="25" t="s">
        <v>250</v>
      </c>
      <c r="B122" s="32">
        <f>SUMPRODUCT(B42:B$78,$X$42:$X$78)/10^6</f>
        <v>176.35414488345111</v>
      </c>
      <c r="C122" s="32">
        <f>SUMPRODUCT(C42:C$78,$X$42:$X$78)/10^6</f>
        <v>203.17680739439862</v>
      </c>
      <c r="D122" s="32">
        <f>SUMPRODUCT(D42:D$78,$X$42:$X$78)/10^6</f>
        <v>0</v>
      </c>
      <c r="E122" s="32">
        <f>SUMPRODUCT(E42:E$78,$X$42:$X$78)/10^6</f>
        <v>0</v>
      </c>
      <c r="F122" s="32">
        <f>SUMPRODUCT(F42:F$78,$X$42:$X$78)/10^6</f>
        <v>0</v>
      </c>
      <c r="G122" s="32">
        <f>SUMPRODUCT(G42:G$78,$X$42:$X$78)/10^6</f>
        <v>0</v>
      </c>
      <c r="H122" s="32">
        <f>SUMPRODUCT(H42:H$78,$X$42:$X$78)/10^6</f>
        <v>0</v>
      </c>
      <c r="I122" s="32">
        <f>SUMPRODUCT(I42:I$78,$X$42:$X$78)/10^6</f>
        <v>0</v>
      </c>
      <c r="J122" s="32">
        <f>SUMPRODUCT(J42:J$78,$X$42:$X$78)/10^6</f>
        <v>0</v>
      </c>
      <c r="K122" s="32">
        <f>SUMPRODUCT(K42:K$78,$X$42:$X$78)/10^6</f>
        <v>0</v>
      </c>
      <c r="L122" s="32">
        <f>SUMPRODUCT(L42:L$78,$X$42:$X$78)/10^6</f>
        <v>0</v>
      </c>
    </row>
    <row r="123" spans="1:23">
      <c r="A123" s="25" t="s">
        <v>251</v>
      </c>
      <c r="B123" s="54">
        <f>B122</f>
        <v>176.35414488345111</v>
      </c>
      <c r="C123" s="29">
        <f>B123+C122</f>
        <v>379.53095227784974</v>
      </c>
      <c r="D123" s="29">
        <f>C123+D122</f>
        <v>379.53095227784974</v>
      </c>
      <c r="E123" s="29">
        <f t="shared" ref="E123:L123" si="26">D123+E122</f>
        <v>379.53095227784974</v>
      </c>
      <c r="F123" s="29">
        <f t="shared" si="26"/>
        <v>379.53095227784974</v>
      </c>
      <c r="G123" s="29">
        <f t="shared" si="26"/>
        <v>379.53095227784974</v>
      </c>
      <c r="H123" s="29">
        <f t="shared" si="26"/>
        <v>379.53095227784974</v>
      </c>
      <c r="I123" s="29">
        <f t="shared" si="26"/>
        <v>379.53095227784974</v>
      </c>
      <c r="J123" s="29">
        <f t="shared" si="26"/>
        <v>379.53095227784974</v>
      </c>
      <c r="K123" s="29">
        <f t="shared" si="26"/>
        <v>379.53095227784974</v>
      </c>
      <c r="L123" s="29">
        <f t="shared" si="26"/>
        <v>379.53095227784974</v>
      </c>
    </row>
    <row r="124" spans="1:23">
      <c r="A124" s="25" t="s">
        <v>252</v>
      </c>
      <c r="B124" s="26"/>
      <c r="C124" s="31">
        <f>C123/B123-1</f>
        <v>1.1520954470827669</v>
      </c>
      <c r="D124" s="31">
        <f t="shared" ref="D124:L124" si="27">D123/C123-1</f>
        <v>0</v>
      </c>
      <c r="E124" s="31">
        <f t="shared" si="27"/>
        <v>0</v>
      </c>
      <c r="F124" s="31">
        <f t="shared" si="27"/>
        <v>0</v>
      </c>
      <c r="G124" s="31">
        <f t="shared" si="27"/>
        <v>0</v>
      </c>
      <c r="H124" s="31">
        <f t="shared" si="27"/>
        <v>0</v>
      </c>
      <c r="I124" s="31">
        <f t="shared" si="27"/>
        <v>0</v>
      </c>
      <c r="J124" s="31">
        <f t="shared" si="27"/>
        <v>0</v>
      </c>
      <c r="K124" s="31">
        <f t="shared" si="27"/>
        <v>0</v>
      </c>
      <c r="L124" s="31">
        <f t="shared" si="27"/>
        <v>0</v>
      </c>
    </row>
    <row r="126" spans="1:23">
      <c r="A126" s="40" t="s">
        <v>214</v>
      </c>
      <c r="B126" s="17">
        <v>2018</v>
      </c>
      <c r="C126" s="17">
        <v>2019</v>
      </c>
      <c r="D126" s="17">
        <v>2020</v>
      </c>
      <c r="E126" s="17">
        <v>2021</v>
      </c>
      <c r="F126" s="17">
        <v>2022</v>
      </c>
      <c r="G126" s="17">
        <v>2023</v>
      </c>
      <c r="H126" s="17">
        <v>2024</v>
      </c>
      <c r="I126" s="17">
        <v>2025</v>
      </c>
      <c r="J126" s="17">
        <v>2026</v>
      </c>
      <c r="K126" s="17">
        <v>2027</v>
      </c>
      <c r="L126" s="17">
        <v>2028</v>
      </c>
    </row>
    <row r="127" spans="1:23">
      <c r="A127" s="25" t="s">
        <v>250</v>
      </c>
      <c r="B127" s="41">
        <f>SUMPRODUCT(B79:B$97,$X$79:$X$97)/10^6</f>
        <v>0.94504341750394871</v>
      </c>
      <c r="C127" s="41">
        <f>SUMPRODUCT(C79:C$97,$X$79:$X$97)/10^6</f>
        <v>1.5446568752906686</v>
      </c>
      <c r="D127" s="41">
        <f>SUMPRODUCT(D79:D$97,$X$79:$X$97)/10^6</f>
        <v>0</v>
      </c>
      <c r="E127" s="41">
        <f>SUMPRODUCT(E79:E$97,$X$79:$X$97)/10^6</f>
        <v>0</v>
      </c>
      <c r="F127" s="41">
        <f>SUMPRODUCT(F79:F$97,$X$79:$X$97)/10^6</f>
        <v>0</v>
      </c>
      <c r="G127" s="41">
        <f>SUMPRODUCT(G79:G$97,$X$79:$X$97)/10^6</f>
        <v>0</v>
      </c>
      <c r="H127" s="41">
        <f>SUMPRODUCT(H79:H$97,$X$79:$X$97)/10^6</f>
        <v>0</v>
      </c>
      <c r="I127" s="41">
        <f>SUMPRODUCT(I79:I$97,$X$79:$X$97)/10^6</f>
        <v>0</v>
      </c>
      <c r="J127" s="41">
        <f>SUMPRODUCT(J79:J$97,$X$79:$X$97)/10^6</f>
        <v>0</v>
      </c>
      <c r="K127" s="41">
        <f>SUMPRODUCT(K79:K$97,$X$79:$X$97)/10^6</f>
        <v>0</v>
      </c>
      <c r="L127" s="41">
        <f>SUMPRODUCT(L79:L$97,$X$79:$X$97)/10^6</f>
        <v>0</v>
      </c>
    </row>
    <row r="128" spans="1:23">
      <c r="A128" s="25" t="s">
        <v>251</v>
      </c>
      <c r="B128" s="54">
        <f>B127</f>
        <v>0.94504341750394871</v>
      </c>
      <c r="C128" s="29">
        <f>B128+C127</f>
        <v>2.4897002927946175</v>
      </c>
      <c r="D128" s="29">
        <f>C128+D127</f>
        <v>2.4897002927946175</v>
      </c>
      <c r="E128" s="29">
        <f t="shared" ref="E128:L128" si="28">D128+E127</f>
        <v>2.4897002927946175</v>
      </c>
      <c r="F128" s="29">
        <f t="shared" si="28"/>
        <v>2.4897002927946175</v>
      </c>
      <c r="G128" s="29">
        <f t="shared" si="28"/>
        <v>2.4897002927946175</v>
      </c>
      <c r="H128" s="29">
        <f t="shared" si="28"/>
        <v>2.4897002927946175</v>
      </c>
      <c r="I128" s="29">
        <f t="shared" si="28"/>
        <v>2.4897002927946175</v>
      </c>
      <c r="J128" s="29">
        <f t="shared" si="28"/>
        <v>2.4897002927946175</v>
      </c>
      <c r="K128" s="29">
        <f t="shared" si="28"/>
        <v>2.4897002927946175</v>
      </c>
      <c r="L128" s="29">
        <f t="shared" si="28"/>
        <v>2.4897002927946175</v>
      </c>
    </row>
    <row r="129" spans="1:12">
      <c r="A129" s="25" t="s">
        <v>252</v>
      </c>
      <c r="B129" s="26"/>
      <c r="C129" s="31">
        <f>C128/B128-1</f>
        <v>1.6344824445954247</v>
      </c>
      <c r="D129" s="31">
        <f t="shared" ref="D129:L129" si="29">D128/C128-1</f>
        <v>0</v>
      </c>
      <c r="E129" s="31">
        <f t="shared" si="29"/>
        <v>0</v>
      </c>
      <c r="F129" s="31">
        <f t="shared" si="29"/>
        <v>0</v>
      </c>
      <c r="G129" s="31">
        <f t="shared" si="29"/>
        <v>0</v>
      </c>
      <c r="H129" s="31">
        <f t="shared" si="29"/>
        <v>0</v>
      </c>
      <c r="I129" s="31">
        <f t="shared" si="29"/>
        <v>0</v>
      </c>
      <c r="J129" s="31">
        <f t="shared" si="29"/>
        <v>0</v>
      </c>
      <c r="K129" s="31">
        <f t="shared" si="29"/>
        <v>0</v>
      </c>
      <c r="L129" s="31">
        <f t="shared" si="29"/>
        <v>0</v>
      </c>
    </row>
  </sheetData>
  <mergeCells count="2">
    <mergeCell ref="B39:L39"/>
    <mergeCell ref="M39:W39"/>
  </mergeCells>
  <conditionalFormatting sqref="B41:W97">
    <cfRule type="expression" dxfId="0" priority="1">
      <formula>B41&lt;0</formula>
    </cfRule>
  </conditionalFormatting>
  <dataValidations count="1">
    <dataValidation type="list" allowBlank="1" showInputMessage="1" showErrorMessage="1" sqref="A42:A97" xr:uid="{00000000-0002-0000-0E00-000000000000}">
      <formula1>INDIRECT("Products[LookupCodes]")</formula1>
    </dataValidation>
  </dataValidations>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X142"/>
  <sheetViews>
    <sheetView zoomScale="50" zoomScaleNormal="50" workbookViewId="0">
      <selection activeCell="A5" sqref="A5"/>
    </sheetView>
  </sheetViews>
  <sheetFormatPr defaultColWidth="8.5" defaultRowHeight="15.75"/>
  <cols>
    <col min="1" max="1" width="35.5" bestFit="1" customWidth="1"/>
    <col min="2" max="2" width="11.5" bestFit="1" customWidth="1"/>
    <col min="3" max="5" width="9.5" bestFit="1" customWidth="1"/>
    <col min="6" max="6" width="11" customWidth="1"/>
    <col min="7" max="7" width="13" customWidth="1"/>
    <col min="8" max="8" width="11.3125" customWidth="1"/>
    <col min="9" max="12" width="9.5" bestFit="1" customWidth="1"/>
  </cols>
  <sheetData>
    <row r="1" spans="1:24" s="1" customFormat="1" ht="14.25">
      <c r="A1" s="19"/>
    </row>
    <row r="2" spans="1:24" s="1" customFormat="1" ht="18">
      <c r="A2" s="20" t="str">
        <f>'Figures in the Report'!B2</f>
        <v>LightCounting Mega Datacenter Report Database</v>
      </c>
    </row>
    <row r="3" spans="1:24" s="1" customFormat="1">
      <c r="A3" s="21" t="str">
        <f>'Figures in the Report'!B3</f>
        <v xml:space="preserve"> Mega Datacenter Report - July 2023  sample template</v>
      </c>
    </row>
    <row r="4" spans="1:24" s="1" customFormat="1" ht="21">
      <c r="A4" s="22" t="str">
        <f>"Forecast for "&amp;A9</f>
        <v>Forecast for Cloud total</v>
      </c>
    </row>
    <row r="5" spans="1:24" s="1" customFormat="1" ht="14.25">
      <c r="A5" s="19"/>
    </row>
    <row r="9" spans="1:24">
      <c r="A9" s="12" t="s">
        <v>244</v>
      </c>
      <c r="B9" s="221" t="s">
        <v>249</v>
      </c>
      <c r="C9" s="221"/>
      <c r="D9" s="221"/>
      <c r="E9" s="221"/>
      <c r="F9" s="221"/>
      <c r="G9" s="221"/>
      <c r="H9" s="221"/>
      <c r="I9" s="221"/>
      <c r="J9" s="221"/>
      <c r="K9" s="221"/>
      <c r="L9" s="221"/>
      <c r="M9" s="222" t="s">
        <v>351</v>
      </c>
      <c r="N9" s="222"/>
      <c r="O9" s="222"/>
      <c r="P9" s="222"/>
      <c r="Q9" s="222"/>
      <c r="R9" s="222"/>
      <c r="S9" s="222"/>
      <c r="T9" s="222"/>
      <c r="U9" s="222"/>
      <c r="V9" s="222"/>
      <c r="W9" s="222"/>
    </row>
    <row r="10" spans="1:24" s="7" customFormat="1" ht="13.15">
      <c r="A10" s="13" t="s">
        <v>342</v>
      </c>
      <c r="B10" s="10" t="s">
        <v>233</v>
      </c>
      <c r="C10" s="10" t="s">
        <v>234</v>
      </c>
      <c r="D10" s="10" t="s">
        <v>235</v>
      </c>
      <c r="E10" s="10" t="s">
        <v>236</v>
      </c>
      <c r="F10" s="10" t="s">
        <v>237</v>
      </c>
      <c r="G10" s="10" t="s">
        <v>238</v>
      </c>
      <c r="H10" s="10" t="s">
        <v>239</v>
      </c>
      <c r="I10" s="10" t="s">
        <v>240</v>
      </c>
      <c r="J10" s="10" t="s">
        <v>241</v>
      </c>
      <c r="K10" s="10" t="s">
        <v>242</v>
      </c>
      <c r="L10" s="10" t="s">
        <v>243</v>
      </c>
      <c r="M10" s="11" t="s">
        <v>222</v>
      </c>
      <c r="N10" s="11" t="s">
        <v>223</v>
      </c>
      <c r="O10" s="11" t="s">
        <v>224</v>
      </c>
      <c r="P10" s="11" t="s">
        <v>225</v>
      </c>
      <c r="Q10" s="11" t="s">
        <v>226</v>
      </c>
      <c r="R10" s="11" t="s">
        <v>227</v>
      </c>
      <c r="S10" s="11" t="s">
        <v>228</v>
      </c>
      <c r="T10" s="11" t="s">
        <v>229</v>
      </c>
      <c r="U10" s="11" t="s">
        <v>230</v>
      </c>
      <c r="V10" s="11" t="s">
        <v>231</v>
      </c>
      <c r="W10" s="11" t="s">
        <v>232</v>
      </c>
      <c r="X10" s="27" t="s">
        <v>253</v>
      </c>
    </row>
    <row r="11" spans="1:24" s="1" customFormat="1">
      <c r="A11" s="15" t="s">
        <v>149</v>
      </c>
      <c r="B11" s="8">
        <f xml:space="preserve"> SUMIF(tblGoogleUnits[Products],$A11, tblGoogleUnits[cv_2018]) + SUMIF(tblMetaUnits[Products],$A11, tblMetaUnits[cv_2018]) + SUMIF(tblAmazonUnits[Products],$A11, tblAmazonUnits[cv_2018]) + SUMIF(tblMicrosoftUnits[Products],$A11, tblMicrosoftUnits[cv_2018]) + SUMIF(tblAppleUnits[Products],$A11, tblAppleUnits[cv_2018]) + SUMIF(tblAlibabaUnits[Products],$A11, tblAlibabaUnits[cv_2018]) + SUMIF(tblHuaweiUnits[Products],$A11, tblHuaweiUnits[cv_2018]) + SUMIF(tblTencentUnits[Products],$A11, tblTencentUnits[cv_2018]) + SUMIF(tblBaiduUnits[Products],$A11, tblBaiduUnits[cv_2018]) + SUMIF(tblByteDanceUnits[Products],$A11, tblByteDanceUnits[cv_2018]) + SUMIF(tblCloudAOUnits[Products],$A11, tblCloudAOUnits[cv_2018])</f>
        <v>0</v>
      </c>
      <c r="C11" s="8">
        <f xml:space="preserve"> SUMIF(tblGoogleUnits[Products],$A11, tblGoogleUnits[cv_2019]) + SUMIF(tblMetaUnits[Products],$A11, tblMetaUnits[cv_2019]) + SUMIF(tblAmazonUnits[Products],$A11, tblAmazonUnits[cv_2019]) + SUMIF(tblMicrosoftUnits[Products],$A11, tblMicrosoftUnits[cv_2019]) + SUMIF(tblAppleUnits[Products],$A11, tblAppleUnits[cv_2019]) + SUMIF(tblAlibabaUnits[Products],$A11, tblAlibabaUnits[cv_2019]) + SUMIF(tblHuaweiUnits[Products],$A11, tblHuaweiUnits[cv_2019]) + SUMIF(tblTencentUnits[Products],$A11, tblTencentUnits[cv_2019]) + SUMIF(tblBaiduUnits[Products],$A11, tblBaiduUnits[cv_2019]) + SUMIF(tblByteDanceUnits[Products],$A11, tblByteDanceUnits[cv_2019]) + SUMIF(tblCloudAOUnits[Products],$A11, tblCloudAOUnits[cv_2019])</f>
        <v>0</v>
      </c>
      <c r="D11" s="8">
        <f xml:space="preserve"> SUMIF(tblGoogleUnits[Products],$A11, tblGoogleUnits[cv_2020]) + SUMIF(tblMetaUnits[Products],$A11, tblMetaUnits[cv_2020]) + SUMIF(tblAmazonUnits[Products],$A11, tblAmazonUnits[cv_2020]) + SUMIF(tblMicrosoftUnits[Products],$A11, tblMicrosoftUnits[cv_2020]) + SUMIF(tblAppleUnits[Products],$A11, tblAppleUnits[cv_2020]) + SUMIF(tblAlibabaUnits[Products],$A11, tblAlibabaUnits[cv_2020]) + SUMIF(tblHuaweiUnits[Products],$A11, tblHuaweiUnits[cv_2020]) + SUMIF(tblTencentUnits[Products],$A11, tblTencentUnits[cv_2020]) + SUMIF(tblBaiduUnits[Products],$A11, tblBaiduUnits[cv_2020]) + SUMIF(tblByteDanceUnits[Products],$A11, tblByteDanceUnits[cv_2020]) + SUMIF(tblCloudAOUnits[Products],$A11, tblCloudAOUnits[cv_2020])</f>
        <v>0</v>
      </c>
      <c r="E11" s="8">
        <f xml:space="preserve"> SUMIF(tblGoogleUnits[Products],$A11, tblGoogleUnits[cv_2021]) + SUMIF(tblMetaUnits[Products],$A11, tblMetaUnits[cv_2021]) + SUMIF(tblAmazonUnits[Products],$A11, tblAmazonUnits[cv_2021]) + SUMIF(tblMicrosoftUnits[Products],$A11, tblMicrosoftUnits[cv_2021]) + SUMIF(tblAppleUnits[Products],$A11, tblAppleUnits[cv_2021]) + SUMIF(tblAlibabaUnits[Products],$A11, tblAlibabaUnits[cv_2021]) + SUMIF(tblHuaweiUnits[Products],$A11, tblHuaweiUnits[cv_2021]) + SUMIF(tblTencentUnits[Products],$A11, tblTencentUnits[cv_2021]) + SUMIF(tblBaiduUnits[Products],$A11, tblBaiduUnits[cv_2021]) + SUMIF(tblByteDanceUnits[Products],$A11, tblByteDanceUnits[cv_2021]) + SUMIF(tblCloudAOUnits[Products],$A11, tblCloudAOUnits[cv_2021])</f>
        <v>0</v>
      </c>
      <c r="F11" s="8">
        <f xml:space="preserve"> SUMIF(tblGoogleUnits[Products],$A11, tblGoogleUnits[cv_2022]) + SUMIF(tblMetaUnits[Products],$A11, tblMetaUnits[cv_2022]) + SUMIF(tblAmazonUnits[Products],$A11, tblAmazonUnits[cv_2022]) + SUMIF(tblMicrosoftUnits[Products],$A11, tblMicrosoftUnits[cv_2022]) + SUMIF(tblAppleUnits[Products],$A11, tblAppleUnits[cv_2022]) + SUMIF(tblAlibabaUnits[Products],$A11, tblAlibabaUnits[cv_2022]) + SUMIF(tblHuaweiUnits[Products],$A11, tblHuaweiUnits[cv_2022]) + SUMIF(tblTencentUnits[Products],$A11, tblTencentUnits[cv_2022]) + SUMIF(tblBaiduUnits[Products],$A11, tblBaiduUnits[cv_2022]) + SUMIF(tblByteDanceUnits[Products],$A11, tblByteDanceUnits[cv_2022]) + SUMIF(tblCloudAOUnits[Products],$A11, tblCloudAOUnits[cv_2022])</f>
        <v>0</v>
      </c>
      <c r="G11" s="8">
        <f xml:space="preserve"> SUMIF(tblGoogleUnits[Products],$A11, tblGoogleUnits[cv_2023]) + SUMIF(tblMetaUnits[Products],$A11, tblMetaUnits[cv_2023]) + SUMIF(tblAmazonUnits[Products],$A11, tblAmazonUnits[cv_2023]) + SUMIF(tblMicrosoftUnits[Products],$A11, tblMicrosoftUnits[cv_2023]) + SUMIF(tblAppleUnits[Products],$A11, tblAppleUnits[cv_2023]) + SUMIF(tblAlibabaUnits[Products],$A11, tblAlibabaUnits[cv_2023]) + SUMIF(tblHuaweiUnits[Products],$A11, tblHuaweiUnits[cv_2023]) + SUMIF(tblTencentUnits[Products],$A11, tblTencentUnits[cv_2023]) + SUMIF(tblBaiduUnits[Products],$A11, tblBaiduUnits[cv_2023]) + SUMIF(tblByteDanceUnits[Products],$A11, tblByteDanceUnits[cv_2023]) + SUMIF(tblCloudAOUnits[Products],$A11, tblCloudAOUnits[cv_2023])</f>
        <v>0</v>
      </c>
      <c r="H11" s="8">
        <f xml:space="preserve"> SUMIF(tblGoogleUnits[Products],$A11, tblGoogleUnits[cv_2024]) + SUMIF(tblMetaUnits[Products],$A11, tblMetaUnits[cv_2024]) + SUMIF(tblAmazonUnits[Products],$A11, tblAmazonUnits[cv_2024]) + SUMIF(tblMicrosoftUnits[Products],$A11, tblMicrosoftUnits[cv_2024]) + SUMIF(tblAppleUnits[Products],$A11, tblAppleUnits[cv_2024]) + SUMIF(tblAlibabaUnits[Products],$A11, tblAlibabaUnits[cv_2024]) + SUMIF(tblHuaweiUnits[Products],$A11, tblHuaweiUnits[cv_2024]) + SUMIF(tblTencentUnits[Products],$A11, tblTencentUnits[cv_2024]) + SUMIF(tblBaiduUnits[Products],$A11, tblBaiduUnits[cv_2024]) + SUMIF(tblByteDanceUnits[Products],$A11, tblByteDanceUnits[cv_2024]) + SUMIF(tblCloudAOUnits[Products],$A11, tblCloudAOUnits[cv_2024])</f>
        <v>0</v>
      </c>
      <c r="I11" s="8">
        <f xml:space="preserve"> SUMIF(tblGoogleUnits[Products],$A11, tblGoogleUnits[cv_2025]) + SUMIF(tblMetaUnits[Products],$A11, tblMetaUnits[cv_2025]) + SUMIF(tblAmazonUnits[Products],$A11, tblAmazonUnits[cv_2025]) + SUMIF(tblMicrosoftUnits[Products],$A11, tblMicrosoftUnits[cv_2025]) + SUMIF(tblAppleUnits[Products],$A11, tblAppleUnits[cv_2025]) + SUMIF(tblAlibabaUnits[Products],$A11, tblAlibabaUnits[cv_2025]) + SUMIF(tblHuaweiUnits[Products],$A11, tblHuaweiUnits[cv_2025]) + SUMIF(tblTencentUnits[Products],$A11, tblTencentUnits[cv_2025]) + SUMIF(tblBaiduUnits[Products],$A11, tblBaiduUnits[cv_2025]) + SUMIF(tblByteDanceUnits[Products],$A11, tblByteDanceUnits[cv_2025]) + SUMIF(tblCloudAOUnits[Products],$A11, tblCloudAOUnits[cv_2025])</f>
        <v>0</v>
      </c>
      <c r="J11" s="8">
        <f xml:space="preserve"> SUMIF(tblGoogleUnits[Products],$A11, tblGoogleUnits[cv_2026]) + SUMIF(tblMetaUnits[Products],$A11, tblMetaUnits[cv_2026]) + SUMIF(tblAmazonUnits[Products],$A11, tblAmazonUnits[cv_2026]) + SUMIF(tblMicrosoftUnits[Products],$A11, tblMicrosoftUnits[cv_2026]) + SUMIF(tblAppleUnits[Products],$A11, tblAppleUnits[cv_2026]) + SUMIF(tblAlibabaUnits[Products],$A11, tblAlibabaUnits[cv_2026]) + SUMIF(tblHuaweiUnits[Products],$A11, tblHuaweiUnits[cv_2026]) + SUMIF(tblTencentUnits[Products],$A11, tblTencentUnits[cv_2026]) + SUMIF(tblBaiduUnits[Products],$A11, tblBaiduUnits[cv_2026]) + SUMIF(tblByteDanceUnits[Products],$A11, tblByteDanceUnits[cv_2026]) + SUMIF(tblCloudAOUnits[Products],$A11, tblCloudAOUnits[cv_2026])</f>
        <v>0</v>
      </c>
      <c r="K11" s="8">
        <f xml:space="preserve"> SUMIF(tblGoogleUnits[Products],$A11, tblGoogleUnits[cv_2027]) + SUMIF(tblMetaUnits[Products],$A11, tblMetaUnits[cv_2027]) + SUMIF(tblAmazonUnits[Products],$A11, tblAmazonUnits[cv_2027]) + SUMIF(tblMicrosoftUnits[Products],$A11, tblMicrosoftUnits[cv_2027]) + SUMIF(tblAppleUnits[Products],$A11, tblAppleUnits[cv_2027]) + SUMIF(tblAlibabaUnits[Products],$A11, tblAlibabaUnits[cv_2027]) + SUMIF(tblHuaweiUnits[Products],$A11, tblHuaweiUnits[cv_2027]) + SUMIF(tblTencentUnits[Products],$A11, tblTencentUnits[cv_2027]) + SUMIF(tblBaiduUnits[Products],$A11, tblBaiduUnits[cv_2027]) + SUMIF(tblByteDanceUnits[Products],$A11, tblByteDanceUnits[cv_2027]) + SUMIF(tblCloudAOUnits[Products],$A11, tblCloudAOUnits[cv_2027])</f>
        <v>0</v>
      </c>
      <c r="L11" s="8">
        <f xml:space="preserve"> SUMIF(tblGoogleUnits[Products],$A11, tblGoogleUnits[cv_2028]) + SUMIF(tblMetaUnits[Products],$A11, tblMetaUnits[cv_2028]) + SUMIF(tblAmazonUnits[Products],$A11, tblAmazonUnits[cv_2028]) + SUMIF(tblMicrosoftUnits[Products],$A11, tblMicrosoftUnits[cv_2028]) + SUMIF(tblAppleUnits[Products],$A11, tblAppleUnits[cv_2028]) + SUMIF(tblAlibabaUnits[Products],$A11, tblAlibabaUnits[cv_2028]) + SUMIF(tblHuaweiUnits[Products],$A11, tblHuaweiUnits[cv_2028]) + SUMIF(tblTencentUnits[Products],$A11, tblTencentUnits[cv_2028]) + SUMIF(tblBaiduUnits[Products],$A11, tblBaiduUnits[cv_2028]) + SUMIF(tblByteDanceUnits[Products],$A11, tblByteDanceUnits[cv_2028]) + SUMIF(tblCloudAOUnits[Products],$A11, tblCloudAOUnits[cv_2028])</f>
        <v>0</v>
      </c>
      <c r="M11" s="122">
        <f>10^-6*B11*INDEX(TotalMarket!$M$26:$W$125,MATCH($A11,$A$11:$A$132,0),MATCH(M$10,$M$10:$W$10))</f>
        <v>0</v>
      </c>
      <c r="N11" s="122">
        <f>10^-6*C11*INDEX(TotalMarket!$M$26:$W$125,MATCH($A11,$A$11:$A$132,0),MATCH(N$10,$M$10:$W$10))</f>
        <v>0</v>
      </c>
      <c r="O11" s="122">
        <f>10^-6*D11*INDEX(TotalMarket!$M$26:$W$125,MATCH($A11,$A$11:$A$132,0),MATCH(O$10,$M$10:$W$10))</f>
        <v>0</v>
      </c>
      <c r="P11" s="122">
        <f>10^-6*E11*INDEX(TotalMarket!$M$26:$W$125,MATCH($A11,$A$11:$A$132,0),MATCH(P$10,$M$10:$W$10))</f>
        <v>0</v>
      </c>
      <c r="Q11" s="122">
        <f>10^-6*F11*INDEX(TotalMarket!$M$26:$W$125,MATCH($A11,$A$11:$A$132,0),MATCH(Q$10,$M$10:$W$10))</f>
        <v>0</v>
      </c>
      <c r="R11" s="122">
        <f>10^-6*G11*INDEX(TotalMarket!$M$26:$W$125,MATCH($A11,$A$11:$A$132,0),MATCH(R$10,$M$10:$W$10))</f>
        <v>0</v>
      </c>
      <c r="S11" s="122">
        <f>10^-6*H11*INDEX(TotalMarket!$M$26:$W$125,MATCH($A11,$A$11:$A$132,0),MATCH(S$10,$M$10:$W$10))</f>
        <v>0</v>
      </c>
      <c r="T11" s="122">
        <f>10^-6*I11*INDEX(TotalMarket!$M$26:$W$125,MATCH($A11,$A$11:$A$132,0),MATCH(T$10,$M$10:$W$10))</f>
        <v>0</v>
      </c>
      <c r="U11" s="122">
        <f>10^-6*J11*INDEX(TotalMarket!$M$26:$W$125,MATCH($A11,$A$11:$A$132,0),MATCH(U$10,$M$10:$W$10))</f>
        <v>0</v>
      </c>
      <c r="V11" s="122">
        <f>10^-6*K11*INDEX(TotalMarket!$M$26:$W$125,MATCH($A11,$A$11:$A$132,0),MATCH(V$10,$M$10:$W$10))</f>
        <v>0</v>
      </c>
      <c r="W11" s="122">
        <f>10^-6*L11*INDEX(TotalMarket!$M$26:$W$125,MATCH($A11,$A$11:$A$132,0),MATCH(W$10,$M$10:$W$10))</f>
        <v>0</v>
      </c>
      <c r="X11" s="1">
        <v>1</v>
      </c>
    </row>
    <row r="12" spans="1:24" s="1" customFormat="1">
      <c r="A12" s="15" t="s">
        <v>150</v>
      </c>
      <c r="B12" s="8">
        <f xml:space="preserve"> SUMIF(tblGoogleUnits[Products],$A12, tblGoogleUnits[cv_2018]) + SUMIF(tblMetaUnits[Products],$A12, tblMetaUnits[cv_2018]) + SUMIF(tblAmazonUnits[Products],$A12, tblAmazonUnits[cv_2018]) + SUMIF(tblMicrosoftUnits[Products],$A12, tblMicrosoftUnits[cv_2018]) + SUMIF(tblAppleUnits[Products],$A12, tblAppleUnits[cv_2018]) + SUMIF(tblAlibabaUnits[Products],$A12, tblAlibabaUnits[cv_2018]) + SUMIF(tblHuaweiUnits[Products],$A12, tblHuaweiUnits[cv_2018]) + SUMIF(tblTencentUnits[Products],$A12, tblTencentUnits[cv_2018]) + SUMIF(tblBaiduUnits[Products],$A12, tblBaiduUnits[cv_2018]) + SUMIF(tblByteDanceUnits[Products],$A12, tblByteDanceUnits[cv_2018]) + SUMIF(tblCloudAOUnits[Products],$A12, tblCloudAOUnits[cv_2018])</f>
        <v>235351.83</v>
      </c>
      <c r="C12" s="8">
        <f xml:space="preserve"> SUMIF(tblGoogleUnits[Products],$A12, tblGoogleUnits[cv_2019]) + SUMIF(tblMetaUnits[Products],$A12, tblMetaUnits[cv_2019]) + SUMIF(tblAmazonUnits[Products],$A12, tblAmazonUnits[cv_2019]) + SUMIF(tblMicrosoftUnits[Products],$A12, tblMicrosoftUnits[cv_2019]) + SUMIF(tblAppleUnits[Products],$A12, tblAppleUnits[cv_2019]) + SUMIF(tblAlibabaUnits[Products],$A12, tblAlibabaUnits[cv_2019]) + SUMIF(tblHuaweiUnits[Products],$A12, tblHuaweiUnits[cv_2019]) + SUMIF(tblTencentUnits[Products],$A12, tblTencentUnits[cv_2019]) + SUMIF(tblBaiduUnits[Products],$A12, tblBaiduUnits[cv_2019]) + SUMIF(tblByteDanceUnits[Products],$A12, tblByteDanceUnits[cv_2019]) + SUMIF(tblCloudAOUnits[Products],$A12, tblCloudAOUnits[cv_2019])</f>
        <v>0</v>
      </c>
      <c r="D12" s="8">
        <f xml:space="preserve"> SUMIF(tblGoogleUnits[Products],$A12, tblGoogleUnits[cv_2020]) + SUMIF(tblMetaUnits[Products],$A12, tblMetaUnits[cv_2020]) + SUMIF(tblAmazonUnits[Products],$A12, tblAmazonUnits[cv_2020]) + SUMIF(tblMicrosoftUnits[Products],$A12, tblMicrosoftUnits[cv_2020]) + SUMIF(tblAppleUnits[Products],$A12, tblAppleUnits[cv_2020]) + SUMIF(tblAlibabaUnits[Products],$A12, tblAlibabaUnits[cv_2020]) + SUMIF(tblHuaweiUnits[Products],$A12, tblHuaweiUnits[cv_2020]) + SUMIF(tblTencentUnits[Products],$A12, tblTencentUnits[cv_2020]) + SUMIF(tblBaiduUnits[Products],$A12, tblBaiduUnits[cv_2020]) + SUMIF(tblByteDanceUnits[Products],$A12, tblByteDanceUnits[cv_2020]) + SUMIF(tblCloudAOUnits[Products],$A12, tblCloudAOUnits[cv_2020])</f>
        <v>0</v>
      </c>
      <c r="E12" s="8">
        <f xml:space="preserve"> SUMIF(tblGoogleUnits[Products],$A12, tblGoogleUnits[cv_2021]) + SUMIF(tblMetaUnits[Products],$A12, tblMetaUnits[cv_2021]) + SUMIF(tblAmazonUnits[Products],$A12, tblAmazonUnits[cv_2021]) + SUMIF(tblMicrosoftUnits[Products],$A12, tblMicrosoftUnits[cv_2021]) + SUMIF(tblAppleUnits[Products],$A12, tblAppleUnits[cv_2021]) + SUMIF(tblAlibabaUnits[Products],$A12, tblAlibabaUnits[cv_2021]) + SUMIF(tblHuaweiUnits[Products],$A12, tblHuaweiUnits[cv_2021]) + SUMIF(tblTencentUnits[Products],$A12, tblTencentUnits[cv_2021]) + SUMIF(tblBaiduUnits[Products],$A12, tblBaiduUnits[cv_2021]) + SUMIF(tblByteDanceUnits[Products],$A12, tblByteDanceUnits[cv_2021]) + SUMIF(tblCloudAOUnits[Products],$A12, tblCloudAOUnits[cv_2021])</f>
        <v>0</v>
      </c>
      <c r="F12" s="8">
        <f xml:space="preserve"> SUMIF(tblGoogleUnits[Products],$A12, tblGoogleUnits[cv_2022]) + SUMIF(tblMetaUnits[Products],$A12, tblMetaUnits[cv_2022]) + SUMIF(tblAmazonUnits[Products],$A12, tblAmazonUnits[cv_2022]) + SUMIF(tblMicrosoftUnits[Products],$A12, tblMicrosoftUnits[cv_2022]) + SUMIF(tblAppleUnits[Products],$A12, tblAppleUnits[cv_2022]) + SUMIF(tblAlibabaUnits[Products],$A12, tblAlibabaUnits[cv_2022]) + SUMIF(tblHuaweiUnits[Products],$A12, tblHuaweiUnits[cv_2022]) + SUMIF(tblTencentUnits[Products],$A12, tblTencentUnits[cv_2022]) + SUMIF(tblBaiduUnits[Products],$A12, tblBaiduUnits[cv_2022]) + SUMIF(tblByteDanceUnits[Products],$A12, tblByteDanceUnits[cv_2022]) + SUMIF(tblCloudAOUnits[Products],$A12, tblCloudAOUnits[cv_2022])</f>
        <v>0</v>
      </c>
      <c r="G12" s="8">
        <f xml:space="preserve"> SUMIF(tblGoogleUnits[Products],$A12, tblGoogleUnits[cv_2023]) + SUMIF(tblMetaUnits[Products],$A12, tblMetaUnits[cv_2023]) + SUMIF(tblAmazonUnits[Products],$A12, tblAmazonUnits[cv_2023]) + SUMIF(tblMicrosoftUnits[Products],$A12, tblMicrosoftUnits[cv_2023]) + SUMIF(tblAppleUnits[Products],$A12, tblAppleUnits[cv_2023]) + SUMIF(tblAlibabaUnits[Products],$A12, tblAlibabaUnits[cv_2023]) + SUMIF(tblHuaweiUnits[Products],$A12, tblHuaweiUnits[cv_2023]) + SUMIF(tblTencentUnits[Products],$A12, tblTencentUnits[cv_2023]) + SUMIF(tblBaiduUnits[Products],$A12, tblBaiduUnits[cv_2023]) + SUMIF(tblByteDanceUnits[Products],$A12, tblByteDanceUnits[cv_2023]) + SUMIF(tblCloudAOUnits[Products],$A12, tblCloudAOUnits[cv_2023])</f>
        <v>0</v>
      </c>
      <c r="H12" s="8">
        <f xml:space="preserve"> SUMIF(tblGoogleUnits[Products],$A12, tblGoogleUnits[cv_2024]) + SUMIF(tblMetaUnits[Products],$A12, tblMetaUnits[cv_2024]) + SUMIF(tblAmazonUnits[Products],$A12, tblAmazonUnits[cv_2024]) + SUMIF(tblMicrosoftUnits[Products],$A12, tblMicrosoftUnits[cv_2024]) + SUMIF(tblAppleUnits[Products],$A12, tblAppleUnits[cv_2024]) + SUMIF(tblAlibabaUnits[Products],$A12, tblAlibabaUnits[cv_2024]) + SUMIF(tblHuaweiUnits[Products],$A12, tblHuaweiUnits[cv_2024]) + SUMIF(tblTencentUnits[Products],$A12, tblTencentUnits[cv_2024]) + SUMIF(tblBaiduUnits[Products],$A12, tblBaiduUnits[cv_2024]) + SUMIF(tblByteDanceUnits[Products],$A12, tblByteDanceUnits[cv_2024]) + SUMIF(tblCloudAOUnits[Products],$A12, tblCloudAOUnits[cv_2024])</f>
        <v>0</v>
      </c>
      <c r="I12" s="8">
        <f xml:space="preserve"> SUMIF(tblGoogleUnits[Products],$A12, tblGoogleUnits[cv_2025]) + SUMIF(tblMetaUnits[Products],$A12, tblMetaUnits[cv_2025]) + SUMIF(tblAmazonUnits[Products],$A12, tblAmazonUnits[cv_2025]) + SUMIF(tblMicrosoftUnits[Products],$A12, tblMicrosoftUnits[cv_2025]) + SUMIF(tblAppleUnits[Products],$A12, tblAppleUnits[cv_2025]) + SUMIF(tblAlibabaUnits[Products],$A12, tblAlibabaUnits[cv_2025]) + SUMIF(tblHuaweiUnits[Products],$A12, tblHuaweiUnits[cv_2025]) + SUMIF(tblTencentUnits[Products],$A12, tblTencentUnits[cv_2025]) + SUMIF(tblBaiduUnits[Products],$A12, tblBaiduUnits[cv_2025]) + SUMIF(tblByteDanceUnits[Products],$A12, tblByteDanceUnits[cv_2025]) + SUMIF(tblCloudAOUnits[Products],$A12, tblCloudAOUnits[cv_2025])</f>
        <v>0</v>
      </c>
      <c r="J12" s="8">
        <f xml:space="preserve"> SUMIF(tblGoogleUnits[Products],$A12, tblGoogleUnits[cv_2026]) + SUMIF(tblMetaUnits[Products],$A12, tblMetaUnits[cv_2026]) + SUMIF(tblAmazonUnits[Products],$A12, tblAmazonUnits[cv_2026]) + SUMIF(tblMicrosoftUnits[Products],$A12, tblMicrosoftUnits[cv_2026]) + SUMIF(tblAppleUnits[Products],$A12, tblAppleUnits[cv_2026]) + SUMIF(tblAlibabaUnits[Products],$A12, tblAlibabaUnits[cv_2026]) + SUMIF(tblHuaweiUnits[Products],$A12, tblHuaweiUnits[cv_2026]) + SUMIF(tblTencentUnits[Products],$A12, tblTencentUnits[cv_2026]) + SUMIF(tblBaiduUnits[Products],$A12, tblBaiduUnits[cv_2026]) + SUMIF(tblByteDanceUnits[Products],$A12, tblByteDanceUnits[cv_2026]) + SUMIF(tblCloudAOUnits[Products],$A12, tblCloudAOUnits[cv_2026])</f>
        <v>0</v>
      </c>
      <c r="K12" s="8">
        <f xml:space="preserve"> SUMIF(tblGoogleUnits[Products],$A12, tblGoogleUnits[cv_2027]) + SUMIF(tblMetaUnits[Products],$A12, tblMetaUnits[cv_2027]) + SUMIF(tblAmazonUnits[Products],$A12, tblAmazonUnits[cv_2027]) + SUMIF(tblMicrosoftUnits[Products],$A12, tblMicrosoftUnits[cv_2027]) + SUMIF(tblAppleUnits[Products],$A12, tblAppleUnits[cv_2027]) + SUMIF(tblAlibabaUnits[Products],$A12, tblAlibabaUnits[cv_2027]) + SUMIF(tblHuaweiUnits[Products],$A12, tblHuaweiUnits[cv_2027]) + SUMIF(tblTencentUnits[Products],$A12, tblTencentUnits[cv_2027]) + SUMIF(tblBaiduUnits[Products],$A12, tblBaiduUnits[cv_2027]) + SUMIF(tblByteDanceUnits[Products],$A12, tblByteDanceUnits[cv_2027]) + SUMIF(tblCloudAOUnits[Products],$A12, tblCloudAOUnits[cv_2027])</f>
        <v>0</v>
      </c>
      <c r="L12" s="8">
        <f xml:space="preserve"> SUMIF(tblGoogleUnits[Products],$A12, tblGoogleUnits[cv_2028]) + SUMIF(tblMetaUnits[Products],$A12, tblMetaUnits[cv_2028]) + SUMIF(tblAmazonUnits[Products],$A12, tblAmazonUnits[cv_2028]) + SUMIF(tblMicrosoftUnits[Products],$A12, tblMicrosoftUnits[cv_2028]) + SUMIF(tblAppleUnits[Products],$A12, tblAppleUnits[cv_2028]) + SUMIF(tblAlibabaUnits[Products],$A12, tblAlibabaUnits[cv_2028]) + SUMIF(tblHuaweiUnits[Products],$A12, tblHuaweiUnits[cv_2028]) + SUMIF(tblTencentUnits[Products],$A12, tblTencentUnits[cv_2028]) + SUMIF(tblBaiduUnits[Products],$A12, tblBaiduUnits[cv_2028]) + SUMIF(tblByteDanceUnits[Products],$A12, tblByteDanceUnits[cv_2028]) + SUMIF(tblCloudAOUnits[Products],$A12, tblCloudAOUnits[cv_2028])</f>
        <v>0</v>
      </c>
      <c r="M12" s="122">
        <f>10^-6*B12*INDEX(TotalMarket!$M$26:$W$125,MATCH($A12,$A$11:$A$132,0),MATCH(M$10,$M$10:$W$10))</f>
        <v>1.8826059623999998</v>
      </c>
      <c r="N12" s="122">
        <f>10^-6*C12*INDEX(TotalMarket!$M$26:$W$125,MATCH($A12,$A$11:$A$132,0),MATCH(N$10,$M$10:$W$10))</f>
        <v>0</v>
      </c>
      <c r="O12" s="122">
        <f>10^-6*D12*INDEX(TotalMarket!$M$26:$W$125,MATCH($A12,$A$11:$A$132,0),MATCH(O$10,$M$10:$W$10))</f>
        <v>0</v>
      </c>
      <c r="P12" s="122">
        <f>10^-6*E12*INDEX(TotalMarket!$M$26:$W$125,MATCH($A12,$A$11:$A$132,0),MATCH(P$10,$M$10:$W$10))</f>
        <v>0</v>
      </c>
      <c r="Q12" s="122">
        <f>10^-6*F12*INDEX(TotalMarket!$M$26:$W$125,MATCH($A12,$A$11:$A$132,0),MATCH(Q$10,$M$10:$W$10))</f>
        <v>0</v>
      </c>
      <c r="R12" s="122">
        <f>10^-6*G12*INDEX(TotalMarket!$M$26:$W$125,MATCH($A12,$A$11:$A$132,0),MATCH(R$10,$M$10:$W$10))</f>
        <v>0</v>
      </c>
      <c r="S12" s="122">
        <f>10^-6*H12*INDEX(TotalMarket!$M$26:$W$125,MATCH($A12,$A$11:$A$132,0),MATCH(S$10,$M$10:$W$10))</f>
        <v>0</v>
      </c>
      <c r="T12" s="122">
        <f>10^-6*I12*INDEX(TotalMarket!$M$26:$W$125,MATCH($A12,$A$11:$A$132,0),MATCH(T$10,$M$10:$W$10))</f>
        <v>0</v>
      </c>
      <c r="U12" s="122">
        <f>10^-6*J12*INDEX(TotalMarket!$M$26:$W$125,MATCH($A12,$A$11:$A$132,0),MATCH(U$10,$M$10:$W$10))</f>
        <v>0</v>
      </c>
      <c r="V12" s="122">
        <f>10^-6*K12*INDEX(TotalMarket!$M$26:$W$125,MATCH($A12,$A$11:$A$132,0),MATCH(V$10,$M$10:$W$10))</f>
        <v>0</v>
      </c>
      <c r="W12" s="122">
        <f>10^-6*L12*INDEX(TotalMarket!$M$26:$W$125,MATCH($A12,$A$11:$A$132,0),MATCH(W$10,$M$10:$W$10))</f>
        <v>0</v>
      </c>
      <c r="X12" s="1">
        <v>1</v>
      </c>
    </row>
    <row r="13" spans="1:24" s="1" customFormat="1">
      <c r="A13" s="15" t="s">
        <v>151</v>
      </c>
      <c r="B13" s="8">
        <f xml:space="preserve"> SUMIF(tblGoogleUnits[Products],$A13, tblGoogleUnits[cv_2018]) + SUMIF(tblMetaUnits[Products],$A13, tblMetaUnits[cv_2018]) + SUMIF(tblAmazonUnits[Products],$A13, tblAmazonUnits[cv_2018]) + SUMIF(tblMicrosoftUnits[Products],$A13, tblMicrosoftUnits[cv_2018]) + SUMIF(tblAppleUnits[Products],$A13, tblAppleUnits[cv_2018]) + SUMIF(tblAlibabaUnits[Products],$A13, tblAlibabaUnits[cv_2018]) + SUMIF(tblHuaweiUnits[Products],$A13, tblHuaweiUnits[cv_2018]) + SUMIF(tblTencentUnits[Products],$A13, tblTencentUnits[cv_2018]) + SUMIF(tblBaiduUnits[Products],$A13, tblBaiduUnits[cv_2018]) + SUMIF(tblByteDanceUnits[Products],$A13, tblByteDanceUnits[cv_2018]) + SUMIF(tblCloudAOUnits[Products],$A13, tblCloudAOUnits[cv_2018])</f>
        <v>0</v>
      </c>
      <c r="C13" s="8">
        <f xml:space="preserve"> SUMIF(tblGoogleUnits[Products],$A13, tblGoogleUnits[cv_2019]) + SUMIF(tblMetaUnits[Products],$A13, tblMetaUnits[cv_2019]) + SUMIF(tblAmazonUnits[Products],$A13, tblAmazonUnits[cv_2019]) + SUMIF(tblMicrosoftUnits[Products],$A13, tblMicrosoftUnits[cv_2019]) + SUMIF(tblAppleUnits[Products],$A13, tblAppleUnits[cv_2019]) + SUMIF(tblAlibabaUnits[Products],$A13, tblAlibabaUnits[cv_2019]) + SUMIF(tblHuaweiUnits[Products],$A13, tblHuaweiUnits[cv_2019]) + SUMIF(tblTencentUnits[Products],$A13, tblTencentUnits[cv_2019]) + SUMIF(tblBaiduUnits[Products],$A13, tblBaiduUnits[cv_2019]) + SUMIF(tblByteDanceUnits[Products],$A13, tblByteDanceUnits[cv_2019]) + SUMIF(tblCloudAOUnits[Products],$A13, tblCloudAOUnits[cv_2019])</f>
        <v>0</v>
      </c>
      <c r="D13" s="8">
        <f xml:space="preserve"> SUMIF(tblGoogleUnits[Products],$A13, tblGoogleUnits[cv_2020]) + SUMIF(tblMetaUnits[Products],$A13, tblMetaUnits[cv_2020]) + SUMIF(tblAmazonUnits[Products],$A13, tblAmazonUnits[cv_2020]) + SUMIF(tblMicrosoftUnits[Products],$A13, tblMicrosoftUnits[cv_2020]) + SUMIF(tblAppleUnits[Products],$A13, tblAppleUnits[cv_2020]) + SUMIF(tblAlibabaUnits[Products],$A13, tblAlibabaUnits[cv_2020]) + SUMIF(tblHuaweiUnits[Products],$A13, tblHuaweiUnits[cv_2020]) + SUMIF(tblTencentUnits[Products],$A13, tblTencentUnits[cv_2020]) + SUMIF(tblBaiduUnits[Products],$A13, tblBaiduUnits[cv_2020]) + SUMIF(tblByteDanceUnits[Products],$A13, tblByteDanceUnits[cv_2020]) + SUMIF(tblCloudAOUnits[Products],$A13, tblCloudAOUnits[cv_2020])</f>
        <v>0</v>
      </c>
      <c r="E13" s="8">
        <f xml:space="preserve"> SUMIF(tblGoogleUnits[Products],$A13, tblGoogleUnits[cv_2021]) + SUMIF(tblMetaUnits[Products],$A13, tblMetaUnits[cv_2021]) + SUMIF(tblAmazonUnits[Products],$A13, tblAmazonUnits[cv_2021]) + SUMIF(tblMicrosoftUnits[Products],$A13, tblMicrosoftUnits[cv_2021]) + SUMIF(tblAppleUnits[Products],$A13, tblAppleUnits[cv_2021]) + SUMIF(tblAlibabaUnits[Products],$A13, tblAlibabaUnits[cv_2021]) + SUMIF(tblHuaweiUnits[Products],$A13, tblHuaweiUnits[cv_2021]) + SUMIF(tblTencentUnits[Products],$A13, tblTencentUnits[cv_2021]) + SUMIF(tblBaiduUnits[Products],$A13, tblBaiduUnits[cv_2021]) + SUMIF(tblByteDanceUnits[Products],$A13, tblByteDanceUnits[cv_2021]) + SUMIF(tblCloudAOUnits[Products],$A13, tblCloudAOUnits[cv_2021])</f>
        <v>0</v>
      </c>
      <c r="F13" s="8">
        <f xml:space="preserve"> SUMIF(tblGoogleUnits[Products],$A13, tblGoogleUnits[cv_2022]) + SUMIF(tblMetaUnits[Products],$A13, tblMetaUnits[cv_2022]) + SUMIF(tblAmazonUnits[Products],$A13, tblAmazonUnits[cv_2022]) + SUMIF(tblMicrosoftUnits[Products],$A13, tblMicrosoftUnits[cv_2022]) + SUMIF(tblAppleUnits[Products],$A13, tblAppleUnits[cv_2022]) + SUMIF(tblAlibabaUnits[Products],$A13, tblAlibabaUnits[cv_2022]) + SUMIF(tblHuaweiUnits[Products],$A13, tblHuaweiUnits[cv_2022]) + SUMIF(tblTencentUnits[Products],$A13, tblTencentUnits[cv_2022]) + SUMIF(tblBaiduUnits[Products],$A13, tblBaiduUnits[cv_2022]) + SUMIF(tblByteDanceUnits[Products],$A13, tblByteDanceUnits[cv_2022]) + SUMIF(tblCloudAOUnits[Products],$A13, tblCloudAOUnits[cv_2022])</f>
        <v>0</v>
      </c>
      <c r="G13" s="8">
        <f xml:space="preserve"> SUMIF(tblGoogleUnits[Products],$A13, tblGoogleUnits[cv_2023]) + SUMIF(tblMetaUnits[Products],$A13, tblMetaUnits[cv_2023]) + SUMIF(tblAmazonUnits[Products],$A13, tblAmazonUnits[cv_2023]) + SUMIF(tblMicrosoftUnits[Products],$A13, tblMicrosoftUnits[cv_2023]) + SUMIF(tblAppleUnits[Products],$A13, tblAppleUnits[cv_2023]) + SUMIF(tblAlibabaUnits[Products],$A13, tblAlibabaUnits[cv_2023]) + SUMIF(tblHuaweiUnits[Products],$A13, tblHuaweiUnits[cv_2023]) + SUMIF(tblTencentUnits[Products],$A13, tblTencentUnits[cv_2023]) + SUMIF(tblBaiduUnits[Products],$A13, tblBaiduUnits[cv_2023]) + SUMIF(tblByteDanceUnits[Products],$A13, tblByteDanceUnits[cv_2023]) + SUMIF(tblCloudAOUnits[Products],$A13, tblCloudAOUnits[cv_2023])</f>
        <v>0</v>
      </c>
      <c r="H13" s="8">
        <f xml:space="preserve"> SUMIF(tblGoogleUnits[Products],$A13, tblGoogleUnits[cv_2024]) + SUMIF(tblMetaUnits[Products],$A13, tblMetaUnits[cv_2024]) + SUMIF(tblAmazonUnits[Products],$A13, tblAmazonUnits[cv_2024]) + SUMIF(tblMicrosoftUnits[Products],$A13, tblMicrosoftUnits[cv_2024]) + SUMIF(tblAppleUnits[Products],$A13, tblAppleUnits[cv_2024]) + SUMIF(tblAlibabaUnits[Products],$A13, tblAlibabaUnits[cv_2024]) + SUMIF(tblHuaweiUnits[Products],$A13, tblHuaweiUnits[cv_2024]) + SUMIF(tblTencentUnits[Products],$A13, tblTencentUnits[cv_2024]) + SUMIF(tblBaiduUnits[Products],$A13, tblBaiduUnits[cv_2024]) + SUMIF(tblByteDanceUnits[Products],$A13, tblByteDanceUnits[cv_2024]) + SUMIF(tblCloudAOUnits[Products],$A13, tblCloudAOUnits[cv_2024])</f>
        <v>0</v>
      </c>
      <c r="I13" s="8">
        <f xml:space="preserve"> SUMIF(tblGoogleUnits[Products],$A13, tblGoogleUnits[cv_2025]) + SUMIF(tblMetaUnits[Products],$A13, tblMetaUnits[cv_2025]) + SUMIF(tblAmazonUnits[Products],$A13, tblAmazonUnits[cv_2025]) + SUMIF(tblMicrosoftUnits[Products],$A13, tblMicrosoftUnits[cv_2025]) + SUMIF(tblAppleUnits[Products],$A13, tblAppleUnits[cv_2025]) + SUMIF(tblAlibabaUnits[Products],$A13, tblAlibabaUnits[cv_2025]) + SUMIF(tblHuaweiUnits[Products],$A13, tblHuaweiUnits[cv_2025]) + SUMIF(tblTencentUnits[Products],$A13, tblTencentUnits[cv_2025]) + SUMIF(tblBaiduUnits[Products],$A13, tblBaiduUnits[cv_2025]) + SUMIF(tblByteDanceUnits[Products],$A13, tblByteDanceUnits[cv_2025]) + SUMIF(tblCloudAOUnits[Products],$A13, tblCloudAOUnits[cv_2025])</f>
        <v>0</v>
      </c>
      <c r="J13" s="8">
        <f xml:space="preserve"> SUMIF(tblGoogleUnits[Products],$A13, tblGoogleUnits[cv_2026]) + SUMIF(tblMetaUnits[Products],$A13, tblMetaUnits[cv_2026]) + SUMIF(tblAmazonUnits[Products],$A13, tblAmazonUnits[cv_2026]) + SUMIF(tblMicrosoftUnits[Products],$A13, tblMicrosoftUnits[cv_2026]) + SUMIF(tblAppleUnits[Products],$A13, tblAppleUnits[cv_2026]) + SUMIF(tblAlibabaUnits[Products],$A13, tblAlibabaUnits[cv_2026]) + SUMIF(tblHuaweiUnits[Products],$A13, tblHuaweiUnits[cv_2026]) + SUMIF(tblTencentUnits[Products],$A13, tblTencentUnits[cv_2026]) + SUMIF(tblBaiduUnits[Products],$A13, tblBaiduUnits[cv_2026]) + SUMIF(tblByteDanceUnits[Products],$A13, tblByteDanceUnits[cv_2026]) + SUMIF(tblCloudAOUnits[Products],$A13, tblCloudAOUnits[cv_2026])</f>
        <v>0</v>
      </c>
      <c r="K13" s="8">
        <f xml:space="preserve"> SUMIF(tblGoogleUnits[Products],$A13, tblGoogleUnits[cv_2027]) + SUMIF(tblMetaUnits[Products],$A13, tblMetaUnits[cv_2027]) + SUMIF(tblAmazonUnits[Products],$A13, tblAmazonUnits[cv_2027]) + SUMIF(tblMicrosoftUnits[Products],$A13, tblMicrosoftUnits[cv_2027]) + SUMIF(tblAppleUnits[Products],$A13, tblAppleUnits[cv_2027]) + SUMIF(tblAlibabaUnits[Products],$A13, tblAlibabaUnits[cv_2027]) + SUMIF(tblHuaweiUnits[Products],$A13, tblHuaweiUnits[cv_2027]) + SUMIF(tblTencentUnits[Products],$A13, tblTencentUnits[cv_2027]) + SUMIF(tblBaiduUnits[Products],$A13, tblBaiduUnits[cv_2027]) + SUMIF(tblByteDanceUnits[Products],$A13, tblByteDanceUnits[cv_2027]) + SUMIF(tblCloudAOUnits[Products],$A13, tblCloudAOUnits[cv_2027])</f>
        <v>0</v>
      </c>
      <c r="L13" s="8">
        <f xml:space="preserve"> SUMIF(tblGoogleUnits[Products],$A13, tblGoogleUnits[cv_2028]) + SUMIF(tblMetaUnits[Products],$A13, tblMetaUnits[cv_2028]) + SUMIF(tblAmazonUnits[Products],$A13, tblAmazonUnits[cv_2028]) + SUMIF(tblMicrosoftUnits[Products],$A13, tblMicrosoftUnits[cv_2028]) + SUMIF(tblAppleUnits[Products],$A13, tblAppleUnits[cv_2028]) + SUMIF(tblAlibabaUnits[Products],$A13, tblAlibabaUnits[cv_2028]) + SUMIF(tblHuaweiUnits[Products],$A13, tblHuaweiUnits[cv_2028]) + SUMIF(tblTencentUnits[Products],$A13, tblTencentUnits[cv_2028]) + SUMIF(tblBaiduUnits[Products],$A13, tblBaiduUnits[cv_2028]) + SUMIF(tblByteDanceUnits[Products],$A13, tblByteDanceUnits[cv_2028]) + SUMIF(tblCloudAOUnits[Products],$A13, tblCloudAOUnits[cv_2028])</f>
        <v>0</v>
      </c>
      <c r="M13" s="122">
        <f>10^-6*B13*INDEX(TotalMarket!$M$26:$W$125,MATCH($A13,$A$11:$A$132,0),MATCH(M$10,$M$10:$W$10))</f>
        <v>0</v>
      </c>
      <c r="N13" s="122">
        <f>10^-6*C13*INDEX(TotalMarket!$M$26:$W$125,MATCH($A13,$A$11:$A$132,0),MATCH(N$10,$M$10:$W$10))</f>
        <v>0</v>
      </c>
      <c r="O13" s="122">
        <f>10^-6*D13*INDEX(TotalMarket!$M$26:$W$125,MATCH($A13,$A$11:$A$132,0),MATCH(O$10,$M$10:$W$10))</f>
        <v>0</v>
      </c>
      <c r="P13" s="122">
        <f>10^-6*E13*INDEX(TotalMarket!$M$26:$W$125,MATCH($A13,$A$11:$A$132,0),MATCH(P$10,$M$10:$W$10))</f>
        <v>0</v>
      </c>
      <c r="Q13" s="122">
        <f>10^-6*F13*INDEX(TotalMarket!$M$26:$W$125,MATCH($A13,$A$11:$A$132,0),MATCH(Q$10,$M$10:$W$10))</f>
        <v>0</v>
      </c>
      <c r="R13" s="122">
        <f>10^-6*G13*INDEX(TotalMarket!$M$26:$W$125,MATCH($A13,$A$11:$A$132,0),MATCH(R$10,$M$10:$W$10))</f>
        <v>0</v>
      </c>
      <c r="S13" s="122">
        <f>10^-6*H13*INDEX(TotalMarket!$M$26:$W$125,MATCH($A13,$A$11:$A$132,0),MATCH(S$10,$M$10:$W$10))</f>
        <v>0</v>
      </c>
      <c r="T13" s="122">
        <f>10^-6*I13*INDEX(TotalMarket!$M$26:$W$125,MATCH($A13,$A$11:$A$132,0),MATCH(T$10,$M$10:$W$10))</f>
        <v>0</v>
      </c>
      <c r="U13" s="122">
        <f>10^-6*J13*INDEX(TotalMarket!$M$26:$W$125,MATCH($A13,$A$11:$A$132,0),MATCH(U$10,$M$10:$W$10))</f>
        <v>0</v>
      </c>
      <c r="V13" s="122">
        <f>10^-6*K13*INDEX(TotalMarket!$M$26:$W$125,MATCH($A13,$A$11:$A$132,0),MATCH(V$10,$M$10:$W$10))</f>
        <v>0</v>
      </c>
      <c r="W13" s="122">
        <f>10^-6*L13*INDEX(TotalMarket!$M$26:$W$125,MATCH($A13,$A$11:$A$132,0),MATCH(W$10,$M$10:$W$10))</f>
        <v>0</v>
      </c>
      <c r="X13" s="1">
        <v>1</v>
      </c>
    </row>
    <row r="14" spans="1:24" s="1" customFormat="1">
      <c r="A14" s="15" t="s">
        <v>152</v>
      </c>
      <c r="B14" s="8">
        <f xml:space="preserve"> SUMIF(tblGoogleUnits[Products],$A14, tblGoogleUnits[cv_2018]) + SUMIF(tblMetaUnits[Products],$A14, tblMetaUnits[cv_2018]) + SUMIF(tblAmazonUnits[Products],$A14, tblAmazonUnits[cv_2018]) + SUMIF(tblMicrosoftUnits[Products],$A14, tblMicrosoftUnits[cv_2018]) + SUMIF(tblAppleUnits[Products],$A14, tblAppleUnits[cv_2018]) + SUMIF(tblAlibabaUnits[Products],$A14, tblAlibabaUnits[cv_2018]) + SUMIF(tblHuaweiUnits[Products],$A14, tblHuaweiUnits[cv_2018]) + SUMIF(tblTencentUnits[Products],$A14, tblTencentUnits[cv_2018]) + SUMIF(tblBaiduUnits[Products],$A14, tblBaiduUnits[cv_2018]) + SUMIF(tblByteDanceUnits[Products],$A14, tblByteDanceUnits[cv_2018]) + SUMIF(tblCloudAOUnits[Products],$A14, tblCloudAOUnits[cv_2018])</f>
        <v>0</v>
      </c>
      <c r="C14" s="8">
        <f xml:space="preserve"> SUMIF(tblGoogleUnits[Products],$A14, tblGoogleUnits[cv_2019]) + SUMIF(tblMetaUnits[Products],$A14, tblMetaUnits[cv_2019]) + SUMIF(tblAmazonUnits[Products],$A14, tblAmazonUnits[cv_2019]) + SUMIF(tblMicrosoftUnits[Products],$A14, tblMicrosoftUnits[cv_2019]) + SUMIF(tblAppleUnits[Products],$A14, tblAppleUnits[cv_2019]) + SUMIF(tblAlibabaUnits[Products],$A14, tblAlibabaUnits[cv_2019]) + SUMIF(tblHuaweiUnits[Products],$A14, tblHuaweiUnits[cv_2019]) + SUMIF(tblTencentUnits[Products],$A14, tblTencentUnits[cv_2019]) + SUMIF(tblBaiduUnits[Products],$A14, tblBaiduUnits[cv_2019]) + SUMIF(tblByteDanceUnits[Products],$A14, tblByteDanceUnits[cv_2019]) + SUMIF(tblCloudAOUnits[Products],$A14, tblCloudAOUnits[cv_2019])</f>
        <v>0</v>
      </c>
      <c r="D14" s="8">
        <f xml:space="preserve"> SUMIF(tblGoogleUnits[Products],$A14, tblGoogleUnits[cv_2020]) + SUMIF(tblMetaUnits[Products],$A14, tblMetaUnits[cv_2020]) + SUMIF(tblAmazonUnits[Products],$A14, tblAmazonUnits[cv_2020]) + SUMIF(tblMicrosoftUnits[Products],$A14, tblMicrosoftUnits[cv_2020]) + SUMIF(tblAppleUnits[Products],$A14, tblAppleUnits[cv_2020]) + SUMIF(tblAlibabaUnits[Products],$A14, tblAlibabaUnits[cv_2020]) + SUMIF(tblHuaweiUnits[Products],$A14, tblHuaweiUnits[cv_2020]) + SUMIF(tblTencentUnits[Products],$A14, tblTencentUnits[cv_2020]) + SUMIF(tblBaiduUnits[Products],$A14, tblBaiduUnits[cv_2020]) + SUMIF(tblByteDanceUnits[Products],$A14, tblByteDanceUnits[cv_2020]) + SUMIF(tblCloudAOUnits[Products],$A14, tblCloudAOUnits[cv_2020])</f>
        <v>0</v>
      </c>
      <c r="E14" s="8">
        <f xml:space="preserve"> SUMIF(tblGoogleUnits[Products],$A14, tblGoogleUnits[cv_2021]) + SUMIF(tblMetaUnits[Products],$A14, tblMetaUnits[cv_2021]) + SUMIF(tblAmazonUnits[Products],$A14, tblAmazonUnits[cv_2021]) + SUMIF(tblMicrosoftUnits[Products],$A14, tblMicrosoftUnits[cv_2021]) + SUMIF(tblAppleUnits[Products],$A14, tblAppleUnits[cv_2021]) + SUMIF(tblAlibabaUnits[Products],$A14, tblAlibabaUnits[cv_2021]) + SUMIF(tblHuaweiUnits[Products],$A14, tblHuaweiUnits[cv_2021]) + SUMIF(tblTencentUnits[Products],$A14, tblTencentUnits[cv_2021]) + SUMIF(tblBaiduUnits[Products],$A14, tblBaiduUnits[cv_2021]) + SUMIF(tblByteDanceUnits[Products],$A14, tblByteDanceUnits[cv_2021]) + SUMIF(tblCloudAOUnits[Products],$A14, tblCloudAOUnits[cv_2021])</f>
        <v>0</v>
      </c>
      <c r="F14" s="8">
        <f xml:space="preserve"> SUMIF(tblGoogleUnits[Products],$A14, tblGoogleUnits[cv_2022]) + SUMIF(tblMetaUnits[Products],$A14, tblMetaUnits[cv_2022]) + SUMIF(tblAmazonUnits[Products],$A14, tblAmazonUnits[cv_2022]) + SUMIF(tblMicrosoftUnits[Products],$A14, tblMicrosoftUnits[cv_2022]) + SUMIF(tblAppleUnits[Products],$A14, tblAppleUnits[cv_2022]) + SUMIF(tblAlibabaUnits[Products],$A14, tblAlibabaUnits[cv_2022]) + SUMIF(tblHuaweiUnits[Products],$A14, tblHuaweiUnits[cv_2022]) + SUMIF(tblTencentUnits[Products],$A14, tblTencentUnits[cv_2022]) + SUMIF(tblBaiduUnits[Products],$A14, tblBaiduUnits[cv_2022]) + SUMIF(tblByteDanceUnits[Products],$A14, tblByteDanceUnits[cv_2022]) + SUMIF(tblCloudAOUnits[Products],$A14, tblCloudAOUnits[cv_2022])</f>
        <v>0</v>
      </c>
      <c r="G14" s="8">
        <f xml:space="preserve"> SUMIF(tblGoogleUnits[Products],$A14, tblGoogleUnits[cv_2023]) + SUMIF(tblMetaUnits[Products],$A14, tblMetaUnits[cv_2023]) + SUMIF(tblAmazonUnits[Products],$A14, tblAmazonUnits[cv_2023]) + SUMIF(tblMicrosoftUnits[Products],$A14, tblMicrosoftUnits[cv_2023]) + SUMIF(tblAppleUnits[Products],$A14, tblAppleUnits[cv_2023]) + SUMIF(tblAlibabaUnits[Products],$A14, tblAlibabaUnits[cv_2023]) + SUMIF(tblHuaweiUnits[Products],$A14, tblHuaweiUnits[cv_2023]) + SUMIF(tblTencentUnits[Products],$A14, tblTencentUnits[cv_2023]) + SUMIF(tblBaiduUnits[Products],$A14, tblBaiduUnits[cv_2023]) + SUMIF(tblByteDanceUnits[Products],$A14, tblByteDanceUnits[cv_2023]) + SUMIF(tblCloudAOUnits[Products],$A14, tblCloudAOUnits[cv_2023])</f>
        <v>0</v>
      </c>
      <c r="H14" s="8">
        <f xml:space="preserve"> SUMIF(tblGoogleUnits[Products],$A14, tblGoogleUnits[cv_2024]) + SUMIF(tblMetaUnits[Products],$A14, tblMetaUnits[cv_2024]) + SUMIF(tblAmazonUnits[Products],$A14, tblAmazonUnits[cv_2024]) + SUMIF(tblMicrosoftUnits[Products],$A14, tblMicrosoftUnits[cv_2024]) + SUMIF(tblAppleUnits[Products],$A14, tblAppleUnits[cv_2024]) + SUMIF(tblAlibabaUnits[Products],$A14, tblAlibabaUnits[cv_2024]) + SUMIF(tblHuaweiUnits[Products],$A14, tblHuaweiUnits[cv_2024]) + SUMIF(tblTencentUnits[Products],$A14, tblTencentUnits[cv_2024]) + SUMIF(tblBaiduUnits[Products],$A14, tblBaiduUnits[cv_2024]) + SUMIF(tblByteDanceUnits[Products],$A14, tblByteDanceUnits[cv_2024]) + SUMIF(tblCloudAOUnits[Products],$A14, tblCloudAOUnits[cv_2024])</f>
        <v>0</v>
      </c>
      <c r="I14" s="8">
        <f xml:space="preserve"> SUMIF(tblGoogleUnits[Products],$A14, tblGoogleUnits[cv_2025]) + SUMIF(tblMetaUnits[Products],$A14, tblMetaUnits[cv_2025]) + SUMIF(tblAmazonUnits[Products],$A14, tblAmazonUnits[cv_2025]) + SUMIF(tblMicrosoftUnits[Products],$A14, tblMicrosoftUnits[cv_2025]) + SUMIF(tblAppleUnits[Products],$A14, tblAppleUnits[cv_2025]) + SUMIF(tblAlibabaUnits[Products],$A14, tblAlibabaUnits[cv_2025]) + SUMIF(tblHuaweiUnits[Products],$A14, tblHuaweiUnits[cv_2025]) + SUMIF(tblTencentUnits[Products],$A14, tblTencentUnits[cv_2025]) + SUMIF(tblBaiduUnits[Products],$A14, tblBaiduUnits[cv_2025]) + SUMIF(tblByteDanceUnits[Products],$A14, tblByteDanceUnits[cv_2025]) + SUMIF(tblCloudAOUnits[Products],$A14, tblCloudAOUnits[cv_2025])</f>
        <v>0</v>
      </c>
      <c r="J14" s="8">
        <f xml:space="preserve"> SUMIF(tblGoogleUnits[Products],$A14, tblGoogleUnits[cv_2026]) + SUMIF(tblMetaUnits[Products],$A14, tblMetaUnits[cv_2026]) + SUMIF(tblAmazonUnits[Products],$A14, tblAmazonUnits[cv_2026]) + SUMIF(tblMicrosoftUnits[Products],$A14, tblMicrosoftUnits[cv_2026]) + SUMIF(tblAppleUnits[Products],$A14, tblAppleUnits[cv_2026]) + SUMIF(tblAlibabaUnits[Products],$A14, tblAlibabaUnits[cv_2026]) + SUMIF(tblHuaweiUnits[Products],$A14, tblHuaweiUnits[cv_2026]) + SUMIF(tblTencentUnits[Products],$A14, tblTencentUnits[cv_2026]) + SUMIF(tblBaiduUnits[Products],$A14, tblBaiduUnits[cv_2026]) + SUMIF(tblByteDanceUnits[Products],$A14, tblByteDanceUnits[cv_2026]) + SUMIF(tblCloudAOUnits[Products],$A14, tblCloudAOUnits[cv_2026])</f>
        <v>0</v>
      </c>
      <c r="K14" s="8">
        <f xml:space="preserve"> SUMIF(tblGoogleUnits[Products],$A14, tblGoogleUnits[cv_2027]) + SUMIF(tblMetaUnits[Products],$A14, tblMetaUnits[cv_2027]) + SUMIF(tblAmazonUnits[Products],$A14, tblAmazonUnits[cv_2027]) + SUMIF(tblMicrosoftUnits[Products],$A14, tblMicrosoftUnits[cv_2027]) + SUMIF(tblAppleUnits[Products],$A14, tblAppleUnits[cv_2027]) + SUMIF(tblAlibabaUnits[Products],$A14, tblAlibabaUnits[cv_2027]) + SUMIF(tblHuaweiUnits[Products],$A14, tblHuaweiUnits[cv_2027]) + SUMIF(tblTencentUnits[Products],$A14, tblTencentUnits[cv_2027]) + SUMIF(tblBaiduUnits[Products],$A14, tblBaiduUnits[cv_2027]) + SUMIF(tblByteDanceUnits[Products],$A14, tblByteDanceUnits[cv_2027]) + SUMIF(tblCloudAOUnits[Products],$A14, tblCloudAOUnits[cv_2027])</f>
        <v>0</v>
      </c>
      <c r="L14" s="8">
        <f xml:space="preserve"> SUMIF(tblGoogleUnits[Products],$A14, tblGoogleUnits[cv_2028]) + SUMIF(tblMetaUnits[Products],$A14, tblMetaUnits[cv_2028]) + SUMIF(tblAmazonUnits[Products],$A14, tblAmazonUnits[cv_2028]) + SUMIF(tblMicrosoftUnits[Products],$A14, tblMicrosoftUnits[cv_2028]) + SUMIF(tblAppleUnits[Products],$A14, tblAppleUnits[cv_2028]) + SUMIF(tblAlibabaUnits[Products],$A14, tblAlibabaUnits[cv_2028]) + SUMIF(tblHuaweiUnits[Products],$A14, tblHuaweiUnits[cv_2028]) + SUMIF(tblTencentUnits[Products],$A14, tblTencentUnits[cv_2028]) + SUMIF(tblBaiduUnits[Products],$A14, tblBaiduUnits[cv_2028]) + SUMIF(tblByteDanceUnits[Products],$A14, tblByteDanceUnits[cv_2028]) + SUMIF(tblCloudAOUnits[Products],$A14, tblCloudAOUnits[cv_2028])</f>
        <v>0</v>
      </c>
      <c r="M14" s="122">
        <f>10^-6*B14*INDEX(TotalMarket!$M$26:$W$125,MATCH($A14,$A$11:$A$132,0),MATCH(M$10,$M$10:$W$10))</f>
        <v>0</v>
      </c>
      <c r="N14" s="122">
        <f>10^-6*C14*INDEX(TotalMarket!$M$26:$W$125,MATCH($A14,$A$11:$A$132,0),MATCH(N$10,$M$10:$W$10))</f>
        <v>0</v>
      </c>
      <c r="O14" s="122">
        <f>10^-6*D14*INDEX(TotalMarket!$M$26:$W$125,MATCH($A14,$A$11:$A$132,0),MATCH(O$10,$M$10:$W$10))</f>
        <v>0</v>
      </c>
      <c r="P14" s="122">
        <f>10^-6*E14*INDEX(TotalMarket!$M$26:$W$125,MATCH($A14,$A$11:$A$132,0),MATCH(P$10,$M$10:$W$10))</f>
        <v>0</v>
      </c>
      <c r="Q14" s="122">
        <f>10^-6*F14*INDEX(TotalMarket!$M$26:$W$125,MATCH($A14,$A$11:$A$132,0),MATCH(Q$10,$M$10:$W$10))</f>
        <v>0</v>
      </c>
      <c r="R14" s="122">
        <f>10^-6*G14*INDEX(TotalMarket!$M$26:$W$125,MATCH($A14,$A$11:$A$132,0),MATCH(R$10,$M$10:$W$10))</f>
        <v>0</v>
      </c>
      <c r="S14" s="122">
        <f>10^-6*H14*INDEX(TotalMarket!$M$26:$W$125,MATCH($A14,$A$11:$A$132,0),MATCH(S$10,$M$10:$W$10))</f>
        <v>0</v>
      </c>
      <c r="T14" s="122">
        <f>10^-6*I14*INDEX(TotalMarket!$M$26:$W$125,MATCH($A14,$A$11:$A$132,0),MATCH(T$10,$M$10:$W$10))</f>
        <v>0</v>
      </c>
      <c r="U14" s="122">
        <f>10^-6*J14*INDEX(TotalMarket!$M$26:$W$125,MATCH($A14,$A$11:$A$132,0),MATCH(U$10,$M$10:$W$10))</f>
        <v>0</v>
      </c>
      <c r="V14" s="122">
        <f>10^-6*K14*INDEX(TotalMarket!$M$26:$W$125,MATCH($A14,$A$11:$A$132,0),MATCH(V$10,$M$10:$W$10))</f>
        <v>0</v>
      </c>
      <c r="W14" s="122">
        <f>10^-6*L14*INDEX(TotalMarket!$M$26:$W$125,MATCH($A14,$A$11:$A$132,0),MATCH(W$10,$M$10:$W$10))</f>
        <v>0</v>
      </c>
      <c r="X14" s="1">
        <v>1</v>
      </c>
    </row>
    <row r="15" spans="1:24" s="1" customFormat="1">
      <c r="A15" s="15" t="s">
        <v>153</v>
      </c>
      <c r="B15" s="8">
        <f xml:space="preserve"> SUMIF(tblGoogleUnits[Products],$A15, tblGoogleUnits[cv_2018]) + SUMIF(tblMetaUnits[Products],$A15, tblMetaUnits[cv_2018]) + SUMIF(tblAmazonUnits[Products],$A15, tblAmazonUnits[cv_2018]) + SUMIF(tblMicrosoftUnits[Products],$A15, tblMicrosoftUnits[cv_2018]) + SUMIF(tblAppleUnits[Products],$A15, tblAppleUnits[cv_2018]) + SUMIF(tblAlibabaUnits[Products],$A15, tblAlibabaUnits[cv_2018]) + SUMIF(tblHuaweiUnits[Products],$A15, tblHuaweiUnits[cv_2018]) + SUMIF(tblTencentUnits[Products],$A15, tblTencentUnits[cv_2018]) + SUMIF(tblBaiduUnits[Products],$A15, tblBaiduUnits[cv_2018]) + SUMIF(tblByteDanceUnits[Products],$A15, tblByteDanceUnits[cv_2018]) + SUMIF(tblCloudAOUnits[Products],$A15, tblCloudAOUnits[cv_2018])</f>
        <v>0</v>
      </c>
      <c r="C15" s="8">
        <f xml:space="preserve"> SUMIF(tblGoogleUnits[Products],$A15, tblGoogleUnits[cv_2019]) + SUMIF(tblMetaUnits[Products],$A15, tblMetaUnits[cv_2019]) + SUMIF(tblAmazonUnits[Products],$A15, tblAmazonUnits[cv_2019]) + SUMIF(tblMicrosoftUnits[Products],$A15, tblMicrosoftUnits[cv_2019]) + SUMIF(tblAppleUnits[Products],$A15, tblAppleUnits[cv_2019]) + SUMIF(tblAlibabaUnits[Products],$A15, tblAlibabaUnits[cv_2019]) + SUMIF(tblHuaweiUnits[Products],$A15, tblHuaweiUnits[cv_2019]) + SUMIF(tblTencentUnits[Products],$A15, tblTencentUnits[cv_2019]) + SUMIF(tblBaiduUnits[Products],$A15, tblBaiduUnits[cv_2019]) + SUMIF(tblByteDanceUnits[Products],$A15, tblByteDanceUnits[cv_2019]) + SUMIF(tblCloudAOUnits[Products],$A15, tblCloudAOUnits[cv_2019])</f>
        <v>0</v>
      </c>
      <c r="D15" s="8">
        <f xml:space="preserve"> SUMIF(tblGoogleUnits[Products],$A15, tblGoogleUnits[cv_2020]) + SUMIF(tblMetaUnits[Products],$A15, tblMetaUnits[cv_2020]) + SUMIF(tblAmazonUnits[Products],$A15, tblAmazonUnits[cv_2020]) + SUMIF(tblMicrosoftUnits[Products],$A15, tblMicrosoftUnits[cv_2020]) + SUMIF(tblAppleUnits[Products],$A15, tblAppleUnits[cv_2020]) + SUMIF(tblAlibabaUnits[Products],$A15, tblAlibabaUnits[cv_2020]) + SUMIF(tblHuaweiUnits[Products],$A15, tblHuaweiUnits[cv_2020]) + SUMIF(tblTencentUnits[Products],$A15, tblTencentUnits[cv_2020]) + SUMIF(tblBaiduUnits[Products],$A15, tblBaiduUnits[cv_2020]) + SUMIF(tblByteDanceUnits[Products],$A15, tblByteDanceUnits[cv_2020]) + SUMIF(tblCloudAOUnits[Products],$A15, tblCloudAOUnits[cv_2020])</f>
        <v>0</v>
      </c>
      <c r="E15" s="8">
        <f xml:space="preserve"> SUMIF(tblGoogleUnits[Products],$A15, tblGoogleUnits[cv_2021]) + SUMIF(tblMetaUnits[Products],$A15, tblMetaUnits[cv_2021]) + SUMIF(tblAmazonUnits[Products],$A15, tblAmazonUnits[cv_2021]) + SUMIF(tblMicrosoftUnits[Products],$A15, tblMicrosoftUnits[cv_2021]) + SUMIF(tblAppleUnits[Products],$A15, tblAppleUnits[cv_2021]) + SUMIF(tblAlibabaUnits[Products],$A15, tblAlibabaUnits[cv_2021]) + SUMIF(tblHuaweiUnits[Products],$A15, tblHuaweiUnits[cv_2021]) + SUMIF(tblTencentUnits[Products],$A15, tblTencentUnits[cv_2021]) + SUMIF(tblBaiduUnits[Products],$A15, tblBaiduUnits[cv_2021]) + SUMIF(tblByteDanceUnits[Products],$A15, tblByteDanceUnits[cv_2021]) + SUMIF(tblCloudAOUnits[Products],$A15, tblCloudAOUnits[cv_2021])</f>
        <v>0</v>
      </c>
      <c r="F15" s="8">
        <f xml:space="preserve"> SUMIF(tblGoogleUnits[Products],$A15, tblGoogleUnits[cv_2022]) + SUMIF(tblMetaUnits[Products],$A15, tblMetaUnits[cv_2022]) + SUMIF(tblAmazonUnits[Products],$A15, tblAmazonUnits[cv_2022]) + SUMIF(tblMicrosoftUnits[Products],$A15, tblMicrosoftUnits[cv_2022]) + SUMIF(tblAppleUnits[Products],$A15, tblAppleUnits[cv_2022]) + SUMIF(tblAlibabaUnits[Products],$A15, tblAlibabaUnits[cv_2022]) + SUMIF(tblHuaweiUnits[Products],$A15, tblHuaweiUnits[cv_2022]) + SUMIF(tblTencentUnits[Products],$A15, tblTencentUnits[cv_2022]) + SUMIF(tblBaiduUnits[Products],$A15, tblBaiduUnits[cv_2022]) + SUMIF(tblByteDanceUnits[Products],$A15, tblByteDanceUnits[cv_2022]) + SUMIF(tblCloudAOUnits[Products],$A15, tblCloudAOUnits[cv_2022])</f>
        <v>0</v>
      </c>
      <c r="G15" s="8">
        <f xml:space="preserve"> SUMIF(tblGoogleUnits[Products],$A15, tblGoogleUnits[cv_2023]) + SUMIF(tblMetaUnits[Products],$A15, tblMetaUnits[cv_2023]) + SUMIF(tblAmazonUnits[Products],$A15, tblAmazonUnits[cv_2023]) + SUMIF(tblMicrosoftUnits[Products],$A15, tblMicrosoftUnits[cv_2023]) + SUMIF(tblAppleUnits[Products],$A15, tblAppleUnits[cv_2023]) + SUMIF(tblAlibabaUnits[Products],$A15, tblAlibabaUnits[cv_2023]) + SUMIF(tblHuaweiUnits[Products],$A15, tblHuaweiUnits[cv_2023]) + SUMIF(tblTencentUnits[Products],$A15, tblTencentUnits[cv_2023]) + SUMIF(tblBaiduUnits[Products],$A15, tblBaiduUnits[cv_2023]) + SUMIF(tblByteDanceUnits[Products],$A15, tblByteDanceUnits[cv_2023]) + SUMIF(tblCloudAOUnits[Products],$A15, tblCloudAOUnits[cv_2023])</f>
        <v>0</v>
      </c>
      <c r="H15" s="8">
        <f xml:space="preserve"> SUMIF(tblGoogleUnits[Products],$A15, tblGoogleUnits[cv_2024]) + SUMIF(tblMetaUnits[Products],$A15, tblMetaUnits[cv_2024]) + SUMIF(tblAmazonUnits[Products],$A15, tblAmazonUnits[cv_2024]) + SUMIF(tblMicrosoftUnits[Products],$A15, tblMicrosoftUnits[cv_2024]) + SUMIF(tblAppleUnits[Products],$A15, tblAppleUnits[cv_2024]) + SUMIF(tblAlibabaUnits[Products],$A15, tblAlibabaUnits[cv_2024]) + SUMIF(tblHuaweiUnits[Products],$A15, tblHuaweiUnits[cv_2024]) + SUMIF(tblTencentUnits[Products],$A15, tblTencentUnits[cv_2024]) + SUMIF(tblBaiduUnits[Products],$A15, tblBaiduUnits[cv_2024]) + SUMIF(tblByteDanceUnits[Products],$A15, tblByteDanceUnits[cv_2024]) + SUMIF(tblCloudAOUnits[Products],$A15, tblCloudAOUnits[cv_2024])</f>
        <v>0</v>
      </c>
      <c r="I15" s="8">
        <f xml:space="preserve"> SUMIF(tblGoogleUnits[Products],$A15, tblGoogleUnits[cv_2025]) + SUMIF(tblMetaUnits[Products],$A15, tblMetaUnits[cv_2025]) + SUMIF(tblAmazonUnits[Products],$A15, tblAmazonUnits[cv_2025]) + SUMIF(tblMicrosoftUnits[Products],$A15, tblMicrosoftUnits[cv_2025]) + SUMIF(tblAppleUnits[Products],$A15, tblAppleUnits[cv_2025]) + SUMIF(tblAlibabaUnits[Products],$A15, tblAlibabaUnits[cv_2025]) + SUMIF(tblHuaweiUnits[Products],$A15, tblHuaweiUnits[cv_2025]) + SUMIF(tblTencentUnits[Products],$A15, tblTencentUnits[cv_2025]) + SUMIF(tblBaiduUnits[Products],$A15, tblBaiduUnits[cv_2025]) + SUMIF(tblByteDanceUnits[Products],$A15, tblByteDanceUnits[cv_2025]) + SUMIF(tblCloudAOUnits[Products],$A15, tblCloudAOUnits[cv_2025])</f>
        <v>0</v>
      </c>
      <c r="J15" s="8">
        <f xml:space="preserve"> SUMIF(tblGoogleUnits[Products],$A15, tblGoogleUnits[cv_2026]) + SUMIF(tblMetaUnits[Products],$A15, tblMetaUnits[cv_2026]) + SUMIF(tblAmazonUnits[Products],$A15, tblAmazonUnits[cv_2026]) + SUMIF(tblMicrosoftUnits[Products],$A15, tblMicrosoftUnits[cv_2026]) + SUMIF(tblAppleUnits[Products],$A15, tblAppleUnits[cv_2026]) + SUMIF(tblAlibabaUnits[Products],$A15, tblAlibabaUnits[cv_2026]) + SUMIF(tblHuaweiUnits[Products],$A15, tblHuaweiUnits[cv_2026]) + SUMIF(tblTencentUnits[Products],$A15, tblTencentUnits[cv_2026]) + SUMIF(tblBaiduUnits[Products],$A15, tblBaiduUnits[cv_2026]) + SUMIF(tblByteDanceUnits[Products],$A15, tblByteDanceUnits[cv_2026]) + SUMIF(tblCloudAOUnits[Products],$A15, tblCloudAOUnits[cv_2026])</f>
        <v>0</v>
      </c>
      <c r="K15" s="8">
        <f xml:space="preserve"> SUMIF(tblGoogleUnits[Products],$A15, tblGoogleUnits[cv_2027]) + SUMIF(tblMetaUnits[Products],$A15, tblMetaUnits[cv_2027]) + SUMIF(tblAmazonUnits[Products],$A15, tblAmazonUnits[cv_2027]) + SUMIF(tblMicrosoftUnits[Products],$A15, tblMicrosoftUnits[cv_2027]) + SUMIF(tblAppleUnits[Products],$A15, tblAppleUnits[cv_2027]) + SUMIF(tblAlibabaUnits[Products],$A15, tblAlibabaUnits[cv_2027]) + SUMIF(tblHuaweiUnits[Products],$A15, tblHuaweiUnits[cv_2027]) + SUMIF(tblTencentUnits[Products],$A15, tblTencentUnits[cv_2027]) + SUMIF(tblBaiduUnits[Products],$A15, tblBaiduUnits[cv_2027]) + SUMIF(tblByteDanceUnits[Products],$A15, tblByteDanceUnits[cv_2027]) + SUMIF(tblCloudAOUnits[Products],$A15, tblCloudAOUnits[cv_2027])</f>
        <v>0</v>
      </c>
      <c r="L15" s="8">
        <f xml:space="preserve"> SUMIF(tblGoogleUnits[Products],$A15, tblGoogleUnits[cv_2028]) + SUMIF(tblMetaUnits[Products],$A15, tblMetaUnits[cv_2028]) + SUMIF(tblAmazonUnits[Products],$A15, tblAmazonUnits[cv_2028]) + SUMIF(tblMicrosoftUnits[Products],$A15, tblMicrosoftUnits[cv_2028]) + SUMIF(tblAppleUnits[Products],$A15, tblAppleUnits[cv_2028]) + SUMIF(tblAlibabaUnits[Products],$A15, tblAlibabaUnits[cv_2028]) + SUMIF(tblHuaweiUnits[Products],$A15, tblHuaweiUnits[cv_2028]) + SUMIF(tblTencentUnits[Products],$A15, tblTencentUnits[cv_2028]) + SUMIF(tblBaiduUnits[Products],$A15, tblBaiduUnits[cv_2028]) + SUMIF(tblByteDanceUnits[Products],$A15, tblByteDanceUnits[cv_2028]) + SUMIF(tblCloudAOUnits[Products],$A15, tblCloudAOUnits[cv_2028])</f>
        <v>0</v>
      </c>
      <c r="M15" s="122">
        <f>10^-6*B15*INDEX(TotalMarket!$M$26:$W$125,MATCH($A15,$A$11:$A$132,0),MATCH(M$10,$M$10:$W$10))</f>
        <v>0</v>
      </c>
      <c r="N15" s="122">
        <f>10^-6*C15*INDEX(TotalMarket!$M$26:$W$125,MATCH($A15,$A$11:$A$132,0),MATCH(N$10,$M$10:$W$10))</f>
        <v>0</v>
      </c>
      <c r="O15" s="122">
        <f>10^-6*D15*INDEX(TotalMarket!$M$26:$W$125,MATCH($A15,$A$11:$A$132,0),MATCH(O$10,$M$10:$W$10))</f>
        <v>0</v>
      </c>
      <c r="P15" s="122">
        <f>10^-6*E15*INDEX(TotalMarket!$M$26:$W$125,MATCH($A15,$A$11:$A$132,0),MATCH(P$10,$M$10:$W$10))</f>
        <v>0</v>
      </c>
      <c r="Q15" s="122">
        <f>10^-6*F15*INDEX(TotalMarket!$M$26:$W$125,MATCH($A15,$A$11:$A$132,0),MATCH(Q$10,$M$10:$W$10))</f>
        <v>0</v>
      </c>
      <c r="R15" s="122">
        <f>10^-6*G15*INDEX(TotalMarket!$M$26:$W$125,MATCH($A15,$A$11:$A$132,0),MATCH(R$10,$M$10:$W$10))</f>
        <v>0</v>
      </c>
      <c r="S15" s="122">
        <f>10^-6*H15*INDEX(TotalMarket!$M$26:$W$125,MATCH($A15,$A$11:$A$132,0),MATCH(S$10,$M$10:$W$10))</f>
        <v>0</v>
      </c>
      <c r="T15" s="122">
        <f>10^-6*I15*INDEX(TotalMarket!$M$26:$W$125,MATCH($A15,$A$11:$A$132,0),MATCH(T$10,$M$10:$W$10))</f>
        <v>0</v>
      </c>
      <c r="U15" s="122">
        <f>10^-6*J15*INDEX(TotalMarket!$M$26:$W$125,MATCH($A15,$A$11:$A$132,0),MATCH(U$10,$M$10:$W$10))</f>
        <v>0</v>
      </c>
      <c r="V15" s="122">
        <f>10^-6*K15*INDEX(TotalMarket!$M$26:$W$125,MATCH($A15,$A$11:$A$132,0),MATCH(V$10,$M$10:$W$10))</f>
        <v>0</v>
      </c>
      <c r="W15" s="122">
        <f>10^-6*L15*INDEX(TotalMarket!$M$26:$W$125,MATCH($A15,$A$11:$A$132,0),MATCH(W$10,$M$10:$W$10))</f>
        <v>0</v>
      </c>
      <c r="X15" s="1">
        <v>1</v>
      </c>
    </row>
    <row r="16" spans="1:24" s="1" customFormat="1">
      <c r="A16" s="15" t="s">
        <v>154</v>
      </c>
      <c r="B16" s="8">
        <f xml:space="preserve"> SUMIF(tblGoogleUnits[Products],$A16, tblGoogleUnits[cv_2018]) + SUMIF(tblMetaUnits[Products],$A16, tblMetaUnits[cv_2018]) + SUMIF(tblAmazonUnits[Products],$A16, tblAmazonUnits[cv_2018]) + SUMIF(tblMicrosoftUnits[Products],$A16, tblMicrosoftUnits[cv_2018]) + SUMIF(tblAppleUnits[Products],$A16, tblAppleUnits[cv_2018]) + SUMIF(tblAlibabaUnits[Products],$A16, tblAlibabaUnits[cv_2018]) + SUMIF(tblHuaweiUnits[Products],$A16, tblHuaweiUnits[cv_2018]) + SUMIF(tblTencentUnits[Products],$A16, tblTencentUnits[cv_2018]) + SUMIF(tblBaiduUnits[Products],$A16, tblBaiduUnits[cv_2018]) + SUMIF(tblByteDanceUnits[Products],$A16, tblByteDanceUnits[cv_2018]) + SUMIF(tblCloudAOUnits[Products],$A16, tblCloudAOUnits[cv_2018])</f>
        <v>0</v>
      </c>
      <c r="C16" s="8">
        <f xml:space="preserve"> SUMIF(tblGoogleUnits[Products],$A16, tblGoogleUnits[cv_2019]) + SUMIF(tblMetaUnits[Products],$A16, tblMetaUnits[cv_2019]) + SUMIF(tblAmazonUnits[Products],$A16, tblAmazonUnits[cv_2019]) + SUMIF(tblMicrosoftUnits[Products],$A16, tblMicrosoftUnits[cv_2019]) + SUMIF(tblAppleUnits[Products],$A16, tblAppleUnits[cv_2019]) + SUMIF(tblAlibabaUnits[Products],$A16, tblAlibabaUnits[cv_2019]) + SUMIF(tblHuaweiUnits[Products],$A16, tblHuaweiUnits[cv_2019]) + SUMIF(tblTencentUnits[Products],$A16, tblTencentUnits[cv_2019]) + SUMIF(tblBaiduUnits[Products],$A16, tblBaiduUnits[cv_2019]) + SUMIF(tblByteDanceUnits[Products],$A16, tblByteDanceUnits[cv_2019]) + SUMIF(tblCloudAOUnits[Products],$A16, tblCloudAOUnits[cv_2019])</f>
        <v>0</v>
      </c>
      <c r="D16" s="8">
        <f xml:space="preserve"> SUMIF(tblGoogleUnits[Products],$A16, tblGoogleUnits[cv_2020]) + SUMIF(tblMetaUnits[Products],$A16, tblMetaUnits[cv_2020]) + SUMIF(tblAmazonUnits[Products],$A16, tblAmazonUnits[cv_2020]) + SUMIF(tblMicrosoftUnits[Products],$A16, tblMicrosoftUnits[cv_2020]) + SUMIF(tblAppleUnits[Products],$A16, tblAppleUnits[cv_2020]) + SUMIF(tblAlibabaUnits[Products],$A16, tblAlibabaUnits[cv_2020]) + SUMIF(tblHuaweiUnits[Products],$A16, tblHuaweiUnits[cv_2020]) + SUMIF(tblTencentUnits[Products],$A16, tblTencentUnits[cv_2020]) + SUMIF(tblBaiduUnits[Products],$A16, tblBaiduUnits[cv_2020]) + SUMIF(tblByteDanceUnits[Products],$A16, tblByteDanceUnits[cv_2020]) + SUMIF(tblCloudAOUnits[Products],$A16, tblCloudAOUnits[cv_2020])</f>
        <v>0</v>
      </c>
      <c r="E16" s="8">
        <f xml:space="preserve"> SUMIF(tblGoogleUnits[Products],$A16, tblGoogleUnits[cv_2021]) + SUMIF(tblMetaUnits[Products],$A16, tblMetaUnits[cv_2021]) + SUMIF(tblAmazonUnits[Products],$A16, tblAmazonUnits[cv_2021]) + SUMIF(tblMicrosoftUnits[Products],$A16, tblMicrosoftUnits[cv_2021]) + SUMIF(tblAppleUnits[Products],$A16, tblAppleUnits[cv_2021]) + SUMIF(tblAlibabaUnits[Products],$A16, tblAlibabaUnits[cv_2021]) + SUMIF(tblHuaweiUnits[Products],$A16, tblHuaweiUnits[cv_2021]) + SUMIF(tblTencentUnits[Products],$A16, tblTencentUnits[cv_2021]) + SUMIF(tblBaiduUnits[Products],$A16, tblBaiduUnits[cv_2021]) + SUMIF(tblByteDanceUnits[Products],$A16, tblByteDanceUnits[cv_2021]) + SUMIF(tblCloudAOUnits[Products],$A16, tblCloudAOUnits[cv_2021])</f>
        <v>0</v>
      </c>
      <c r="F16" s="8">
        <f xml:space="preserve"> SUMIF(tblGoogleUnits[Products],$A16, tblGoogleUnits[cv_2022]) + SUMIF(tblMetaUnits[Products],$A16, tblMetaUnits[cv_2022]) + SUMIF(tblAmazonUnits[Products],$A16, tblAmazonUnits[cv_2022]) + SUMIF(tblMicrosoftUnits[Products],$A16, tblMicrosoftUnits[cv_2022]) + SUMIF(tblAppleUnits[Products],$A16, tblAppleUnits[cv_2022]) + SUMIF(tblAlibabaUnits[Products],$A16, tblAlibabaUnits[cv_2022]) + SUMIF(tblHuaweiUnits[Products],$A16, tblHuaweiUnits[cv_2022]) + SUMIF(tblTencentUnits[Products],$A16, tblTencentUnits[cv_2022]) + SUMIF(tblBaiduUnits[Products],$A16, tblBaiduUnits[cv_2022]) + SUMIF(tblByteDanceUnits[Products],$A16, tblByteDanceUnits[cv_2022]) + SUMIF(tblCloudAOUnits[Products],$A16, tblCloudAOUnits[cv_2022])</f>
        <v>0</v>
      </c>
      <c r="G16" s="8">
        <f xml:space="preserve"> SUMIF(tblGoogleUnits[Products],$A16, tblGoogleUnits[cv_2023]) + SUMIF(tblMetaUnits[Products],$A16, tblMetaUnits[cv_2023]) + SUMIF(tblAmazonUnits[Products],$A16, tblAmazonUnits[cv_2023]) + SUMIF(tblMicrosoftUnits[Products],$A16, tblMicrosoftUnits[cv_2023]) + SUMIF(tblAppleUnits[Products],$A16, tblAppleUnits[cv_2023]) + SUMIF(tblAlibabaUnits[Products],$A16, tblAlibabaUnits[cv_2023]) + SUMIF(tblHuaweiUnits[Products],$A16, tblHuaweiUnits[cv_2023]) + SUMIF(tblTencentUnits[Products],$A16, tblTencentUnits[cv_2023]) + SUMIF(tblBaiduUnits[Products],$A16, tblBaiduUnits[cv_2023]) + SUMIF(tblByteDanceUnits[Products],$A16, tblByteDanceUnits[cv_2023]) + SUMIF(tblCloudAOUnits[Products],$A16, tblCloudAOUnits[cv_2023])</f>
        <v>0</v>
      </c>
      <c r="H16" s="8">
        <f xml:space="preserve"> SUMIF(tblGoogleUnits[Products],$A16, tblGoogleUnits[cv_2024]) + SUMIF(tblMetaUnits[Products],$A16, tblMetaUnits[cv_2024]) + SUMIF(tblAmazonUnits[Products],$A16, tblAmazonUnits[cv_2024]) + SUMIF(tblMicrosoftUnits[Products],$A16, tblMicrosoftUnits[cv_2024]) + SUMIF(tblAppleUnits[Products],$A16, tblAppleUnits[cv_2024]) + SUMIF(tblAlibabaUnits[Products],$A16, tblAlibabaUnits[cv_2024]) + SUMIF(tblHuaweiUnits[Products],$A16, tblHuaweiUnits[cv_2024]) + SUMIF(tblTencentUnits[Products],$A16, tblTencentUnits[cv_2024]) + SUMIF(tblBaiduUnits[Products],$A16, tblBaiduUnits[cv_2024]) + SUMIF(tblByteDanceUnits[Products],$A16, tblByteDanceUnits[cv_2024]) + SUMIF(tblCloudAOUnits[Products],$A16, tblCloudAOUnits[cv_2024])</f>
        <v>0</v>
      </c>
      <c r="I16" s="8">
        <f xml:space="preserve"> SUMIF(tblGoogleUnits[Products],$A16, tblGoogleUnits[cv_2025]) + SUMIF(tblMetaUnits[Products],$A16, tblMetaUnits[cv_2025]) + SUMIF(tblAmazonUnits[Products],$A16, tblAmazonUnits[cv_2025]) + SUMIF(tblMicrosoftUnits[Products],$A16, tblMicrosoftUnits[cv_2025]) + SUMIF(tblAppleUnits[Products],$A16, tblAppleUnits[cv_2025]) + SUMIF(tblAlibabaUnits[Products],$A16, tblAlibabaUnits[cv_2025]) + SUMIF(tblHuaweiUnits[Products],$A16, tblHuaweiUnits[cv_2025]) + SUMIF(tblTencentUnits[Products],$A16, tblTencentUnits[cv_2025]) + SUMIF(tblBaiduUnits[Products],$A16, tblBaiduUnits[cv_2025]) + SUMIF(tblByteDanceUnits[Products],$A16, tblByteDanceUnits[cv_2025]) + SUMIF(tblCloudAOUnits[Products],$A16, tblCloudAOUnits[cv_2025])</f>
        <v>0</v>
      </c>
      <c r="J16" s="8">
        <f xml:space="preserve"> SUMIF(tblGoogleUnits[Products],$A16, tblGoogleUnits[cv_2026]) + SUMIF(tblMetaUnits[Products],$A16, tblMetaUnits[cv_2026]) + SUMIF(tblAmazonUnits[Products],$A16, tblAmazonUnits[cv_2026]) + SUMIF(tblMicrosoftUnits[Products],$A16, tblMicrosoftUnits[cv_2026]) + SUMIF(tblAppleUnits[Products],$A16, tblAppleUnits[cv_2026]) + SUMIF(tblAlibabaUnits[Products],$A16, tblAlibabaUnits[cv_2026]) + SUMIF(tblHuaweiUnits[Products],$A16, tblHuaweiUnits[cv_2026]) + SUMIF(tblTencentUnits[Products],$A16, tblTencentUnits[cv_2026]) + SUMIF(tblBaiduUnits[Products],$A16, tblBaiduUnits[cv_2026]) + SUMIF(tblByteDanceUnits[Products],$A16, tblByteDanceUnits[cv_2026]) + SUMIF(tblCloudAOUnits[Products],$A16, tblCloudAOUnits[cv_2026])</f>
        <v>0</v>
      </c>
      <c r="K16" s="8">
        <f xml:space="preserve"> SUMIF(tblGoogleUnits[Products],$A16, tblGoogleUnits[cv_2027]) + SUMIF(tblMetaUnits[Products],$A16, tblMetaUnits[cv_2027]) + SUMIF(tblAmazonUnits[Products],$A16, tblAmazonUnits[cv_2027]) + SUMIF(tblMicrosoftUnits[Products],$A16, tblMicrosoftUnits[cv_2027]) + SUMIF(tblAppleUnits[Products],$A16, tblAppleUnits[cv_2027]) + SUMIF(tblAlibabaUnits[Products],$A16, tblAlibabaUnits[cv_2027]) + SUMIF(tblHuaweiUnits[Products],$A16, tblHuaweiUnits[cv_2027]) + SUMIF(tblTencentUnits[Products],$A16, tblTencentUnits[cv_2027]) + SUMIF(tblBaiduUnits[Products],$A16, tblBaiduUnits[cv_2027]) + SUMIF(tblByteDanceUnits[Products],$A16, tblByteDanceUnits[cv_2027]) + SUMIF(tblCloudAOUnits[Products],$A16, tblCloudAOUnits[cv_2027])</f>
        <v>0</v>
      </c>
      <c r="L16" s="8">
        <f xml:space="preserve"> SUMIF(tblGoogleUnits[Products],$A16, tblGoogleUnits[cv_2028]) + SUMIF(tblMetaUnits[Products],$A16, tblMetaUnits[cv_2028]) + SUMIF(tblAmazonUnits[Products],$A16, tblAmazonUnits[cv_2028]) + SUMIF(tblMicrosoftUnits[Products],$A16, tblMicrosoftUnits[cv_2028]) + SUMIF(tblAppleUnits[Products],$A16, tblAppleUnits[cv_2028]) + SUMIF(tblAlibabaUnits[Products],$A16, tblAlibabaUnits[cv_2028]) + SUMIF(tblHuaweiUnits[Products],$A16, tblHuaweiUnits[cv_2028]) + SUMIF(tblTencentUnits[Products],$A16, tblTencentUnits[cv_2028]) + SUMIF(tblBaiduUnits[Products],$A16, tblBaiduUnits[cv_2028]) + SUMIF(tblByteDanceUnits[Products],$A16, tblByteDanceUnits[cv_2028]) + SUMIF(tblCloudAOUnits[Products],$A16, tblCloudAOUnits[cv_2028])</f>
        <v>0</v>
      </c>
      <c r="M16" s="122">
        <f>10^-6*B16*INDEX(TotalMarket!$M$26:$W$125,MATCH($A16,$A$11:$A$132,0),MATCH(M$10,$M$10:$W$10))</f>
        <v>0</v>
      </c>
      <c r="N16" s="122">
        <f>10^-6*C16*INDEX(TotalMarket!$M$26:$W$125,MATCH($A16,$A$11:$A$132,0),MATCH(N$10,$M$10:$W$10))</f>
        <v>0</v>
      </c>
      <c r="O16" s="122">
        <f>10^-6*D16*INDEX(TotalMarket!$M$26:$W$125,MATCH($A16,$A$11:$A$132,0),MATCH(O$10,$M$10:$W$10))</f>
        <v>0</v>
      </c>
      <c r="P16" s="122">
        <f>10^-6*E16*INDEX(TotalMarket!$M$26:$W$125,MATCH($A16,$A$11:$A$132,0),MATCH(P$10,$M$10:$W$10))</f>
        <v>0</v>
      </c>
      <c r="Q16" s="122">
        <f>10^-6*F16*INDEX(TotalMarket!$M$26:$W$125,MATCH($A16,$A$11:$A$132,0),MATCH(Q$10,$M$10:$W$10))</f>
        <v>0</v>
      </c>
      <c r="R16" s="122">
        <f>10^-6*G16*INDEX(TotalMarket!$M$26:$W$125,MATCH($A16,$A$11:$A$132,0),MATCH(R$10,$M$10:$W$10))</f>
        <v>0</v>
      </c>
      <c r="S16" s="122">
        <f>10^-6*H16*INDEX(TotalMarket!$M$26:$W$125,MATCH($A16,$A$11:$A$132,0),MATCH(S$10,$M$10:$W$10))</f>
        <v>0</v>
      </c>
      <c r="T16" s="122">
        <f>10^-6*I16*INDEX(TotalMarket!$M$26:$W$125,MATCH($A16,$A$11:$A$132,0),MATCH(T$10,$M$10:$W$10))</f>
        <v>0</v>
      </c>
      <c r="U16" s="122">
        <f>10^-6*J16*INDEX(TotalMarket!$M$26:$W$125,MATCH($A16,$A$11:$A$132,0),MATCH(U$10,$M$10:$W$10))</f>
        <v>0</v>
      </c>
      <c r="V16" s="122">
        <f>10^-6*K16*INDEX(TotalMarket!$M$26:$W$125,MATCH($A16,$A$11:$A$132,0),MATCH(V$10,$M$10:$W$10))</f>
        <v>0</v>
      </c>
      <c r="W16" s="122">
        <f>10^-6*L16*INDEX(TotalMarket!$M$26:$W$125,MATCH($A16,$A$11:$A$132,0),MATCH(W$10,$M$10:$W$10))</f>
        <v>0</v>
      </c>
      <c r="X16" s="1">
        <v>10</v>
      </c>
    </row>
    <row r="17" spans="1:24" s="1" customFormat="1">
      <c r="A17" s="15" t="s">
        <v>155</v>
      </c>
      <c r="B17" s="8">
        <f xml:space="preserve"> SUMIF(tblGoogleUnits[Products],$A17, tblGoogleUnits[cv_2018]) + SUMIF(tblMetaUnits[Products],$A17, tblMetaUnits[cv_2018]) + SUMIF(tblAmazonUnits[Products],$A17, tblAmazonUnits[cv_2018]) + SUMIF(tblMicrosoftUnits[Products],$A17, tblMicrosoftUnits[cv_2018]) + SUMIF(tblAppleUnits[Products],$A17, tblAppleUnits[cv_2018]) + SUMIF(tblAlibabaUnits[Products],$A17, tblAlibabaUnits[cv_2018]) + SUMIF(tblHuaweiUnits[Products],$A17, tblHuaweiUnits[cv_2018]) + SUMIF(tblTencentUnits[Products],$A17, tblTencentUnits[cv_2018]) + SUMIF(tblBaiduUnits[Products],$A17, tblBaiduUnits[cv_2018]) + SUMIF(tblByteDanceUnits[Products],$A17, tblByteDanceUnits[cv_2018]) + SUMIF(tblCloudAOUnits[Products],$A17, tblCloudAOUnits[cv_2018])</f>
        <v>3751063.0158183533</v>
      </c>
      <c r="C17" s="8">
        <f xml:space="preserve"> SUMIF(tblGoogleUnits[Products],$A17, tblGoogleUnits[cv_2019]) + SUMIF(tblMetaUnits[Products],$A17, tblMetaUnits[cv_2019]) + SUMIF(tblAmazonUnits[Products],$A17, tblAmazonUnits[cv_2019]) + SUMIF(tblMicrosoftUnits[Products],$A17, tblMicrosoftUnits[cv_2019]) + SUMIF(tblAppleUnits[Products],$A17, tblAppleUnits[cv_2019]) + SUMIF(tblAlibabaUnits[Products],$A17, tblAlibabaUnits[cv_2019]) + SUMIF(tblHuaweiUnits[Products],$A17, tblHuaweiUnits[cv_2019]) + SUMIF(tblTencentUnits[Products],$A17, tblTencentUnits[cv_2019]) + SUMIF(tblBaiduUnits[Products],$A17, tblBaiduUnits[cv_2019]) + SUMIF(tblByteDanceUnits[Products],$A17, tblByteDanceUnits[cv_2019]) + SUMIF(tblCloudAOUnits[Products],$A17, tblCloudAOUnits[cv_2019])</f>
        <v>2772887.805765403</v>
      </c>
      <c r="D17" s="8">
        <f xml:space="preserve"> SUMIF(tblGoogleUnits[Products],$A17, tblGoogleUnits[cv_2020]) + SUMIF(tblMetaUnits[Products],$A17, tblMetaUnits[cv_2020]) + SUMIF(tblAmazonUnits[Products],$A17, tblAmazonUnits[cv_2020]) + SUMIF(tblMicrosoftUnits[Products],$A17, tblMicrosoftUnits[cv_2020]) + SUMIF(tblAppleUnits[Products],$A17, tblAppleUnits[cv_2020]) + SUMIF(tblAlibabaUnits[Products],$A17, tblAlibabaUnits[cv_2020]) + SUMIF(tblHuaweiUnits[Products],$A17, tblHuaweiUnits[cv_2020]) + SUMIF(tblTencentUnits[Products],$A17, tblTencentUnits[cv_2020]) + SUMIF(tblBaiduUnits[Products],$A17, tblBaiduUnits[cv_2020]) + SUMIF(tblByteDanceUnits[Products],$A17, tblByteDanceUnits[cv_2020]) + SUMIF(tblCloudAOUnits[Products],$A17, tblCloudAOUnits[cv_2020])</f>
        <v>0</v>
      </c>
      <c r="E17" s="8">
        <f xml:space="preserve"> SUMIF(tblGoogleUnits[Products],$A17, tblGoogleUnits[cv_2021]) + SUMIF(tblMetaUnits[Products],$A17, tblMetaUnits[cv_2021]) + SUMIF(tblAmazonUnits[Products],$A17, tblAmazonUnits[cv_2021]) + SUMIF(tblMicrosoftUnits[Products],$A17, tblMicrosoftUnits[cv_2021]) + SUMIF(tblAppleUnits[Products],$A17, tblAppleUnits[cv_2021]) + SUMIF(tblAlibabaUnits[Products],$A17, tblAlibabaUnits[cv_2021]) + SUMIF(tblHuaweiUnits[Products],$A17, tblHuaweiUnits[cv_2021]) + SUMIF(tblTencentUnits[Products],$A17, tblTencentUnits[cv_2021]) + SUMIF(tblBaiduUnits[Products],$A17, tblBaiduUnits[cv_2021]) + SUMIF(tblByteDanceUnits[Products],$A17, tblByteDanceUnits[cv_2021]) + SUMIF(tblCloudAOUnits[Products],$A17, tblCloudAOUnits[cv_2021])</f>
        <v>0</v>
      </c>
      <c r="F17" s="8">
        <f xml:space="preserve"> SUMIF(tblGoogleUnits[Products],$A17, tblGoogleUnits[cv_2022]) + SUMIF(tblMetaUnits[Products],$A17, tblMetaUnits[cv_2022]) + SUMIF(tblAmazonUnits[Products],$A17, tblAmazonUnits[cv_2022]) + SUMIF(tblMicrosoftUnits[Products],$A17, tblMicrosoftUnits[cv_2022]) + SUMIF(tblAppleUnits[Products],$A17, tblAppleUnits[cv_2022]) + SUMIF(tblAlibabaUnits[Products],$A17, tblAlibabaUnits[cv_2022]) + SUMIF(tblHuaweiUnits[Products],$A17, tblHuaweiUnits[cv_2022]) + SUMIF(tblTencentUnits[Products],$A17, tblTencentUnits[cv_2022]) + SUMIF(tblBaiduUnits[Products],$A17, tblBaiduUnits[cv_2022]) + SUMIF(tblByteDanceUnits[Products],$A17, tblByteDanceUnits[cv_2022]) + SUMIF(tblCloudAOUnits[Products],$A17, tblCloudAOUnits[cv_2022])</f>
        <v>0</v>
      </c>
      <c r="G17" s="8">
        <f xml:space="preserve"> SUMIF(tblGoogleUnits[Products],$A17, tblGoogleUnits[cv_2023]) + SUMIF(tblMetaUnits[Products],$A17, tblMetaUnits[cv_2023]) + SUMIF(tblAmazonUnits[Products],$A17, tblAmazonUnits[cv_2023]) + SUMIF(tblMicrosoftUnits[Products],$A17, tblMicrosoftUnits[cv_2023]) + SUMIF(tblAppleUnits[Products],$A17, tblAppleUnits[cv_2023]) + SUMIF(tblAlibabaUnits[Products],$A17, tblAlibabaUnits[cv_2023]) + SUMIF(tblHuaweiUnits[Products],$A17, tblHuaweiUnits[cv_2023]) + SUMIF(tblTencentUnits[Products],$A17, tblTencentUnits[cv_2023]) + SUMIF(tblBaiduUnits[Products],$A17, tblBaiduUnits[cv_2023]) + SUMIF(tblByteDanceUnits[Products],$A17, tblByteDanceUnits[cv_2023]) + SUMIF(tblCloudAOUnits[Products],$A17, tblCloudAOUnits[cv_2023])</f>
        <v>0</v>
      </c>
      <c r="H17" s="8">
        <f xml:space="preserve"> SUMIF(tblGoogleUnits[Products],$A17, tblGoogleUnits[cv_2024]) + SUMIF(tblMetaUnits[Products],$A17, tblMetaUnits[cv_2024]) + SUMIF(tblAmazonUnits[Products],$A17, tblAmazonUnits[cv_2024]) + SUMIF(tblMicrosoftUnits[Products],$A17, tblMicrosoftUnits[cv_2024]) + SUMIF(tblAppleUnits[Products],$A17, tblAppleUnits[cv_2024]) + SUMIF(tblAlibabaUnits[Products],$A17, tblAlibabaUnits[cv_2024]) + SUMIF(tblHuaweiUnits[Products],$A17, tblHuaweiUnits[cv_2024]) + SUMIF(tblTencentUnits[Products],$A17, tblTencentUnits[cv_2024]) + SUMIF(tblBaiduUnits[Products],$A17, tblBaiduUnits[cv_2024]) + SUMIF(tblByteDanceUnits[Products],$A17, tblByteDanceUnits[cv_2024]) + SUMIF(tblCloudAOUnits[Products],$A17, tblCloudAOUnits[cv_2024])</f>
        <v>0</v>
      </c>
      <c r="I17" s="8">
        <f xml:space="preserve"> SUMIF(tblGoogleUnits[Products],$A17, tblGoogleUnits[cv_2025]) + SUMIF(tblMetaUnits[Products],$A17, tblMetaUnits[cv_2025]) + SUMIF(tblAmazonUnits[Products],$A17, tblAmazonUnits[cv_2025]) + SUMIF(tblMicrosoftUnits[Products],$A17, tblMicrosoftUnits[cv_2025]) + SUMIF(tblAppleUnits[Products],$A17, tblAppleUnits[cv_2025]) + SUMIF(tblAlibabaUnits[Products],$A17, tblAlibabaUnits[cv_2025]) + SUMIF(tblHuaweiUnits[Products],$A17, tblHuaweiUnits[cv_2025]) + SUMIF(tblTencentUnits[Products],$A17, tblTencentUnits[cv_2025]) + SUMIF(tblBaiduUnits[Products],$A17, tblBaiduUnits[cv_2025]) + SUMIF(tblByteDanceUnits[Products],$A17, tblByteDanceUnits[cv_2025]) + SUMIF(tblCloudAOUnits[Products],$A17, tblCloudAOUnits[cv_2025])</f>
        <v>0</v>
      </c>
      <c r="J17" s="8">
        <f xml:space="preserve"> SUMIF(tblGoogleUnits[Products],$A17, tblGoogleUnits[cv_2026]) + SUMIF(tblMetaUnits[Products],$A17, tblMetaUnits[cv_2026]) + SUMIF(tblAmazonUnits[Products],$A17, tblAmazonUnits[cv_2026]) + SUMIF(tblMicrosoftUnits[Products],$A17, tblMicrosoftUnits[cv_2026]) + SUMIF(tblAppleUnits[Products],$A17, tblAppleUnits[cv_2026]) + SUMIF(tblAlibabaUnits[Products],$A17, tblAlibabaUnits[cv_2026]) + SUMIF(tblHuaweiUnits[Products],$A17, tblHuaweiUnits[cv_2026]) + SUMIF(tblTencentUnits[Products],$A17, tblTencentUnits[cv_2026]) + SUMIF(tblBaiduUnits[Products],$A17, tblBaiduUnits[cv_2026]) + SUMIF(tblByteDanceUnits[Products],$A17, tblByteDanceUnits[cv_2026]) + SUMIF(tblCloudAOUnits[Products],$A17, tblCloudAOUnits[cv_2026])</f>
        <v>0</v>
      </c>
      <c r="K17" s="8">
        <f xml:space="preserve"> SUMIF(tblGoogleUnits[Products],$A17, tblGoogleUnits[cv_2027]) + SUMIF(tblMetaUnits[Products],$A17, tblMetaUnits[cv_2027]) + SUMIF(tblAmazonUnits[Products],$A17, tblAmazonUnits[cv_2027]) + SUMIF(tblMicrosoftUnits[Products],$A17, tblMicrosoftUnits[cv_2027]) + SUMIF(tblAppleUnits[Products],$A17, tblAppleUnits[cv_2027]) + SUMIF(tblAlibabaUnits[Products],$A17, tblAlibabaUnits[cv_2027]) + SUMIF(tblHuaweiUnits[Products],$A17, tblHuaweiUnits[cv_2027]) + SUMIF(tblTencentUnits[Products],$A17, tblTencentUnits[cv_2027]) + SUMIF(tblBaiduUnits[Products],$A17, tblBaiduUnits[cv_2027]) + SUMIF(tblByteDanceUnits[Products],$A17, tblByteDanceUnits[cv_2027]) + SUMIF(tblCloudAOUnits[Products],$A17, tblCloudAOUnits[cv_2027])</f>
        <v>0</v>
      </c>
      <c r="L17" s="8">
        <f xml:space="preserve"> SUMIF(tblGoogleUnits[Products],$A17, tblGoogleUnits[cv_2028]) + SUMIF(tblMetaUnits[Products],$A17, tblMetaUnits[cv_2028]) + SUMIF(tblAmazonUnits[Products],$A17, tblAmazonUnits[cv_2028]) + SUMIF(tblMicrosoftUnits[Products],$A17, tblMicrosoftUnits[cv_2028]) + SUMIF(tblAppleUnits[Products],$A17, tblAppleUnits[cv_2028]) + SUMIF(tblAlibabaUnits[Products],$A17, tblAlibabaUnits[cv_2028]) + SUMIF(tblHuaweiUnits[Products],$A17, tblHuaweiUnits[cv_2028]) + SUMIF(tblTencentUnits[Products],$A17, tblTencentUnits[cv_2028]) + SUMIF(tblBaiduUnits[Products],$A17, tblBaiduUnits[cv_2028]) + SUMIF(tblByteDanceUnits[Products],$A17, tblByteDanceUnits[cv_2028]) + SUMIF(tblCloudAOUnits[Products],$A17, tblCloudAOUnits[cv_2028])</f>
        <v>0</v>
      </c>
      <c r="M17" s="122">
        <f>10^-6*B17*INDEX(TotalMarket!$M$26:$W$125,MATCH($A17,$A$11:$A$132,0),MATCH(M$10,$M$10:$W$10))</f>
        <v>48.287882387771333</v>
      </c>
      <c r="N17" s="122">
        <f>10^-6*C17*INDEX(TotalMarket!$M$26:$W$125,MATCH($A17,$A$11:$A$132,0),MATCH(N$10,$M$10:$W$10))</f>
        <v>33.002658556514398</v>
      </c>
      <c r="O17" s="122">
        <f>10^-6*D17*INDEX(TotalMarket!$M$26:$W$125,MATCH($A17,$A$11:$A$132,0),MATCH(O$10,$M$10:$W$10))</f>
        <v>0</v>
      </c>
      <c r="P17" s="122">
        <f>10^-6*E17*INDEX(TotalMarket!$M$26:$W$125,MATCH($A17,$A$11:$A$132,0),MATCH(P$10,$M$10:$W$10))</f>
        <v>0</v>
      </c>
      <c r="Q17" s="122">
        <f>10^-6*F17*INDEX(TotalMarket!$M$26:$W$125,MATCH($A17,$A$11:$A$132,0),MATCH(Q$10,$M$10:$W$10))</f>
        <v>0</v>
      </c>
      <c r="R17" s="122">
        <f>10^-6*G17*INDEX(TotalMarket!$M$26:$W$125,MATCH($A17,$A$11:$A$132,0),MATCH(R$10,$M$10:$W$10))</f>
        <v>0</v>
      </c>
      <c r="S17" s="122">
        <f>10^-6*H17*INDEX(TotalMarket!$M$26:$W$125,MATCH($A17,$A$11:$A$132,0),MATCH(S$10,$M$10:$W$10))</f>
        <v>0</v>
      </c>
      <c r="T17" s="122">
        <f>10^-6*I17*INDEX(TotalMarket!$M$26:$W$125,MATCH($A17,$A$11:$A$132,0),MATCH(T$10,$M$10:$W$10))</f>
        <v>0</v>
      </c>
      <c r="U17" s="122">
        <f>10^-6*J17*INDEX(TotalMarket!$M$26:$W$125,MATCH($A17,$A$11:$A$132,0),MATCH(U$10,$M$10:$W$10))</f>
        <v>0</v>
      </c>
      <c r="V17" s="122">
        <f>10^-6*K17*INDEX(TotalMarket!$M$26:$W$125,MATCH($A17,$A$11:$A$132,0),MATCH(V$10,$M$10:$W$10))</f>
        <v>0</v>
      </c>
      <c r="W17" s="122">
        <f>10^-6*L17*INDEX(TotalMarket!$M$26:$W$125,MATCH($A17,$A$11:$A$132,0),MATCH(W$10,$M$10:$W$10))</f>
        <v>0</v>
      </c>
      <c r="X17" s="1">
        <v>10</v>
      </c>
    </row>
    <row r="18" spans="1:24" s="1" customFormat="1">
      <c r="A18" s="15" t="s">
        <v>156</v>
      </c>
      <c r="B18" s="8">
        <f xml:space="preserve"> SUMIF(tblGoogleUnits[Products],$A18, tblGoogleUnits[cv_2018]) + SUMIF(tblMetaUnits[Products],$A18, tblMetaUnits[cv_2018]) + SUMIF(tblAmazonUnits[Products],$A18, tblAmazonUnits[cv_2018]) + SUMIF(tblMicrosoftUnits[Products],$A18, tblMicrosoftUnits[cv_2018]) + SUMIF(tblAppleUnits[Products],$A18, tblAppleUnits[cv_2018]) + SUMIF(tblAlibabaUnits[Products],$A18, tblAlibabaUnits[cv_2018]) + SUMIF(tblHuaweiUnits[Products],$A18, tblHuaweiUnits[cv_2018]) + SUMIF(tblTencentUnits[Products],$A18, tblTencentUnits[cv_2018]) + SUMIF(tblBaiduUnits[Products],$A18, tblBaiduUnits[cv_2018]) + SUMIF(tblByteDanceUnits[Products],$A18, tblByteDanceUnits[cv_2018]) + SUMIF(tblCloudAOUnits[Products],$A18, tblCloudAOUnits[cv_2018])</f>
        <v>0</v>
      </c>
      <c r="C18" s="8">
        <f xml:space="preserve"> SUMIF(tblGoogleUnits[Products],$A18, tblGoogleUnits[cv_2019]) + SUMIF(tblMetaUnits[Products],$A18, tblMetaUnits[cv_2019]) + SUMIF(tblAmazonUnits[Products],$A18, tblAmazonUnits[cv_2019]) + SUMIF(tblMicrosoftUnits[Products],$A18, tblMicrosoftUnits[cv_2019]) + SUMIF(tblAppleUnits[Products],$A18, tblAppleUnits[cv_2019]) + SUMIF(tblAlibabaUnits[Products],$A18, tblAlibabaUnits[cv_2019]) + SUMIF(tblHuaweiUnits[Products],$A18, tblHuaweiUnits[cv_2019]) + SUMIF(tblTencentUnits[Products],$A18, tblTencentUnits[cv_2019]) + SUMIF(tblBaiduUnits[Products],$A18, tblBaiduUnits[cv_2019]) + SUMIF(tblByteDanceUnits[Products],$A18, tblByteDanceUnits[cv_2019]) + SUMIF(tblCloudAOUnits[Products],$A18, tblCloudAOUnits[cv_2019])</f>
        <v>0</v>
      </c>
      <c r="D18" s="8">
        <f xml:space="preserve"> SUMIF(tblGoogleUnits[Products],$A18, tblGoogleUnits[cv_2020]) + SUMIF(tblMetaUnits[Products],$A18, tblMetaUnits[cv_2020]) + SUMIF(tblAmazonUnits[Products],$A18, tblAmazonUnits[cv_2020]) + SUMIF(tblMicrosoftUnits[Products],$A18, tblMicrosoftUnits[cv_2020]) + SUMIF(tblAppleUnits[Products],$A18, tblAppleUnits[cv_2020]) + SUMIF(tblAlibabaUnits[Products],$A18, tblAlibabaUnits[cv_2020]) + SUMIF(tblHuaweiUnits[Products],$A18, tblHuaweiUnits[cv_2020]) + SUMIF(tblTencentUnits[Products],$A18, tblTencentUnits[cv_2020]) + SUMIF(tblBaiduUnits[Products],$A18, tblBaiduUnits[cv_2020]) + SUMIF(tblByteDanceUnits[Products],$A18, tblByteDanceUnits[cv_2020]) + SUMIF(tblCloudAOUnits[Products],$A18, tblCloudAOUnits[cv_2020])</f>
        <v>0</v>
      </c>
      <c r="E18" s="8">
        <f xml:space="preserve"> SUMIF(tblGoogleUnits[Products],$A18, tblGoogleUnits[cv_2021]) + SUMIF(tblMetaUnits[Products],$A18, tblMetaUnits[cv_2021]) + SUMIF(tblAmazonUnits[Products],$A18, tblAmazonUnits[cv_2021]) + SUMIF(tblMicrosoftUnits[Products],$A18, tblMicrosoftUnits[cv_2021]) + SUMIF(tblAppleUnits[Products],$A18, tblAppleUnits[cv_2021]) + SUMIF(tblAlibabaUnits[Products],$A18, tblAlibabaUnits[cv_2021]) + SUMIF(tblHuaweiUnits[Products],$A18, tblHuaweiUnits[cv_2021]) + SUMIF(tblTencentUnits[Products],$A18, tblTencentUnits[cv_2021]) + SUMIF(tblBaiduUnits[Products],$A18, tblBaiduUnits[cv_2021]) + SUMIF(tblByteDanceUnits[Products],$A18, tblByteDanceUnits[cv_2021]) + SUMIF(tblCloudAOUnits[Products],$A18, tblCloudAOUnits[cv_2021])</f>
        <v>0</v>
      </c>
      <c r="F18" s="8">
        <f xml:space="preserve"> SUMIF(tblGoogleUnits[Products],$A18, tblGoogleUnits[cv_2022]) + SUMIF(tblMetaUnits[Products],$A18, tblMetaUnits[cv_2022]) + SUMIF(tblAmazonUnits[Products],$A18, tblAmazonUnits[cv_2022]) + SUMIF(tblMicrosoftUnits[Products],$A18, tblMicrosoftUnits[cv_2022]) + SUMIF(tblAppleUnits[Products],$A18, tblAppleUnits[cv_2022]) + SUMIF(tblAlibabaUnits[Products],$A18, tblAlibabaUnits[cv_2022]) + SUMIF(tblHuaweiUnits[Products],$A18, tblHuaweiUnits[cv_2022]) + SUMIF(tblTencentUnits[Products],$A18, tblTencentUnits[cv_2022]) + SUMIF(tblBaiduUnits[Products],$A18, tblBaiduUnits[cv_2022]) + SUMIF(tblByteDanceUnits[Products],$A18, tblByteDanceUnits[cv_2022]) + SUMIF(tblCloudAOUnits[Products],$A18, tblCloudAOUnits[cv_2022])</f>
        <v>0</v>
      </c>
      <c r="G18" s="8">
        <f xml:space="preserve"> SUMIF(tblGoogleUnits[Products],$A18, tblGoogleUnits[cv_2023]) + SUMIF(tblMetaUnits[Products],$A18, tblMetaUnits[cv_2023]) + SUMIF(tblAmazonUnits[Products],$A18, tblAmazonUnits[cv_2023]) + SUMIF(tblMicrosoftUnits[Products],$A18, tblMicrosoftUnits[cv_2023]) + SUMIF(tblAppleUnits[Products],$A18, tblAppleUnits[cv_2023]) + SUMIF(tblAlibabaUnits[Products],$A18, tblAlibabaUnits[cv_2023]) + SUMIF(tblHuaweiUnits[Products],$A18, tblHuaweiUnits[cv_2023]) + SUMIF(tblTencentUnits[Products],$A18, tblTencentUnits[cv_2023]) + SUMIF(tblBaiduUnits[Products],$A18, tblBaiduUnits[cv_2023]) + SUMIF(tblByteDanceUnits[Products],$A18, tblByteDanceUnits[cv_2023]) + SUMIF(tblCloudAOUnits[Products],$A18, tblCloudAOUnits[cv_2023])</f>
        <v>0</v>
      </c>
      <c r="H18" s="8">
        <f xml:space="preserve"> SUMIF(tblGoogleUnits[Products],$A18, tblGoogleUnits[cv_2024]) + SUMIF(tblMetaUnits[Products],$A18, tblMetaUnits[cv_2024]) + SUMIF(tblAmazonUnits[Products],$A18, tblAmazonUnits[cv_2024]) + SUMIF(tblMicrosoftUnits[Products],$A18, tblMicrosoftUnits[cv_2024]) + SUMIF(tblAppleUnits[Products],$A18, tblAppleUnits[cv_2024]) + SUMIF(tblAlibabaUnits[Products],$A18, tblAlibabaUnits[cv_2024]) + SUMIF(tblHuaweiUnits[Products],$A18, tblHuaweiUnits[cv_2024]) + SUMIF(tblTencentUnits[Products],$A18, tblTencentUnits[cv_2024]) + SUMIF(tblBaiduUnits[Products],$A18, tblBaiduUnits[cv_2024]) + SUMIF(tblByteDanceUnits[Products],$A18, tblByteDanceUnits[cv_2024]) + SUMIF(tblCloudAOUnits[Products],$A18, tblCloudAOUnits[cv_2024])</f>
        <v>0</v>
      </c>
      <c r="I18" s="8">
        <f xml:space="preserve"> SUMIF(tblGoogleUnits[Products],$A18, tblGoogleUnits[cv_2025]) + SUMIF(tblMetaUnits[Products],$A18, tblMetaUnits[cv_2025]) + SUMIF(tblAmazonUnits[Products],$A18, tblAmazonUnits[cv_2025]) + SUMIF(tblMicrosoftUnits[Products],$A18, tblMicrosoftUnits[cv_2025]) + SUMIF(tblAppleUnits[Products],$A18, tblAppleUnits[cv_2025]) + SUMIF(tblAlibabaUnits[Products],$A18, tblAlibabaUnits[cv_2025]) + SUMIF(tblHuaweiUnits[Products],$A18, tblHuaweiUnits[cv_2025]) + SUMIF(tblTencentUnits[Products],$A18, tblTencentUnits[cv_2025]) + SUMIF(tblBaiduUnits[Products],$A18, tblBaiduUnits[cv_2025]) + SUMIF(tblByteDanceUnits[Products],$A18, tblByteDanceUnits[cv_2025]) + SUMIF(tblCloudAOUnits[Products],$A18, tblCloudAOUnits[cv_2025])</f>
        <v>0</v>
      </c>
      <c r="J18" s="8">
        <f xml:space="preserve"> SUMIF(tblGoogleUnits[Products],$A18, tblGoogleUnits[cv_2026]) + SUMIF(tblMetaUnits[Products],$A18, tblMetaUnits[cv_2026]) + SUMIF(tblAmazonUnits[Products],$A18, tblAmazonUnits[cv_2026]) + SUMIF(tblMicrosoftUnits[Products],$A18, tblMicrosoftUnits[cv_2026]) + SUMIF(tblAppleUnits[Products],$A18, tblAppleUnits[cv_2026]) + SUMIF(tblAlibabaUnits[Products],$A18, tblAlibabaUnits[cv_2026]) + SUMIF(tblHuaweiUnits[Products],$A18, tblHuaweiUnits[cv_2026]) + SUMIF(tblTencentUnits[Products],$A18, tblTencentUnits[cv_2026]) + SUMIF(tblBaiduUnits[Products],$A18, tblBaiduUnits[cv_2026]) + SUMIF(tblByteDanceUnits[Products],$A18, tblByteDanceUnits[cv_2026]) + SUMIF(tblCloudAOUnits[Products],$A18, tblCloudAOUnits[cv_2026])</f>
        <v>0</v>
      </c>
      <c r="K18" s="8">
        <f xml:space="preserve"> SUMIF(tblGoogleUnits[Products],$A18, tblGoogleUnits[cv_2027]) + SUMIF(tblMetaUnits[Products],$A18, tblMetaUnits[cv_2027]) + SUMIF(tblAmazonUnits[Products],$A18, tblAmazonUnits[cv_2027]) + SUMIF(tblMicrosoftUnits[Products],$A18, tblMicrosoftUnits[cv_2027]) + SUMIF(tblAppleUnits[Products],$A18, tblAppleUnits[cv_2027]) + SUMIF(tblAlibabaUnits[Products],$A18, tblAlibabaUnits[cv_2027]) + SUMIF(tblHuaweiUnits[Products],$A18, tblHuaweiUnits[cv_2027]) + SUMIF(tblTencentUnits[Products],$A18, tblTencentUnits[cv_2027]) + SUMIF(tblBaiduUnits[Products],$A18, tblBaiduUnits[cv_2027]) + SUMIF(tblByteDanceUnits[Products],$A18, tblByteDanceUnits[cv_2027]) + SUMIF(tblCloudAOUnits[Products],$A18, tblCloudAOUnits[cv_2027])</f>
        <v>0</v>
      </c>
      <c r="L18" s="8">
        <f xml:space="preserve"> SUMIF(tblGoogleUnits[Products],$A18, tblGoogleUnits[cv_2028]) + SUMIF(tblMetaUnits[Products],$A18, tblMetaUnits[cv_2028]) + SUMIF(tblAmazonUnits[Products],$A18, tblAmazonUnits[cv_2028]) + SUMIF(tblMicrosoftUnits[Products],$A18, tblMicrosoftUnits[cv_2028]) + SUMIF(tblAppleUnits[Products],$A18, tblAppleUnits[cv_2028]) + SUMIF(tblAlibabaUnits[Products],$A18, tblAlibabaUnits[cv_2028]) + SUMIF(tblHuaweiUnits[Products],$A18, tblHuaweiUnits[cv_2028]) + SUMIF(tblTencentUnits[Products],$A18, tblTencentUnits[cv_2028]) + SUMIF(tblBaiduUnits[Products],$A18, tblBaiduUnits[cv_2028]) + SUMIF(tblByteDanceUnits[Products],$A18, tblByteDanceUnits[cv_2028]) + SUMIF(tblCloudAOUnits[Products],$A18, tblCloudAOUnits[cv_2028])</f>
        <v>0</v>
      </c>
      <c r="M18" s="122">
        <f>10^-6*B18*INDEX(TotalMarket!$M$26:$W$125,MATCH($A18,$A$11:$A$132,0),MATCH(M$10,$M$10:$W$10))</f>
        <v>0</v>
      </c>
      <c r="N18" s="122">
        <f>10^-6*C18*INDEX(TotalMarket!$M$26:$W$125,MATCH($A18,$A$11:$A$132,0),MATCH(N$10,$M$10:$W$10))</f>
        <v>0</v>
      </c>
      <c r="O18" s="122">
        <f>10^-6*D18*INDEX(TotalMarket!$M$26:$W$125,MATCH($A18,$A$11:$A$132,0),MATCH(O$10,$M$10:$W$10))</f>
        <v>0</v>
      </c>
      <c r="P18" s="122">
        <f>10^-6*E18*INDEX(TotalMarket!$M$26:$W$125,MATCH($A18,$A$11:$A$132,0),MATCH(P$10,$M$10:$W$10))</f>
        <v>0</v>
      </c>
      <c r="Q18" s="122">
        <f>10^-6*F18*INDEX(TotalMarket!$M$26:$W$125,MATCH($A18,$A$11:$A$132,0),MATCH(Q$10,$M$10:$W$10))</f>
        <v>0</v>
      </c>
      <c r="R18" s="122">
        <f>10^-6*G18*INDEX(TotalMarket!$M$26:$W$125,MATCH($A18,$A$11:$A$132,0),MATCH(R$10,$M$10:$W$10))</f>
        <v>0</v>
      </c>
      <c r="S18" s="122">
        <f>10^-6*H18*INDEX(TotalMarket!$M$26:$W$125,MATCH($A18,$A$11:$A$132,0),MATCH(S$10,$M$10:$W$10))</f>
        <v>0</v>
      </c>
      <c r="T18" s="122">
        <f>10^-6*I18*INDEX(TotalMarket!$M$26:$W$125,MATCH($A18,$A$11:$A$132,0),MATCH(T$10,$M$10:$W$10))</f>
        <v>0</v>
      </c>
      <c r="U18" s="122">
        <f>10^-6*J18*INDEX(TotalMarket!$M$26:$W$125,MATCH($A18,$A$11:$A$132,0),MATCH(U$10,$M$10:$W$10))</f>
        <v>0</v>
      </c>
      <c r="V18" s="122">
        <f>10^-6*K18*INDEX(TotalMarket!$M$26:$W$125,MATCH($A18,$A$11:$A$132,0),MATCH(V$10,$M$10:$W$10))</f>
        <v>0</v>
      </c>
      <c r="W18" s="122">
        <f>10^-6*L18*INDEX(TotalMarket!$M$26:$W$125,MATCH($A18,$A$11:$A$132,0),MATCH(W$10,$M$10:$W$10))</f>
        <v>0</v>
      </c>
      <c r="X18" s="1">
        <v>10</v>
      </c>
    </row>
    <row r="19" spans="1:24" s="1" customFormat="1">
      <c r="A19" s="15" t="s">
        <v>157</v>
      </c>
      <c r="B19" s="8">
        <f xml:space="preserve"> SUMIF(tblGoogleUnits[Products],$A19, tblGoogleUnits[cv_2018]) + SUMIF(tblMetaUnits[Products],$A19, tblMetaUnits[cv_2018]) + SUMIF(tblAmazonUnits[Products],$A19, tblAmazonUnits[cv_2018]) + SUMIF(tblMicrosoftUnits[Products],$A19, tblMicrosoftUnits[cv_2018]) + SUMIF(tblAppleUnits[Products],$A19, tblAppleUnits[cv_2018]) + SUMIF(tblAlibabaUnits[Products],$A19, tblAlibabaUnits[cv_2018]) + SUMIF(tblHuaweiUnits[Products],$A19, tblHuaweiUnits[cv_2018]) + SUMIF(tblTencentUnits[Products],$A19, tblTencentUnits[cv_2018]) + SUMIF(tblBaiduUnits[Products],$A19, tblBaiduUnits[cv_2018]) + SUMIF(tblByteDanceUnits[Products],$A19, tblByteDanceUnits[cv_2018]) + SUMIF(tblCloudAOUnits[Products],$A19, tblCloudAOUnits[cv_2018])</f>
        <v>0</v>
      </c>
      <c r="C19" s="8">
        <f xml:space="preserve"> SUMIF(tblGoogleUnits[Products],$A19, tblGoogleUnits[cv_2019]) + SUMIF(tblMetaUnits[Products],$A19, tblMetaUnits[cv_2019]) + SUMIF(tblAmazonUnits[Products],$A19, tblAmazonUnits[cv_2019]) + SUMIF(tblMicrosoftUnits[Products],$A19, tblMicrosoftUnits[cv_2019]) + SUMIF(tblAppleUnits[Products],$A19, tblAppleUnits[cv_2019]) + SUMIF(tblAlibabaUnits[Products],$A19, tblAlibabaUnits[cv_2019]) + SUMIF(tblHuaweiUnits[Products],$A19, tblHuaweiUnits[cv_2019]) + SUMIF(tblTencentUnits[Products],$A19, tblTencentUnits[cv_2019]) + SUMIF(tblBaiduUnits[Products],$A19, tblBaiduUnits[cv_2019]) + SUMIF(tblByteDanceUnits[Products],$A19, tblByteDanceUnits[cv_2019]) + SUMIF(tblCloudAOUnits[Products],$A19, tblCloudAOUnits[cv_2019])</f>
        <v>0</v>
      </c>
      <c r="D19" s="8">
        <f xml:space="preserve"> SUMIF(tblGoogleUnits[Products],$A19, tblGoogleUnits[cv_2020]) + SUMIF(tblMetaUnits[Products],$A19, tblMetaUnits[cv_2020]) + SUMIF(tblAmazonUnits[Products],$A19, tblAmazonUnits[cv_2020]) + SUMIF(tblMicrosoftUnits[Products],$A19, tblMicrosoftUnits[cv_2020]) + SUMIF(tblAppleUnits[Products],$A19, tblAppleUnits[cv_2020]) + SUMIF(tblAlibabaUnits[Products],$A19, tblAlibabaUnits[cv_2020]) + SUMIF(tblHuaweiUnits[Products],$A19, tblHuaweiUnits[cv_2020]) + SUMIF(tblTencentUnits[Products],$A19, tblTencentUnits[cv_2020]) + SUMIF(tblBaiduUnits[Products],$A19, tblBaiduUnits[cv_2020]) + SUMIF(tblByteDanceUnits[Products],$A19, tblByteDanceUnits[cv_2020]) + SUMIF(tblCloudAOUnits[Products],$A19, tblCloudAOUnits[cv_2020])</f>
        <v>0</v>
      </c>
      <c r="E19" s="8">
        <f xml:space="preserve"> SUMIF(tblGoogleUnits[Products],$A19, tblGoogleUnits[cv_2021]) + SUMIF(tblMetaUnits[Products],$A19, tblMetaUnits[cv_2021]) + SUMIF(tblAmazonUnits[Products],$A19, tblAmazonUnits[cv_2021]) + SUMIF(tblMicrosoftUnits[Products],$A19, tblMicrosoftUnits[cv_2021]) + SUMIF(tblAppleUnits[Products],$A19, tblAppleUnits[cv_2021]) + SUMIF(tblAlibabaUnits[Products],$A19, tblAlibabaUnits[cv_2021]) + SUMIF(tblHuaweiUnits[Products],$A19, tblHuaweiUnits[cv_2021]) + SUMIF(tblTencentUnits[Products],$A19, tblTencentUnits[cv_2021]) + SUMIF(tblBaiduUnits[Products],$A19, tblBaiduUnits[cv_2021]) + SUMIF(tblByteDanceUnits[Products],$A19, tblByteDanceUnits[cv_2021]) + SUMIF(tblCloudAOUnits[Products],$A19, tblCloudAOUnits[cv_2021])</f>
        <v>0</v>
      </c>
      <c r="F19" s="8">
        <f xml:space="preserve"> SUMIF(tblGoogleUnits[Products],$A19, tblGoogleUnits[cv_2022]) + SUMIF(tblMetaUnits[Products],$A19, tblMetaUnits[cv_2022]) + SUMIF(tblAmazonUnits[Products],$A19, tblAmazonUnits[cv_2022]) + SUMIF(tblMicrosoftUnits[Products],$A19, tblMicrosoftUnits[cv_2022]) + SUMIF(tblAppleUnits[Products],$A19, tblAppleUnits[cv_2022]) + SUMIF(tblAlibabaUnits[Products],$A19, tblAlibabaUnits[cv_2022]) + SUMIF(tblHuaweiUnits[Products],$A19, tblHuaweiUnits[cv_2022]) + SUMIF(tblTencentUnits[Products],$A19, tblTencentUnits[cv_2022]) + SUMIF(tblBaiduUnits[Products],$A19, tblBaiduUnits[cv_2022]) + SUMIF(tblByteDanceUnits[Products],$A19, tblByteDanceUnits[cv_2022]) + SUMIF(tblCloudAOUnits[Products],$A19, tblCloudAOUnits[cv_2022])</f>
        <v>0</v>
      </c>
      <c r="G19" s="8">
        <f xml:space="preserve"> SUMIF(tblGoogleUnits[Products],$A19, tblGoogleUnits[cv_2023]) + SUMIF(tblMetaUnits[Products],$A19, tblMetaUnits[cv_2023]) + SUMIF(tblAmazonUnits[Products],$A19, tblAmazonUnits[cv_2023]) + SUMIF(tblMicrosoftUnits[Products],$A19, tblMicrosoftUnits[cv_2023]) + SUMIF(tblAppleUnits[Products],$A19, tblAppleUnits[cv_2023]) + SUMIF(tblAlibabaUnits[Products],$A19, tblAlibabaUnits[cv_2023]) + SUMIF(tblHuaweiUnits[Products],$A19, tblHuaweiUnits[cv_2023]) + SUMIF(tblTencentUnits[Products],$A19, tblTencentUnits[cv_2023]) + SUMIF(tblBaiduUnits[Products],$A19, tblBaiduUnits[cv_2023]) + SUMIF(tblByteDanceUnits[Products],$A19, tblByteDanceUnits[cv_2023]) + SUMIF(tblCloudAOUnits[Products],$A19, tblCloudAOUnits[cv_2023])</f>
        <v>0</v>
      </c>
      <c r="H19" s="8">
        <f xml:space="preserve"> SUMIF(tblGoogleUnits[Products],$A19, tblGoogleUnits[cv_2024]) + SUMIF(tblMetaUnits[Products],$A19, tblMetaUnits[cv_2024]) + SUMIF(tblAmazonUnits[Products],$A19, tblAmazonUnits[cv_2024]) + SUMIF(tblMicrosoftUnits[Products],$A19, tblMicrosoftUnits[cv_2024]) + SUMIF(tblAppleUnits[Products],$A19, tblAppleUnits[cv_2024]) + SUMIF(tblAlibabaUnits[Products],$A19, tblAlibabaUnits[cv_2024]) + SUMIF(tblHuaweiUnits[Products],$A19, tblHuaweiUnits[cv_2024]) + SUMIF(tblTencentUnits[Products],$A19, tblTencentUnits[cv_2024]) + SUMIF(tblBaiduUnits[Products],$A19, tblBaiduUnits[cv_2024]) + SUMIF(tblByteDanceUnits[Products],$A19, tblByteDanceUnits[cv_2024]) + SUMIF(tblCloudAOUnits[Products],$A19, tblCloudAOUnits[cv_2024])</f>
        <v>0</v>
      </c>
      <c r="I19" s="8">
        <f xml:space="preserve"> SUMIF(tblGoogleUnits[Products],$A19, tblGoogleUnits[cv_2025]) + SUMIF(tblMetaUnits[Products],$A19, tblMetaUnits[cv_2025]) + SUMIF(tblAmazonUnits[Products],$A19, tblAmazonUnits[cv_2025]) + SUMIF(tblMicrosoftUnits[Products],$A19, tblMicrosoftUnits[cv_2025]) + SUMIF(tblAppleUnits[Products],$A19, tblAppleUnits[cv_2025]) + SUMIF(tblAlibabaUnits[Products],$A19, tblAlibabaUnits[cv_2025]) + SUMIF(tblHuaweiUnits[Products],$A19, tblHuaweiUnits[cv_2025]) + SUMIF(tblTencentUnits[Products],$A19, tblTencentUnits[cv_2025]) + SUMIF(tblBaiduUnits[Products],$A19, tblBaiduUnits[cv_2025]) + SUMIF(tblByteDanceUnits[Products],$A19, tblByteDanceUnits[cv_2025]) + SUMIF(tblCloudAOUnits[Products],$A19, tblCloudAOUnits[cv_2025])</f>
        <v>0</v>
      </c>
      <c r="J19" s="8">
        <f xml:space="preserve"> SUMIF(tblGoogleUnits[Products],$A19, tblGoogleUnits[cv_2026]) + SUMIF(tblMetaUnits[Products],$A19, tblMetaUnits[cv_2026]) + SUMIF(tblAmazonUnits[Products],$A19, tblAmazonUnits[cv_2026]) + SUMIF(tblMicrosoftUnits[Products],$A19, tblMicrosoftUnits[cv_2026]) + SUMIF(tblAppleUnits[Products],$A19, tblAppleUnits[cv_2026]) + SUMIF(tblAlibabaUnits[Products],$A19, tblAlibabaUnits[cv_2026]) + SUMIF(tblHuaweiUnits[Products],$A19, tblHuaweiUnits[cv_2026]) + SUMIF(tblTencentUnits[Products],$A19, tblTencentUnits[cv_2026]) + SUMIF(tblBaiduUnits[Products],$A19, tblBaiduUnits[cv_2026]) + SUMIF(tblByteDanceUnits[Products],$A19, tblByteDanceUnits[cv_2026]) + SUMIF(tblCloudAOUnits[Products],$A19, tblCloudAOUnits[cv_2026])</f>
        <v>0</v>
      </c>
      <c r="K19" s="8">
        <f xml:space="preserve"> SUMIF(tblGoogleUnits[Products],$A19, tblGoogleUnits[cv_2027]) + SUMIF(tblMetaUnits[Products],$A19, tblMetaUnits[cv_2027]) + SUMIF(tblAmazonUnits[Products],$A19, tblAmazonUnits[cv_2027]) + SUMIF(tblMicrosoftUnits[Products],$A19, tblMicrosoftUnits[cv_2027]) + SUMIF(tblAppleUnits[Products],$A19, tblAppleUnits[cv_2027]) + SUMIF(tblAlibabaUnits[Products],$A19, tblAlibabaUnits[cv_2027]) + SUMIF(tblHuaweiUnits[Products],$A19, tblHuaweiUnits[cv_2027]) + SUMIF(tblTencentUnits[Products],$A19, tblTencentUnits[cv_2027]) + SUMIF(tblBaiduUnits[Products],$A19, tblBaiduUnits[cv_2027]) + SUMIF(tblByteDanceUnits[Products],$A19, tblByteDanceUnits[cv_2027]) + SUMIF(tblCloudAOUnits[Products],$A19, tblCloudAOUnits[cv_2027])</f>
        <v>0</v>
      </c>
      <c r="L19" s="8">
        <f xml:space="preserve"> SUMIF(tblGoogleUnits[Products],$A19, tblGoogleUnits[cv_2028]) + SUMIF(tblMetaUnits[Products],$A19, tblMetaUnits[cv_2028]) + SUMIF(tblAmazonUnits[Products],$A19, tblAmazonUnits[cv_2028]) + SUMIF(tblMicrosoftUnits[Products],$A19, tblMicrosoftUnits[cv_2028]) + SUMIF(tblAppleUnits[Products],$A19, tblAppleUnits[cv_2028]) + SUMIF(tblAlibabaUnits[Products],$A19, tblAlibabaUnits[cv_2028]) + SUMIF(tblHuaweiUnits[Products],$A19, tblHuaweiUnits[cv_2028]) + SUMIF(tblTencentUnits[Products],$A19, tblTencentUnits[cv_2028]) + SUMIF(tblBaiduUnits[Products],$A19, tblBaiduUnits[cv_2028]) + SUMIF(tblByteDanceUnits[Products],$A19, tblByteDanceUnits[cv_2028]) + SUMIF(tblCloudAOUnits[Products],$A19, tblCloudAOUnits[cv_2028])</f>
        <v>0</v>
      </c>
      <c r="M19" s="122">
        <f>10^-6*B19*INDEX(TotalMarket!$M$26:$W$125,MATCH($A19,$A$11:$A$132,0),MATCH(M$10,$M$10:$W$10))</f>
        <v>0</v>
      </c>
      <c r="N19" s="122">
        <f>10^-6*C19*INDEX(TotalMarket!$M$26:$W$125,MATCH($A19,$A$11:$A$132,0),MATCH(N$10,$M$10:$W$10))</f>
        <v>0</v>
      </c>
      <c r="O19" s="122">
        <f>10^-6*D19*INDEX(TotalMarket!$M$26:$W$125,MATCH($A19,$A$11:$A$132,0),MATCH(O$10,$M$10:$W$10))</f>
        <v>0</v>
      </c>
      <c r="P19" s="122">
        <f>10^-6*E19*INDEX(TotalMarket!$M$26:$W$125,MATCH($A19,$A$11:$A$132,0),MATCH(P$10,$M$10:$W$10))</f>
        <v>0</v>
      </c>
      <c r="Q19" s="122">
        <f>10^-6*F19*INDEX(TotalMarket!$M$26:$W$125,MATCH($A19,$A$11:$A$132,0),MATCH(Q$10,$M$10:$W$10))</f>
        <v>0</v>
      </c>
      <c r="R19" s="122">
        <f>10^-6*G19*INDEX(TotalMarket!$M$26:$W$125,MATCH($A19,$A$11:$A$132,0),MATCH(R$10,$M$10:$W$10))</f>
        <v>0</v>
      </c>
      <c r="S19" s="122">
        <f>10^-6*H19*INDEX(TotalMarket!$M$26:$W$125,MATCH($A19,$A$11:$A$132,0),MATCH(S$10,$M$10:$W$10))</f>
        <v>0</v>
      </c>
      <c r="T19" s="122">
        <f>10^-6*I19*INDEX(TotalMarket!$M$26:$W$125,MATCH($A19,$A$11:$A$132,0),MATCH(T$10,$M$10:$W$10))</f>
        <v>0</v>
      </c>
      <c r="U19" s="122">
        <f>10^-6*J19*INDEX(TotalMarket!$M$26:$W$125,MATCH($A19,$A$11:$A$132,0),MATCH(U$10,$M$10:$W$10))</f>
        <v>0</v>
      </c>
      <c r="V19" s="122">
        <f>10^-6*K19*INDEX(TotalMarket!$M$26:$W$125,MATCH($A19,$A$11:$A$132,0),MATCH(V$10,$M$10:$W$10))</f>
        <v>0</v>
      </c>
      <c r="W19" s="122">
        <f>10^-6*L19*INDEX(TotalMarket!$M$26:$W$125,MATCH($A19,$A$11:$A$132,0),MATCH(W$10,$M$10:$W$10))</f>
        <v>0</v>
      </c>
      <c r="X19" s="1">
        <v>10</v>
      </c>
    </row>
    <row r="20" spans="1:24" s="1" customFormat="1">
      <c r="A20" s="15" t="s">
        <v>158</v>
      </c>
      <c r="B20" s="8">
        <f xml:space="preserve"> SUMIF(tblGoogleUnits[Products],$A20, tblGoogleUnits[cv_2018]) + SUMIF(tblMetaUnits[Products],$A20, tblMetaUnits[cv_2018]) + SUMIF(tblAmazonUnits[Products],$A20, tblAmazonUnits[cv_2018]) + SUMIF(tblMicrosoftUnits[Products],$A20, tblMicrosoftUnits[cv_2018]) + SUMIF(tblAppleUnits[Products],$A20, tblAppleUnits[cv_2018]) + SUMIF(tblAlibabaUnits[Products],$A20, tblAlibabaUnits[cv_2018]) + SUMIF(tblHuaweiUnits[Products],$A20, tblHuaweiUnits[cv_2018]) + SUMIF(tblTencentUnits[Products],$A20, tblTencentUnits[cv_2018]) + SUMIF(tblBaiduUnits[Products],$A20, tblBaiduUnits[cv_2018]) + SUMIF(tblByteDanceUnits[Products],$A20, tblByteDanceUnits[cv_2018]) + SUMIF(tblCloudAOUnits[Products],$A20, tblCloudAOUnits[cv_2018])</f>
        <v>547105.95999999926</v>
      </c>
      <c r="C20" s="8">
        <f xml:space="preserve"> SUMIF(tblGoogleUnits[Products],$A20, tblGoogleUnits[cv_2019]) + SUMIF(tblMetaUnits[Products],$A20, tblMetaUnits[cv_2019]) + SUMIF(tblAmazonUnits[Products],$A20, tblAmazonUnits[cv_2019]) + SUMIF(tblMicrosoftUnits[Products],$A20, tblMicrosoftUnits[cv_2019]) + SUMIF(tblAppleUnits[Products],$A20, tblAppleUnits[cv_2019]) + SUMIF(tblAlibabaUnits[Products],$A20, tblAlibabaUnits[cv_2019]) + SUMIF(tblHuaweiUnits[Products],$A20, tblHuaweiUnits[cv_2019]) + SUMIF(tblTencentUnits[Products],$A20, tblTencentUnits[cv_2019]) + SUMIF(tblBaiduUnits[Products],$A20, tblBaiduUnits[cv_2019]) + SUMIF(tblByteDanceUnits[Products],$A20, tblByteDanceUnits[cv_2019]) + SUMIF(tblCloudAOUnits[Products],$A20, tblCloudAOUnits[cv_2019])</f>
        <v>304182.14399999951</v>
      </c>
      <c r="D20" s="8">
        <f xml:space="preserve"> SUMIF(tblGoogleUnits[Products],$A20, tblGoogleUnits[cv_2020]) + SUMIF(tblMetaUnits[Products],$A20, tblMetaUnits[cv_2020]) + SUMIF(tblAmazonUnits[Products],$A20, tblAmazonUnits[cv_2020]) + SUMIF(tblMicrosoftUnits[Products],$A20, tblMicrosoftUnits[cv_2020]) + SUMIF(tblAppleUnits[Products],$A20, tblAppleUnits[cv_2020]) + SUMIF(tblAlibabaUnits[Products],$A20, tblAlibabaUnits[cv_2020]) + SUMIF(tblHuaweiUnits[Products],$A20, tblHuaweiUnits[cv_2020]) + SUMIF(tblTencentUnits[Products],$A20, tblTencentUnits[cv_2020]) + SUMIF(tblBaiduUnits[Products],$A20, tblBaiduUnits[cv_2020]) + SUMIF(tblByteDanceUnits[Products],$A20, tblByteDanceUnits[cv_2020]) + SUMIF(tblCloudAOUnits[Products],$A20, tblCloudAOUnits[cv_2020])</f>
        <v>0</v>
      </c>
      <c r="E20" s="8">
        <f xml:space="preserve"> SUMIF(tblGoogleUnits[Products],$A20, tblGoogleUnits[cv_2021]) + SUMIF(tblMetaUnits[Products],$A20, tblMetaUnits[cv_2021]) + SUMIF(tblAmazonUnits[Products],$A20, tblAmazonUnits[cv_2021]) + SUMIF(tblMicrosoftUnits[Products],$A20, tblMicrosoftUnits[cv_2021]) + SUMIF(tblAppleUnits[Products],$A20, tblAppleUnits[cv_2021]) + SUMIF(tblAlibabaUnits[Products],$A20, tblAlibabaUnits[cv_2021]) + SUMIF(tblHuaweiUnits[Products],$A20, tblHuaweiUnits[cv_2021]) + SUMIF(tblTencentUnits[Products],$A20, tblTencentUnits[cv_2021]) + SUMIF(tblBaiduUnits[Products],$A20, tblBaiduUnits[cv_2021]) + SUMIF(tblByteDanceUnits[Products],$A20, tblByteDanceUnits[cv_2021]) + SUMIF(tblCloudAOUnits[Products],$A20, tblCloudAOUnits[cv_2021])</f>
        <v>0</v>
      </c>
      <c r="F20" s="8">
        <f xml:space="preserve"> SUMIF(tblGoogleUnits[Products],$A20, tblGoogleUnits[cv_2022]) + SUMIF(tblMetaUnits[Products],$A20, tblMetaUnits[cv_2022]) + SUMIF(tblAmazonUnits[Products],$A20, tblAmazonUnits[cv_2022]) + SUMIF(tblMicrosoftUnits[Products],$A20, tblMicrosoftUnits[cv_2022]) + SUMIF(tblAppleUnits[Products],$A20, tblAppleUnits[cv_2022]) + SUMIF(tblAlibabaUnits[Products],$A20, tblAlibabaUnits[cv_2022]) + SUMIF(tblHuaweiUnits[Products],$A20, tblHuaweiUnits[cv_2022]) + SUMIF(tblTencentUnits[Products],$A20, tblTencentUnits[cv_2022]) + SUMIF(tblBaiduUnits[Products],$A20, tblBaiduUnits[cv_2022]) + SUMIF(tblByteDanceUnits[Products],$A20, tblByteDanceUnits[cv_2022]) + SUMIF(tblCloudAOUnits[Products],$A20, tblCloudAOUnits[cv_2022])</f>
        <v>0</v>
      </c>
      <c r="G20" s="8">
        <f xml:space="preserve"> SUMIF(tblGoogleUnits[Products],$A20, tblGoogleUnits[cv_2023]) + SUMIF(tblMetaUnits[Products],$A20, tblMetaUnits[cv_2023]) + SUMIF(tblAmazonUnits[Products],$A20, tblAmazonUnits[cv_2023]) + SUMIF(tblMicrosoftUnits[Products],$A20, tblMicrosoftUnits[cv_2023]) + SUMIF(tblAppleUnits[Products],$A20, tblAppleUnits[cv_2023]) + SUMIF(tblAlibabaUnits[Products],$A20, tblAlibabaUnits[cv_2023]) + SUMIF(tblHuaweiUnits[Products],$A20, tblHuaweiUnits[cv_2023]) + SUMIF(tblTencentUnits[Products],$A20, tblTencentUnits[cv_2023]) + SUMIF(tblBaiduUnits[Products],$A20, tblBaiduUnits[cv_2023]) + SUMIF(tblByteDanceUnits[Products],$A20, tblByteDanceUnits[cv_2023]) + SUMIF(tblCloudAOUnits[Products],$A20, tblCloudAOUnits[cv_2023])</f>
        <v>0</v>
      </c>
      <c r="H20" s="8">
        <f xml:space="preserve"> SUMIF(tblGoogleUnits[Products],$A20, tblGoogleUnits[cv_2024]) + SUMIF(tblMetaUnits[Products],$A20, tblMetaUnits[cv_2024]) + SUMIF(tblAmazonUnits[Products],$A20, tblAmazonUnits[cv_2024]) + SUMIF(tblMicrosoftUnits[Products],$A20, tblMicrosoftUnits[cv_2024]) + SUMIF(tblAppleUnits[Products],$A20, tblAppleUnits[cv_2024]) + SUMIF(tblAlibabaUnits[Products],$A20, tblAlibabaUnits[cv_2024]) + SUMIF(tblHuaweiUnits[Products],$A20, tblHuaweiUnits[cv_2024]) + SUMIF(tblTencentUnits[Products],$A20, tblTencentUnits[cv_2024]) + SUMIF(tblBaiduUnits[Products],$A20, tblBaiduUnits[cv_2024]) + SUMIF(tblByteDanceUnits[Products],$A20, tblByteDanceUnits[cv_2024]) + SUMIF(tblCloudAOUnits[Products],$A20, tblCloudAOUnits[cv_2024])</f>
        <v>0</v>
      </c>
      <c r="I20" s="8">
        <f xml:space="preserve"> SUMIF(tblGoogleUnits[Products],$A20, tblGoogleUnits[cv_2025]) + SUMIF(tblMetaUnits[Products],$A20, tblMetaUnits[cv_2025]) + SUMIF(tblAmazonUnits[Products],$A20, tblAmazonUnits[cv_2025]) + SUMIF(tblMicrosoftUnits[Products],$A20, tblMicrosoftUnits[cv_2025]) + SUMIF(tblAppleUnits[Products],$A20, tblAppleUnits[cv_2025]) + SUMIF(tblAlibabaUnits[Products],$A20, tblAlibabaUnits[cv_2025]) + SUMIF(tblHuaweiUnits[Products],$A20, tblHuaweiUnits[cv_2025]) + SUMIF(tblTencentUnits[Products],$A20, tblTencentUnits[cv_2025]) + SUMIF(tblBaiduUnits[Products],$A20, tblBaiduUnits[cv_2025]) + SUMIF(tblByteDanceUnits[Products],$A20, tblByteDanceUnits[cv_2025]) + SUMIF(tblCloudAOUnits[Products],$A20, tblCloudAOUnits[cv_2025])</f>
        <v>0</v>
      </c>
      <c r="J20" s="8">
        <f xml:space="preserve"> SUMIF(tblGoogleUnits[Products],$A20, tblGoogleUnits[cv_2026]) + SUMIF(tblMetaUnits[Products],$A20, tblMetaUnits[cv_2026]) + SUMIF(tblAmazonUnits[Products],$A20, tblAmazonUnits[cv_2026]) + SUMIF(tblMicrosoftUnits[Products],$A20, tblMicrosoftUnits[cv_2026]) + SUMIF(tblAppleUnits[Products],$A20, tblAppleUnits[cv_2026]) + SUMIF(tblAlibabaUnits[Products],$A20, tblAlibabaUnits[cv_2026]) + SUMIF(tblHuaweiUnits[Products],$A20, tblHuaweiUnits[cv_2026]) + SUMIF(tblTencentUnits[Products],$A20, tblTencentUnits[cv_2026]) + SUMIF(tblBaiduUnits[Products],$A20, tblBaiduUnits[cv_2026]) + SUMIF(tblByteDanceUnits[Products],$A20, tblByteDanceUnits[cv_2026]) + SUMIF(tblCloudAOUnits[Products],$A20, tblCloudAOUnits[cv_2026])</f>
        <v>0</v>
      </c>
      <c r="K20" s="8">
        <f xml:space="preserve"> SUMIF(tblGoogleUnits[Products],$A20, tblGoogleUnits[cv_2027]) + SUMIF(tblMetaUnits[Products],$A20, tblMetaUnits[cv_2027]) + SUMIF(tblAmazonUnits[Products],$A20, tblAmazonUnits[cv_2027]) + SUMIF(tblMicrosoftUnits[Products],$A20, tblMicrosoftUnits[cv_2027]) + SUMIF(tblAppleUnits[Products],$A20, tblAppleUnits[cv_2027]) + SUMIF(tblAlibabaUnits[Products],$A20, tblAlibabaUnits[cv_2027]) + SUMIF(tblHuaweiUnits[Products],$A20, tblHuaweiUnits[cv_2027]) + SUMIF(tblTencentUnits[Products],$A20, tblTencentUnits[cv_2027]) + SUMIF(tblBaiduUnits[Products],$A20, tblBaiduUnits[cv_2027]) + SUMIF(tblByteDanceUnits[Products],$A20, tblByteDanceUnits[cv_2027]) + SUMIF(tblCloudAOUnits[Products],$A20, tblCloudAOUnits[cv_2027])</f>
        <v>0</v>
      </c>
      <c r="L20" s="8">
        <f xml:space="preserve"> SUMIF(tblGoogleUnits[Products],$A20, tblGoogleUnits[cv_2028]) + SUMIF(tblMetaUnits[Products],$A20, tblMetaUnits[cv_2028]) + SUMIF(tblAmazonUnits[Products],$A20, tblAmazonUnits[cv_2028]) + SUMIF(tblMicrosoftUnits[Products],$A20, tblMicrosoftUnits[cv_2028]) + SUMIF(tblAppleUnits[Products],$A20, tblAppleUnits[cv_2028]) + SUMIF(tblAlibabaUnits[Products],$A20, tblAlibabaUnits[cv_2028]) + SUMIF(tblHuaweiUnits[Products],$A20, tblHuaweiUnits[cv_2028]) + SUMIF(tblTencentUnits[Products],$A20, tblTencentUnits[cv_2028]) + SUMIF(tblBaiduUnits[Products],$A20, tblBaiduUnits[cv_2028]) + SUMIF(tblByteDanceUnits[Products],$A20, tblByteDanceUnits[cv_2028]) + SUMIF(tblCloudAOUnits[Products],$A20, tblCloudAOUnits[cv_2028])</f>
        <v>0</v>
      </c>
      <c r="M20" s="122">
        <f>10^-6*B20*INDEX(TotalMarket!$M$26:$W$125,MATCH($A20,$A$11:$A$132,0),MATCH(M$10,$M$10:$W$10))</f>
        <v>13.226022359684526</v>
      </c>
      <c r="N20" s="122">
        <f>10^-6*C20*INDEX(TotalMarket!$M$26:$W$125,MATCH($A20,$A$11:$A$132,0),MATCH(N$10,$M$10:$W$10))</f>
        <v>6.578608948568669</v>
      </c>
      <c r="O20" s="122">
        <f>10^-6*D20*INDEX(TotalMarket!$M$26:$W$125,MATCH($A20,$A$11:$A$132,0),MATCH(O$10,$M$10:$W$10))</f>
        <v>0</v>
      </c>
      <c r="P20" s="122">
        <f>10^-6*E20*INDEX(TotalMarket!$M$26:$W$125,MATCH($A20,$A$11:$A$132,0),MATCH(P$10,$M$10:$W$10))</f>
        <v>0</v>
      </c>
      <c r="Q20" s="122">
        <f>10^-6*F20*INDEX(TotalMarket!$M$26:$W$125,MATCH($A20,$A$11:$A$132,0),MATCH(Q$10,$M$10:$W$10))</f>
        <v>0</v>
      </c>
      <c r="R20" s="122">
        <f>10^-6*G20*INDEX(TotalMarket!$M$26:$W$125,MATCH($A20,$A$11:$A$132,0),MATCH(R$10,$M$10:$W$10))</f>
        <v>0</v>
      </c>
      <c r="S20" s="122">
        <f>10^-6*H20*INDEX(TotalMarket!$M$26:$W$125,MATCH($A20,$A$11:$A$132,0),MATCH(S$10,$M$10:$W$10))</f>
        <v>0</v>
      </c>
      <c r="T20" s="122">
        <f>10^-6*I20*INDEX(TotalMarket!$M$26:$W$125,MATCH($A20,$A$11:$A$132,0),MATCH(T$10,$M$10:$W$10))</f>
        <v>0</v>
      </c>
      <c r="U20" s="122">
        <f>10^-6*J20*INDEX(TotalMarket!$M$26:$W$125,MATCH($A20,$A$11:$A$132,0),MATCH(U$10,$M$10:$W$10))</f>
        <v>0</v>
      </c>
      <c r="V20" s="122">
        <f>10^-6*K20*INDEX(TotalMarket!$M$26:$W$125,MATCH($A20,$A$11:$A$132,0),MATCH(V$10,$M$10:$W$10))</f>
        <v>0</v>
      </c>
      <c r="W20" s="122">
        <f>10^-6*L20*INDEX(TotalMarket!$M$26:$W$125,MATCH($A20,$A$11:$A$132,0),MATCH(W$10,$M$10:$W$10))</f>
        <v>0</v>
      </c>
      <c r="X20" s="1">
        <v>10</v>
      </c>
    </row>
    <row r="21" spans="1:24" s="1" customFormat="1">
      <c r="A21" s="15" t="s">
        <v>159</v>
      </c>
      <c r="B21" s="8">
        <f xml:space="preserve"> SUMIF(tblGoogleUnits[Products],$A21, tblGoogleUnits[cv_2018]) + SUMIF(tblMetaUnits[Products],$A21, tblMetaUnits[cv_2018]) + SUMIF(tblAmazonUnits[Products],$A21, tblAmazonUnits[cv_2018]) + SUMIF(tblMicrosoftUnits[Products],$A21, tblMicrosoftUnits[cv_2018]) + SUMIF(tblAppleUnits[Products],$A21, tblAppleUnits[cv_2018]) + SUMIF(tblAlibabaUnits[Products],$A21, tblAlibabaUnits[cv_2018]) + SUMIF(tblHuaweiUnits[Products],$A21, tblHuaweiUnits[cv_2018]) + SUMIF(tblTencentUnits[Products],$A21, tblTencentUnits[cv_2018]) + SUMIF(tblBaiduUnits[Products],$A21, tblBaiduUnits[cv_2018]) + SUMIF(tblByteDanceUnits[Products],$A21, tblByteDanceUnits[cv_2018]) + SUMIF(tblCloudAOUnits[Products],$A21, tblCloudAOUnits[cv_2018])</f>
        <v>31253.8</v>
      </c>
      <c r="C21" s="8">
        <f xml:space="preserve"> SUMIF(tblGoogleUnits[Products],$A21, tblGoogleUnits[cv_2019]) + SUMIF(tblMetaUnits[Products],$A21, tblMetaUnits[cv_2019]) + SUMIF(tblAmazonUnits[Products],$A21, tblAmazonUnits[cv_2019]) + SUMIF(tblMicrosoftUnits[Products],$A21, tblMicrosoftUnits[cv_2019]) + SUMIF(tblAppleUnits[Products],$A21, tblAppleUnits[cv_2019]) + SUMIF(tblAlibabaUnits[Products],$A21, tblAlibabaUnits[cv_2019]) + SUMIF(tblHuaweiUnits[Products],$A21, tblHuaweiUnits[cv_2019]) + SUMIF(tblTencentUnits[Products],$A21, tblTencentUnits[cv_2019]) + SUMIF(tblBaiduUnits[Products],$A21, tblBaiduUnits[cv_2019]) + SUMIF(tblByteDanceUnits[Products],$A21, tblByteDanceUnits[cv_2019]) + SUMIF(tblCloudAOUnits[Products],$A21, tblCloudAOUnits[cv_2019])</f>
        <v>13170</v>
      </c>
      <c r="D21" s="8">
        <f xml:space="preserve"> SUMIF(tblGoogleUnits[Products],$A21, tblGoogleUnits[cv_2020]) + SUMIF(tblMetaUnits[Products],$A21, tblMetaUnits[cv_2020]) + SUMIF(tblAmazonUnits[Products],$A21, tblAmazonUnits[cv_2020]) + SUMIF(tblMicrosoftUnits[Products],$A21, tblMicrosoftUnits[cv_2020]) + SUMIF(tblAppleUnits[Products],$A21, tblAppleUnits[cv_2020]) + SUMIF(tblAlibabaUnits[Products],$A21, tblAlibabaUnits[cv_2020]) + SUMIF(tblHuaweiUnits[Products],$A21, tblHuaweiUnits[cv_2020]) + SUMIF(tblTencentUnits[Products],$A21, tblTencentUnits[cv_2020]) + SUMIF(tblBaiduUnits[Products],$A21, tblBaiduUnits[cv_2020]) + SUMIF(tblByteDanceUnits[Products],$A21, tblByteDanceUnits[cv_2020]) + SUMIF(tblCloudAOUnits[Products],$A21, tblCloudAOUnits[cv_2020])</f>
        <v>0</v>
      </c>
      <c r="E21" s="8">
        <f xml:space="preserve"> SUMIF(tblGoogleUnits[Products],$A21, tblGoogleUnits[cv_2021]) + SUMIF(tblMetaUnits[Products],$A21, tblMetaUnits[cv_2021]) + SUMIF(tblAmazonUnits[Products],$A21, tblAmazonUnits[cv_2021]) + SUMIF(tblMicrosoftUnits[Products],$A21, tblMicrosoftUnits[cv_2021]) + SUMIF(tblAppleUnits[Products],$A21, tblAppleUnits[cv_2021]) + SUMIF(tblAlibabaUnits[Products],$A21, tblAlibabaUnits[cv_2021]) + SUMIF(tblHuaweiUnits[Products],$A21, tblHuaweiUnits[cv_2021]) + SUMIF(tblTencentUnits[Products],$A21, tblTencentUnits[cv_2021]) + SUMIF(tblBaiduUnits[Products],$A21, tblBaiduUnits[cv_2021]) + SUMIF(tblByteDanceUnits[Products],$A21, tblByteDanceUnits[cv_2021]) + SUMIF(tblCloudAOUnits[Products],$A21, tblCloudAOUnits[cv_2021])</f>
        <v>0</v>
      </c>
      <c r="F21" s="8">
        <f xml:space="preserve"> SUMIF(tblGoogleUnits[Products],$A21, tblGoogleUnits[cv_2022]) + SUMIF(tblMetaUnits[Products],$A21, tblMetaUnits[cv_2022]) + SUMIF(tblAmazonUnits[Products],$A21, tblAmazonUnits[cv_2022]) + SUMIF(tblMicrosoftUnits[Products],$A21, tblMicrosoftUnits[cv_2022]) + SUMIF(tblAppleUnits[Products],$A21, tblAppleUnits[cv_2022]) + SUMIF(tblAlibabaUnits[Products],$A21, tblAlibabaUnits[cv_2022]) + SUMIF(tblHuaweiUnits[Products],$A21, tblHuaweiUnits[cv_2022]) + SUMIF(tblTencentUnits[Products],$A21, tblTencentUnits[cv_2022]) + SUMIF(tblBaiduUnits[Products],$A21, tblBaiduUnits[cv_2022]) + SUMIF(tblByteDanceUnits[Products],$A21, tblByteDanceUnits[cv_2022]) + SUMIF(tblCloudAOUnits[Products],$A21, tblCloudAOUnits[cv_2022])</f>
        <v>0</v>
      </c>
      <c r="G21" s="8">
        <f xml:space="preserve"> SUMIF(tblGoogleUnits[Products],$A21, tblGoogleUnits[cv_2023]) + SUMIF(tblMetaUnits[Products],$A21, tblMetaUnits[cv_2023]) + SUMIF(tblAmazonUnits[Products],$A21, tblAmazonUnits[cv_2023]) + SUMIF(tblMicrosoftUnits[Products],$A21, tblMicrosoftUnits[cv_2023]) + SUMIF(tblAppleUnits[Products],$A21, tblAppleUnits[cv_2023]) + SUMIF(tblAlibabaUnits[Products],$A21, tblAlibabaUnits[cv_2023]) + SUMIF(tblHuaweiUnits[Products],$A21, tblHuaweiUnits[cv_2023]) + SUMIF(tblTencentUnits[Products],$A21, tblTencentUnits[cv_2023]) + SUMIF(tblBaiduUnits[Products],$A21, tblBaiduUnits[cv_2023]) + SUMIF(tblByteDanceUnits[Products],$A21, tblByteDanceUnits[cv_2023]) + SUMIF(tblCloudAOUnits[Products],$A21, tblCloudAOUnits[cv_2023])</f>
        <v>0</v>
      </c>
      <c r="H21" s="8">
        <f xml:space="preserve"> SUMIF(tblGoogleUnits[Products],$A21, tblGoogleUnits[cv_2024]) + SUMIF(tblMetaUnits[Products],$A21, tblMetaUnits[cv_2024]) + SUMIF(tblAmazonUnits[Products],$A21, tblAmazonUnits[cv_2024]) + SUMIF(tblMicrosoftUnits[Products],$A21, tblMicrosoftUnits[cv_2024]) + SUMIF(tblAppleUnits[Products],$A21, tblAppleUnits[cv_2024]) + SUMIF(tblAlibabaUnits[Products],$A21, tblAlibabaUnits[cv_2024]) + SUMIF(tblHuaweiUnits[Products],$A21, tblHuaweiUnits[cv_2024]) + SUMIF(tblTencentUnits[Products],$A21, tblTencentUnits[cv_2024]) + SUMIF(tblBaiduUnits[Products],$A21, tblBaiduUnits[cv_2024]) + SUMIF(tblByteDanceUnits[Products],$A21, tblByteDanceUnits[cv_2024]) + SUMIF(tblCloudAOUnits[Products],$A21, tblCloudAOUnits[cv_2024])</f>
        <v>0</v>
      </c>
      <c r="I21" s="8">
        <f xml:space="preserve"> SUMIF(tblGoogleUnits[Products],$A21, tblGoogleUnits[cv_2025]) + SUMIF(tblMetaUnits[Products],$A21, tblMetaUnits[cv_2025]) + SUMIF(tblAmazonUnits[Products],$A21, tblAmazonUnits[cv_2025]) + SUMIF(tblMicrosoftUnits[Products],$A21, tblMicrosoftUnits[cv_2025]) + SUMIF(tblAppleUnits[Products],$A21, tblAppleUnits[cv_2025]) + SUMIF(tblAlibabaUnits[Products],$A21, tblAlibabaUnits[cv_2025]) + SUMIF(tblHuaweiUnits[Products],$A21, tblHuaweiUnits[cv_2025]) + SUMIF(tblTencentUnits[Products],$A21, tblTencentUnits[cv_2025]) + SUMIF(tblBaiduUnits[Products],$A21, tblBaiduUnits[cv_2025]) + SUMIF(tblByteDanceUnits[Products],$A21, tblByteDanceUnits[cv_2025]) + SUMIF(tblCloudAOUnits[Products],$A21, tblCloudAOUnits[cv_2025])</f>
        <v>0</v>
      </c>
      <c r="J21" s="8">
        <f xml:space="preserve"> SUMIF(tblGoogleUnits[Products],$A21, tblGoogleUnits[cv_2026]) + SUMIF(tblMetaUnits[Products],$A21, tblMetaUnits[cv_2026]) + SUMIF(tblAmazonUnits[Products],$A21, tblAmazonUnits[cv_2026]) + SUMIF(tblMicrosoftUnits[Products],$A21, tblMicrosoftUnits[cv_2026]) + SUMIF(tblAppleUnits[Products],$A21, tblAppleUnits[cv_2026]) + SUMIF(tblAlibabaUnits[Products],$A21, tblAlibabaUnits[cv_2026]) + SUMIF(tblHuaweiUnits[Products],$A21, tblHuaweiUnits[cv_2026]) + SUMIF(tblTencentUnits[Products],$A21, tblTencentUnits[cv_2026]) + SUMIF(tblBaiduUnits[Products],$A21, tblBaiduUnits[cv_2026]) + SUMIF(tblByteDanceUnits[Products],$A21, tblByteDanceUnits[cv_2026]) + SUMIF(tblCloudAOUnits[Products],$A21, tblCloudAOUnits[cv_2026])</f>
        <v>0</v>
      </c>
      <c r="K21" s="8">
        <f xml:space="preserve"> SUMIF(tblGoogleUnits[Products],$A21, tblGoogleUnits[cv_2027]) + SUMIF(tblMetaUnits[Products],$A21, tblMetaUnits[cv_2027]) + SUMIF(tblAmazonUnits[Products],$A21, tblAmazonUnits[cv_2027]) + SUMIF(tblMicrosoftUnits[Products],$A21, tblMicrosoftUnits[cv_2027]) + SUMIF(tblAppleUnits[Products],$A21, tblAppleUnits[cv_2027]) + SUMIF(tblAlibabaUnits[Products],$A21, tblAlibabaUnits[cv_2027]) + SUMIF(tblHuaweiUnits[Products],$A21, tblHuaweiUnits[cv_2027]) + SUMIF(tblTencentUnits[Products],$A21, tblTencentUnits[cv_2027]) + SUMIF(tblBaiduUnits[Products],$A21, tblBaiduUnits[cv_2027]) + SUMIF(tblByteDanceUnits[Products],$A21, tblByteDanceUnits[cv_2027]) + SUMIF(tblCloudAOUnits[Products],$A21, tblCloudAOUnits[cv_2027])</f>
        <v>0</v>
      </c>
      <c r="L21" s="8">
        <f xml:space="preserve"> SUMIF(tblGoogleUnits[Products],$A21, tblGoogleUnits[cv_2028]) + SUMIF(tblMetaUnits[Products],$A21, tblMetaUnits[cv_2028]) + SUMIF(tblAmazonUnits[Products],$A21, tblAmazonUnits[cv_2028]) + SUMIF(tblMicrosoftUnits[Products],$A21, tblMicrosoftUnits[cv_2028]) + SUMIF(tblAppleUnits[Products],$A21, tblAppleUnits[cv_2028]) + SUMIF(tblAlibabaUnits[Products],$A21, tblAlibabaUnits[cv_2028]) + SUMIF(tblHuaweiUnits[Products],$A21, tblHuaweiUnits[cv_2028]) + SUMIF(tblTencentUnits[Products],$A21, tblTencentUnits[cv_2028]) + SUMIF(tblBaiduUnits[Products],$A21, tblBaiduUnits[cv_2028]) + SUMIF(tblByteDanceUnits[Products],$A21, tblByteDanceUnits[cv_2028]) + SUMIF(tblCloudAOUnits[Products],$A21, tblCloudAOUnits[cv_2028])</f>
        <v>0</v>
      </c>
      <c r="M21" s="122">
        <f>10^-6*B21*INDEX(TotalMarket!$M$26:$W$125,MATCH($A21,$A$11:$A$132,0),MATCH(M$10,$M$10:$W$10))</f>
        <v>3.7400454148394875</v>
      </c>
      <c r="N21" s="122">
        <f>10^-6*C21*INDEX(TotalMarket!$M$26:$W$125,MATCH($A21,$A$11:$A$132,0),MATCH(N$10,$M$10:$W$10))</f>
        <v>1.5738240597067654</v>
      </c>
      <c r="O21" s="122">
        <f>10^-6*D21*INDEX(TotalMarket!$M$26:$W$125,MATCH($A21,$A$11:$A$132,0),MATCH(O$10,$M$10:$W$10))</f>
        <v>0</v>
      </c>
      <c r="P21" s="122">
        <f>10^-6*E21*INDEX(TotalMarket!$M$26:$W$125,MATCH($A21,$A$11:$A$132,0),MATCH(P$10,$M$10:$W$10))</f>
        <v>0</v>
      </c>
      <c r="Q21" s="122">
        <f>10^-6*F21*INDEX(TotalMarket!$M$26:$W$125,MATCH($A21,$A$11:$A$132,0),MATCH(Q$10,$M$10:$W$10))</f>
        <v>0</v>
      </c>
      <c r="R21" s="122">
        <f>10^-6*G21*INDEX(TotalMarket!$M$26:$W$125,MATCH($A21,$A$11:$A$132,0),MATCH(R$10,$M$10:$W$10))</f>
        <v>0</v>
      </c>
      <c r="S21" s="122">
        <f>10^-6*H21*INDEX(TotalMarket!$M$26:$W$125,MATCH($A21,$A$11:$A$132,0),MATCH(S$10,$M$10:$W$10))</f>
        <v>0</v>
      </c>
      <c r="T21" s="122">
        <f>10^-6*I21*INDEX(TotalMarket!$M$26:$W$125,MATCH($A21,$A$11:$A$132,0),MATCH(T$10,$M$10:$W$10))</f>
        <v>0</v>
      </c>
      <c r="U21" s="122">
        <f>10^-6*J21*INDEX(TotalMarket!$M$26:$W$125,MATCH($A21,$A$11:$A$132,0),MATCH(U$10,$M$10:$W$10))</f>
        <v>0</v>
      </c>
      <c r="V21" s="122">
        <f>10^-6*K21*INDEX(TotalMarket!$M$26:$W$125,MATCH($A21,$A$11:$A$132,0),MATCH(V$10,$M$10:$W$10))</f>
        <v>0</v>
      </c>
      <c r="W21" s="122">
        <f>10^-6*L21*INDEX(TotalMarket!$M$26:$W$125,MATCH($A21,$A$11:$A$132,0),MATCH(W$10,$M$10:$W$10))</f>
        <v>0</v>
      </c>
      <c r="X21" s="1">
        <v>10</v>
      </c>
    </row>
    <row r="22" spans="1:24" s="1" customFormat="1">
      <c r="A22" s="15" t="s">
        <v>160</v>
      </c>
      <c r="B22" s="8">
        <f xml:space="preserve"> SUMIF(tblGoogleUnits[Products],$A22, tblGoogleUnits[cv_2018]) + SUMIF(tblMetaUnits[Products],$A22, tblMetaUnits[cv_2018]) + SUMIF(tblAmazonUnits[Products],$A22, tblAmazonUnits[cv_2018]) + SUMIF(tblMicrosoftUnits[Products],$A22, tblMicrosoftUnits[cv_2018]) + SUMIF(tblAppleUnits[Products],$A22, tblAppleUnits[cv_2018]) + SUMIF(tblAlibabaUnits[Products],$A22, tblAlibabaUnits[cv_2018]) + SUMIF(tblHuaweiUnits[Products],$A22, tblHuaweiUnits[cv_2018]) + SUMIF(tblTencentUnits[Products],$A22, tblTencentUnits[cv_2018]) + SUMIF(tblBaiduUnits[Products],$A22, tblBaiduUnits[cv_2018]) + SUMIF(tblByteDanceUnits[Products],$A22, tblByteDanceUnits[cv_2018]) + SUMIF(tblCloudAOUnits[Products],$A22, tblCloudAOUnits[cv_2018])</f>
        <v>0</v>
      </c>
      <c r="C22" s="8">
        <f xml:space="preserve"> SUMIF(tblGoogleUnits[Products],$A22, tblGoogleUnits[cv_2019]) + SUMIF(tblMetaUnits[Products],$A22, tblMetaUnits[cv_2019]) + SUMIF(tblAmazonUnits[Products],$A22, tblAmazonUnits[cv_2019]) + SUMIF(tblMicrosoftUnits[Products],$A22, tblMicrosoftUnits[cv_2019]) + SUMIF(tblAppleUnits[Products],$A22, tblAppleUnits[cv_2019]) + SUMIF(tblAlibabaUnits[Products],$A22, tblAlibabaUnits[cv_2019]) + SUMIF(tblHuaweiUnits[Products],$A22, tblHuaweiUnits[cv_2019]) + SUMIF(tblTencentUnits[Products],$A22, tblTencentUnits[cv_2019]) + SUMIF(tblBaiduUnits[Products],$A22, tblBaiduUnits[cv_2019]) + SUMIF(tblByteDanceUnits[Products],$A22, tblByteDanceUnits[cv_2019]) + SUMIF(tblCloudAOUnits[Products],$A22, tblCloudAOUnits[cv_2019])</f>
        <v>0</v>
      </c>
      <c r="D22" s="8">
        <f xml:space="preserve"> SUMIF(tblGoogleUnits[Products],$A22, tblGoogleUnits[cv_2020]) + SUMIF(tblMetaUnits[Products],$A22, tblMetaUnits[cv_2020]) + SUMIF(tblAmazonUnits[Products],$A22, tblAmazonUnits[cv_2020]) + SUMIF(tblMicrosoftUnits[Products],$A22, tblMicrosoftUnits[cv_2020]) + SUMIF(tblAppleUnits[Products],$A22, tblAppleUnits[cv_2020]) + SUMIF(tblAlibabaUnits[Products],$A22, tblAlibabaUnits[cv_2020]) + SUMIF(tblHuaweiUnits[Products],$A22, tblHuaweiUnits[cv_2020]) + SUMIF(tblTencentUnits[Products],$A22, tblTencentUnits[cv_2020]) + SUMIF(tblBaiduUnits[Products],$A22, tblBaiduUnits[cv_2020]) + SUMIF(tblByteDanceUnits[Products],$A22, tblByteDanceUnits[cv_2020]) + SUMIF(tblCloudAOUnits[Products],$A22, tblCloudAOUnits[cv_2020])</f>
        <v>0</v>
      </c>
      <c r="E22" s="8">
        <f xml:space="preserve"> SUMIF(tblGoogleUnits[Products],$A22, tblGoogleUnits[cv_2021]) + SUMIF(tblMetaUnits[Products],$A22, tblMetaUnits[cv_2021]) + SUMIF(tblAmazonUnits[Products],$A22, tblAmazonUnits[cv_2021]) + SUMIF(tblMicrosoftUnits[Products],$A22, tblMicrosoftUnits[cv_2021]) + SUMIF(tblAppleUnits[Products],$A22, tblAppleUnits[cv_2021]) + SUMIF(tblAlibabaUnits[Products],$A22, tblAlibabaUnits[cv_2021]) + SUMIF(tblHuaweiUnits[Products],$A22, tblHuaweiUnits[cv_2021]) + SUMIF(tblTencentUnits[Products],$A22, tblTencentUnits[cv_2021]) + SUMIF(tblBaiduUnits[Products],$A22, tblBaiduUnits[cv_2021]) + SUMIF(tblByteDanceUnits[Products],$A22, tblByteDanceUnits[cv_2021]) + SUMIF(tblCloudAOUnits[Products],$A22, tblCloudAOUnits[cv_2021])</f>
        <v>0</v>
      </c>
      <c r="F22" s="8">
        <f xml:space="preserve"> SUMIF(tblGoogleUnits[Products],$A22, tblGoogleUnits[cv_2022]) + SUMIF(tblMetaUnits[Products],$A22, tblMetaUnits[cv_2022]) + SUMIF(tblAmazonUnits[Products],$A22, tblAmazonUnits[cv_2022]) + SUMIF(tblMicrosoftUnits[Products],$A22, tblMicrosoftUnits[cv_2022]) + SUMIF(tblAppleUnits[Products],$A22, tblAppleUnits[cv_2022]) + SUMIF(tblAlibabaUnits[Products],$A22, tblAlibabaUnits[cv_2022]) + SUMIF(tblHuaweiUnits[Products],$A22, tblHuaweiUnits[cv_2022]) + SUMIF(tblTencentUnits[Products],$A22, tblTencentUnits[cv_2022]) + SUMIF(tblBaiduUnits[Products],$A22, tblBaiduUnits[cv_2022]) + SUMIF(tblByteDanceUnits[Products],$A22, tblByteDanceUnits[cv_2022]) + SUMIF(tblCloudAOUnits[Products],$A22, tblCloudAOUnits[cv_2022])</f>
        <v>0</v>
      </c>
      <c r="G22" s="8">
        <f xml:space="preserve"> SUMIF(tblGoogleUnits[Products],$A22, tblGoogleUnits[cv_2023]) + SUMIF(tblMetaUnits[Products],$A22, tblMetaUnits[cv_2023]) + SUMIF(tblAmazonUnits[Products],$A22, tblAmazonUnits[cv_2023]) + SUMIF(tblMicrosoftUnits[Products],$A22, tblMicrosoftUnits[cv_2023]) + SUMIF(tblAppleUnits[Products],$A22, tblAppleUnits[cv_2023]) + SUMIF(tblAlibabaUnits[Products],$A22, tblAlibabaUnits[cv_2023]) + SUMIF(tblHuaweiUnits[Products],$A22, tblHuaweiUnits[cv_2023]) + SUMIF(tblTencentUnits[Products],$A22, tblTencentUnits[cv_2023]) + SUMIF(tblBaiduUnits[Products],$A22, tblBaiduUnits[cv_2023]) + SUMIF(tblByteDanceUnits[Products],$A22, tblByteDanceUnits[cv_2023]) + SUMIF(tblCloudAOUnits[Products],$A22, tblCloudAOUnits[cv_2023])</f>
        <v>0</v>
      </c>
      <c r="H22" s="8">
        <f xml:space="preserve"> SUMIF(tblGoogleUnits[Products],$A22, tblGoogleUnits[cv_2024]) + SUMIF(tblMetaUnits[Products],$A22, tblMetaUnits[cv_2024]) + SUMIF(tblAmazonUnits[Products],$A22, tblAmazonUnits[cv_2024]) + SUMIF(tblMicrosoftUnits[Products],$A22, tblMicrosoftUnits[cv_2024]) + SUMIF(tblAppleUnits[Products],$A22, tblAppleUnits[cv_2024]) + SUMIF(tblAlibabaUnits[Products],$A22, tblAlibabaUnits[cv_2024]) + SUMIF(tblHuaweiUnits[Products],$A22, tblHuaweiUnits[cv_2024]) + SUMIF(tblTencentUnits[Products],$A22, tblTencentUnits[cv_2024]) + SUMIF(tblBaiduUnits[Products],$A22, tblBaiduUnits[cv_2024]) + SUMIF(tblByteDanceUnits[Products],$A22, tblByteDanceUnits[cv_2024]) + SUMIF(tblCloudAOUnits[Products],$A22, tblCloudAOUnits[cv_2024])</f>
        <v>0</v>
      </c>
      <c r="I22" s="8">
        <f xml:space="preserve"> SUMIF(tblGoogleUnits[Products],$A22, tblGoogleUnits[cv_2025]) + SUMIF(tblMetaUnits[Products],$A22, tblMetaUnits[cv_2025]) + SUMIF(tblAmazonUnits[Products],$A22, tblAmazonUnits[cv_2025]) + SUMIF(tblMicrosoftUnits[Products],$A22, tblMicrosoftUnits[cv_2025]) + SUMIF(tblAppleUnits[Products],$A22, tblAppleUnits[cv_2025]) + SUMIF(tblAlibabaUnits[Products],$A22, tblAlibabaUnits[cv_2025]) + SUMIF(tblHuaweiUnits[Products],$A22, tblHuaweiUnits[cv_2025]) + SUMIF(tblTencentUnits[Products],$A22, tblTencentUnits[cv_2025]) + SUMIF(tblBaiduUnits[Products],$A22, tblBaiduUnits[cv_2025]) + SUMIF(tblByteDanceUnits[Products],$A22, tblByteDanceUnits[cv_2025]) + SUMIF(tblCloudAOUnits[Products],$A22, tblCloudAOUnits[cv_2025])</f>
        <v>0</v>
      </c>
      <c r="J22" s="8">
        <f xml:space="preserve"> SUMIF(tblGoogleUnits[Products],$A22, tblGoogleUnits[cv_2026]) + SUMIF(tblMetaUnits[Products],$A22, tblMetaUnits[cv_2026]) + SUMIF(tblAmazonUnits[Products],$A22, tblAmazonUnits[cv_2026]) + SUMIF(tblMicrosoftUnits[Products],$A22, tblMicrosoftUnits[cv_2026]) + SUMIF(tblAppleUnits[Products],$A22, tblAppleUnits[cv_2026]) + SUMIF(tblAlibabaUnits[Products],$A22, tblAlibabaUnits[cv_2026]) + SUMIF(tblHuaweiUnits[Products],$A22, tblHuaweiUnits[cv_2026]) + SUMIF(tblTencentUnits[Products],$A22, tblTencentUnits[cv_2026]) + SUMIF(tblBaiduUnits[Products],$A22, tblBaiduUnits[cv_2026]) + SUMIF(tblByteDanceUnits[Products],$A22, tblByteDanceUnits[cv_2026]) + SUMIF(tblCloudAOUnits[Products],$A22, tblCloudAOUnits[cv_2026])</f>
        <v>0</v>
      </c>
      <c r="K22" s="8">
        <f xml:space="preserve"> SUMIF(tblGoogleUnits[Products],$A22, tblGoogleUnits[cv_2027]) + SUMIF(tblMetaUnits[Products],$A22, tblMetaUnits[cv_2027]) + SUMIF(tblAmazonUnits[Products],$A22, tblAmazonUnits[cv_2027]) + SUMIF(tblMicrosoftUnits[Products],$A22, tblMicrosoftUnits[cv_2027]) + SUMIF(tblAppleUnits[Products],$A22, tblAppleUnits[cv_2027]) + SUMIF(tblAlibabaUnits[Products],$A22, tblAlibabaUnits[cv_2027]) + SUMIF(tblHuaweiUnits[Products],$A22, tblHuaweiUnits[cv_2027]) + SUMIF(tblTencentUnits[Products],$A22, tblTencentUnits[cv_2027]) + SUMIF(tblBaiduUnits[Products],$A22, tblBaiduUnits[cv_2027]) + SUMIF(tblByteDanceUnits[Products],$A22, tblByteDanceUnits[cv_2027]) + SUMIF(tblCloudAOUnits[Products],$A22, tblCloudAOUnits[cv_2027])</f>
        <v>0</v>
      </c>
      <c r="L22" s="8">
        <f xml:space="preserve"> SUMIF(tblGoogleUnits[Products],$A22, tblGoogleUnits[cv_2028]) + SUMIF(tblMetaUnits[Products],$A22, tblMetaUnits[cv_2028]) + SUMIF(tblAmazonUnits[Products],$A22, tblAmazonUnits[cv_2028]) + SUMIF(tblMicrosoftUnits[Products],$A22, tblMicrosoftUnits[cv_2028]) + SUMIF(tblAppleUnits[Products],$A22, tblAppleUnits[cv_2028]) + SUMIF(tblAlibabaUnits[Products],$A22, tblAlibabaUnits[cv_2028]) + SUMIF(tblHuaweiUnits[Products],$A22, tblHuaweiUnits[cv_2028]) + SUMIF(tblTencentUnits[Products],$A22, tblTencentUnits[cv_2028]) + SUMIF(tblBaiduUnits[Products],$A22, tblBaiduUnits[cv_2028]) + SUMIF(tblByteDanceUnits[Products],$A22, tblByteDanceUnits[cv_2028]) + SUMIF(tblCloudAOUnits[Products],$A22, tblCloudAOUnits[cv_2028])</f>
        <v>0</v>
      </c>
      <c r="M22" s="122">
        <f>10^-6*B22*INDEX(TotalMarket!$M$26:$W$125,MATCH($A22,$A$11:$A$132,0),MATCH(M$10,$M$10:$W$10))</f>
        <v>0</v>
      </c>
      <c r="N22" s="122">
        <f>10^-6*C22*INDEX(TotalMarket!$M$26:$W$125,MATCH($A22,$A$11:$A$132,0),MATCH(N$10,$M$10:$W$10))</f>
        <v>0</v>
      </c>
      <c r="O22" s="122">
        <f>10^-6*D22*INDEX(TotalMarket!$M$26:$W$125,MATCH($A22,$A$11:$A$132,0),MATCH(O$10,$M$10:$W$10))</f>
        <v>0</v>
      </c>
      <c r="P22" s="122">
        <f>10^-6*E22*INDEX(TotalMarket!$M$26:$W$125,MATCH($A22,$A$11:$A$132,0),MATCH(P$10,$M$10:$W$10))</f>
        <v>0</v>
      </c>
      <c r="Q22" s="122">
        <f>10^-6*F22*INDEX(TotalMarket!$M$26:$W$125,MATCH($A22,$A$11:$A$132,0),MATCH(Q$10,$M$10:$W$10))</f>
        <v>0</v>
      </c>
      <c r="R22" s="122">
        <f>10^-6*G22*INDEX(TotalMarket!$M$26:$W$125,MATCH($A22,$A$11:$A$132,0),MATCH(R$10,$M$10:$W$10))</f>
        <v>0</v>
      </c>
      <c r="S22" s="122">
        <f>10^-6*H22*INDEX(TotalMarket!$M$26:$W$125,MATCH($A22,$A$11:$A$132,0),MATCH(S$10,$M$10:$W$10))</f>
        <v>0</v>
      </c>
      <c r="T22" s="122">
        <f>10^-6*I22*INDEX(TotalMarket!$M$26:$W$125,MATCH($A22,$A$11:$A$132,0),MATCH(T$10,$M$10:$W$10))</f>
        <v>0</v>
      </c>
      <c r="U22" s="122">
        <f>10^-6*J22*INDEX(TotalMarket!$M$26:$W$125,MATCH($A22,$A$11:$A$132,0),MATCH(U$10,$M$10:$W$10))</f>
        <v>0</v>
      </c>
      <c r="V22" s="122">
        <f>10^-6*K22*INDEX(TotalMarket!$M$26:$W$125,MATCH($A22,$A$11:$A$132,0),MATCH(V$10,$M$10:$W$10))</f>
        <v>0</v>
      </c>
      <c r="W22" s="122">
        <f>10^-6*L22*INDEX(TotalMarket!$M$26:$W$125,MATCH($A22,$A$11:$A$132,0),MATCH(W$10,$M$10:$W$10))</f>
        <v>0</v>
      </c>
      <c r="X22" s="1">
        <v>10</v>
      </c>
    </row>
    <row r="23" spans="1:24" s="1" customFormat="1">
      <c r="A23" s="15" t="s">
        <v>161</v>
      </c>
      <c r="B23" s="8">
        <f xml:space="preserve"> SUMIF(tblGoogleUnits[Products],$A23, tblGoogleUnits[cv_2018]) + SUMIF(tblMetaUnits[Products],$A23, tblMetaUnits[cv_2018]) + SUMIF(tblAmazonUnits[Products],$A23, tblAmazonUnits[cv_2018]) + SUMIF(tblMicrosoftUnits[Products],$A23, tblMicrosoftUnits[cv_2018]) + SUMIF(tblAppleUnits[Products],$A23, tblAppleUnits[cv_2018]) + SUMIF(tblAlibabaUnits[Products],$A23, tblAlibabaUnits[cv_2018]) + SUMIF(tblHuaweiUnits[Products],$A23, tblHuaweiUnits[cv_2018]) + SUMIF(tblTencentUnits[Products],$A23, tblTencentUnits[cv_2018]) + SUMIF(tblBaiduUnits[Products],$A23, tblBaiduUnits[cv_2018]) + SUMIF(tblByteDanceUnits[Products],$A23, tblByteDanceUnits[cv_2018]) + SUMIF(tblCloudAOUnits[Products],$A23, tblCloudAOUnits[cv_2018])</f>
        <v>0</v>
      </c>
      <c r="C23" s="8">
        <f xml:space="preserve"> SUMIF(tblGoogleUnits[Products],$A23, tblGoogleUnits[cv_2019]) + SUMIF(tblMetaUnits[Products],$A23, tblMetaUnits[cv_2019]) + SUMIF(tblAmazonUnits[Products],$A23, tblAmazonUnits[cv_2019]) + SUMIF(tblMicrosoftUnits[Products],$A23, tblMicrosoftUnits[cv_2019]) + SUMIF(tblAppleUnits[Products],$A23, tblAppleUnits[cv_2019]) + SUMIF(tblAlibabaUnits[Products],$A23, tblAlibabaUnits[cv_2019]) + SUMIF(tblHuaweiUnits[Products],$A23, tblHuaweiUnits[cv_2019]) + SUMIF(tblTencentUnits[Products],$A23, tblTencentUnits[cv_2019]) + SUMIF(tblBaiduUnits[Products],$A23, tblBaiduUnits[cv_2019]) + SUMIF(tblByteDanceUnits[Products],$A23, tblByteDanceUnits[cv_2019]) + SUMIF(tblCloudAOUnits[Products],$A23, tblCloudAOUnits[cv_2019])</f>
        <v>0</v>
      </c>
      <c r="D23" s="8">
        <f xml:space="preserve"> SUMIF(tblGoogleUnits[Products],$A23, tblGoogleUnits[cv_2020]) + SUMIF(tblMetaUnits[Products],$A23, tblMetaUnits[cv_2020]) + SUMIF(tblAmazonUnits[Products],$A23, tblAmazonUnits[cv_2020]) + SUMIF(tblMicrosoftUnits[Products],$A23, tblMicrosoftUnits[cv_2020]) + SUMIF(tblAppleUnits[Products],$A23, tblAppleUnits[cv_2020]) + SUMIF(tblAlibabaUnits[Products],$A23, tblAlibabaUnits[cv_2020]) + SUMIF(tblHuaweiUnits[Products],$A23, tblHuaweiUnits[cv_2020]) + SUMIF(tblTencentUnits[Products],$A23, tblTencentUnits[cv_2020]) + SUMIF(tblBaiduUnits[Products],$A23, tblBaiduUnits[cv_2020]) + SUMIF(tblByteDanceUnits[Products],$A23, tblByteDanceUnits[cv_2020]) + SUMIF(tblCloudAOUnits[Products],$A23, tblCloudAOUnits[cv_2020])</f>
        <v>0</v>
      </c>
      <c r="E23" s="8">
        <f xml:space="preserve"> SUMIF(tblGoogleUnits[Products],$A23, tblGoogleUnits[cv_2021]) + SUMIF(tblMetaUnits[Products],$A23, tblMetaUnits[cv_2021]) + SUMIF(tblAmazonUnits[Products],$A23, tblAmazonUnits[cv_2021]) + SUMIF(tblMicrosoftUnits[Products],$A23, tblMicrosoftUnits[cv_2021]) + SUMIF(tblAppleUnits[Products],$A23, tblAppleUnits[cv_2021]) + SUMIF(tblAlibabaUnits[Products],$A23, tblAlibabaUnits[cv_2021]) + SUMIF(tblHuaweiUnits[Products],$A23, tblHuaweiUnits[cv_2021]) + SUMIF(tblTencentUnits[Products],$A23, tblTencentUnits[cv_2021]) + SUMIF(tblBaiduUnits[Products],$A23, tblBaiduUnits[cv_2021]) + SUMIF(tblByteDanceUnits[Products],$A23, tblByteDanceUnits[cv_2021]) + SUMIF(tblCloudAOUnits[Products],$A23, tblCloudAOUnits[cv_2021])</f>
        <v>0</v>
      </c>
      <c r="F23" s="8">
        <f xml:space="preserve"> SUMIF(tblGoogleUnits[Products],$A23, tblGoogleUnits[cv_2022]) + SUMIF(tblMetaUnits[Products],$A23, tblMetaUnits[cv_2022]) + SUMIF(tblAmazonUnits[Products],$A23, tblAmazonUnits[cv_2022]) + SUMIF(tblMicrosoftUnits[Products],$A23, tblMicrosoftUnits[cv_2022]) + SUMIF(tblAppleUnits[Products],$A23, tblAppleUnits[cv_2022]) + SUMIF(tblAlibabaUnits[Products],$A23, tblAlibabaUnits[cv_2022]) + SUMIF(tblHuaweiUnits[Products],$A23, tblHuaweiUnits[cv_2022]) + SUMIF(tblTencentUnits[Products],$A23, tblTencentUnits[cv_2022]) + SUMIF(tblBaiduUnits[Products],$A23, tblBaiduUnits[cv_2022]) + SUMIF(tblByteDanceUnits[Products],$A23, tblByteDanceUnits[cv_2022]) + SUMIF(tblCloudAOUnits[Products],$A23, tblCloudAOUnits[cv_2022])</f>
        <v>0</v>
      </c>
      <c r="G23" s="8">
        <f xml:space="preserve"> SUMIF(tblGoogleUnits[Products],$A23, tblGoogleUnits[cv_2023]) + SUMIF(tblMetaUnits[Products],$A23, tblMetaUnits[cv_2023]) + SUMIF(tblAmazonUnits[Products],$A23, tblAmazonUnits[cv_2023]) + SUMIF(tblMicrosoftUnits[Products],$A23, tblMicrosoftUnits[cv_2023]) + SUMIF(tblAppleUnits[Products],$A23, tblAppleUnits[cv_2023]) + SUMIF(tblAlibabaUnits[Products],$A23, tblAlibabaUnits[cv_2023]) + SUMIF(tblHuaweiUnits[Products],$A23, tblHuaweiUnits[cv_2023]) + SUMIF(tblTencentUnits[Products],$A23, tblTencentUnits[cv_2023]) + SUMIF(tblBaiduUnits[Products],$A23, tblBaiduUnits[cv_2023]) + SUMIF(tblByteDanceUnits[Products],$A23, tblByteDanceUnits[cv_2023]) + SUMIF(tblCloudAOUnits[Products],$A23, tblCloudAOUnits[cv_2023])</f>
        <v>0</v>
      </c>
      <c r="H23" s="8">
        <f xml:space="preserve"> SUMIF(tblGoogleUnits[Products],$A23, tblGoogleUnits[cv_2024]) + SUMIF(tblMetaUnits[Products],$A23, tblMetaUnits[cv_2024]) + SUMIF(tblAmazonUnits[Products],$A23, tblAmazonUnits[cv_2024]) + SUMIF(tblMicrosoftUnits[Products],$A23, tblMicrosoftUnits[cv_2024]) + SUMIF(tblAppleUnits[Products],$A23, tblAppleUnits[cv_2024]) + SUMIF(tblAlibabaUnits[Products],$A23, tblAlibabaUnits[cv_2024]) + SUMIF(tblHuaweiUnits[Products],$A23, tblHuaweiUnits[cv_2024]) + SUMIF(tblTencentUnits[Products],$A23, tblTencentUnits[cv_2024]) + SUMIF(tblBaiduUnits[Products],$A23, tblBaiduUnits[cv_2024]) + SUMIF(tblByteDanceUnits[Products],$A23, tblByteDanceUnits[cv_2024]) + SUMIF(tblCloudAOUnits[Products],$A23, tblCloudAOUnits[cv_2024])</f>
        <v>0</v>
      </c>
      <c r="I23" s="8">
        <f xml:space="preserve"> SUMIF(tblGoogleUnits[Products],$A23, tblGoogleUnits[cv_2025]) + SUMIF(tblMetaUnits[Products],$A23, tblMetaUnits[cv_2025]) + SUMIF(tblAmazonUnits[Products],$A23, tblAmazonUnits[cv_2025]) + SUMIF(tblMicrosoftUnits[Products],$A23, tblMicrosoftUnits[cv_2025]) + SUMIF(tblAppleUnits[Products],$A23, tblAppleUnits[cv_2025]) + SUMIF(tblAlibabaUnits[Products],$A23, tblAlibabaUnits[cv_2025]) + SUMIF(tblHuaweiUnits[Products],$A23, tblHuaweiUnits[cv_2025]) + SUMIF(tblTencentUnits[Products],$A23, tblTencentUnits[cv_2025]) + SUMIF(tblBaiduUnits[Products],$A23, tblBaiduUnits[cv_2025]) + SUMIF(tblByteDanceUnits[Products],$A23, tblByteDanceUnits[cv_2025]) + SUMIF(tblCloudAOUnits[Products],$A23, tblCloudAOUnits[cv_2025])</f>
        <v>0</v>
      </c>
      <c r="J23" s="8">
        <f xml:space="preserve"> SUMIF(tblGoogleUnits[Products],$A23, tblGoogleUnits[cv_2026]) + SUMIF(tblMetaUnits[Products],$A23, tblMetaUnits[cv_2026]) + SUMIF(tblAmazonUnits[Products],$A23, tblAmazonUnits[cv_2026]) + SUMIF(tblMicrosoftUnits[Products],$A23, tblMicrosoftUnits[cv_2026]) + SUMIF(tblAppleUnits[Products],$A23, tblAppleUnits[cv_2026]) + SUMIF(tblAlibabaUnits[Products],$A23, tblAlibabaUnits[cv_2026]) + SUMIF(tblHuaweiUnits[Products],$A23, tblHuaweiUnits[cv_2026]) + SUMIF(tblTencentUnits[Products],$A23, tblTencentUnits[cv_2026]) + SUMIF(tblBaiduUnits[Products],$A23, tblBaiduUnits[cv_2026]) + SUMIF(tblByteDanceUnits[Products],$A23, tblByteDanceUnits[cv_2026]) + SUMIF(tblCloudAOUnits[Products],$A23, tblCloudAOUnits[cv_2026])</f>
        <v>0</v>
      </c>
      <c r="K23" s="8">
        <f xml:space="preserve"> SUMIF(tblGoogleUnits[Products],$A23, tblGoogleUnits[cv_2027]) + SUMIF(tblMetaUnits[Products],$A23, tblMetaUnits[cv_2027]) + SUMIF(tblAmazonUnits[Products],$A23, tblAmazonUnits[cv_2027]) + SUMIF(tblMicrosoftUnits[Products],$A23, tblMicrosoftUnits[cv_2027]) + SUMIF(tblAppleUnits[Products],$A23, tblAppleUnits[cv_2027]) + SUMIF(tblAlibabaUnits[Products],$A23, tblAlibabaUnits[cv_2027]) + SUMIF(tblHuaweiUnits[Products],$A23, tblHuaweiUnits[cv_2027]) + SUMIF(tblTencentUnits[Products],$A23, tblTencentUnits[cv_2027]) + SUMIF(tblBaiduUnits[Products],$A23, tblBaiduUnits[cv_2027]) + SUMIF(tblByteDanceUnits[Products],$A23, tblByteDanceUnits[cv_2027]) + SUMIF(tblCloudAOUnits[Products],$A23, tblCloudAOUnits[cv_2027])</f>
        <v>0</v>
      </c>
      <c r="L23" s="8">
        <f xml:space="preserve"> SUMIF(tblGoogleUnits[Products],$A23, tblGoogleUnits[cv_2028]) + SUMIF(tblMetaUnits[Products],$A23, tblMetaUnits[cv_2028]) + SUMIF(tblAmazonUnits[Products],$A23, tblAmazonUnits[cv_2028]) + SUMIF(tblMicrosoftUnits[Products],$A23, tblMicrosoftUnits[cv_2028]) + SUMIF(tblAppleUnits[Products],$A23, tblAppleUnits[cv_2028]) + SUMIF(tblAlibabaUnits[Products],$A23, tblAlibabaUnits[cv_2028]) + SUMIF(tblHuaweiUnits[Products],$A23, tblHuaweiUnits[cv_2028]) + SUMIF(tblTencentUnits[Products],$A23, tblTencentUnits[cv_2028]) + SUMIF(tblBaiduUnits[Products],$A23, tblBaiduUnits[cv_2028]) + SUMIF(tblByteDanceUnits[Products],$A23, tblByteDanceUnits[cv_2028]) + SUMIF(tblCloudAOUnits[Products],$A23, tblCloudAOUnits[cv_2028])</f>
        <v>0</v>
      </c>
      <c r="M23" s="122">
        <f>10^-6*B23*INDEX(TotalMarket!$M$26:$W$125,MATCH($A23,$A$11:$A$132,0),MATCH(M$10,$M$10:$W$10))</f>
        <v>0</v>
      </c>
      <c r="N23" s="122">
        <f>10^-6*C23*INDEX(TotalMarket!$M$26:$W$125,MATCH($A23,$A$11:$A$132,0),MATCH(N$10,$M$10:$W$10))</f>
        <v>0</v>
      </c>
      <c r="O23" s="122">
        <f>10^-6*D23*INDEX(TotalMarket!$M$26:$W$125,MATCH($A23,$A$11:$A$132,0),MATCH(O$10,$M$10:$W$10))</f>
        <v>0</v>
      </c>
      <c r="P23" s="122">
        <f>10^-6*E23*INDEX(TotalMarket!$M$26:$W$125,MATCH($A23,$A$11:$A$132,0),MATCH(P$10,$M$10:$W$10))</f>
        <v>0</v>
      </c>
      <c r="Q23" s="122">
        <f>10^-6*F23*INDEX(TotalMarket!$M$26:$W$125,MATCH($A23,$A$11:$A$132,0),MATCH(Q$10,$M$10:$W$10))</f>
        <v>0</v>
      </c>
      <c r="R23" s="122">
        <f>10^-6*G23*INDEX(TotalMarket!$M$26:$W$125,MATCH($A23,$A$11:$A$132,0),MATCH(R$10,$M$10:$W$10))</f>
        <v>0</v>
      </c>
      <c r="S23" s="122">
        <f>10^-6*H23*INDEX(TotalMarket!$M$26:$W$125,MATCH($A23,$A$11:$A$132,0),MATCH(S$10,$M$10:$W$10))</f>
        <v>0</v>
      </c>
      <c r="T23" s="122">
        <f>10^-6*I23*INDEX(TotalMarket!$M$26:$W$125,MATCH($A23,$A$11:$A$132,0),MATCH(T$10,$M$10:$W$10))</f>
        <v>0</v>
      </c>
      <c r="U23" s="122">
        <f>10^-6*J23*INDEX(TotalMarket!$M$26:$W$125,MATCH($A23,$A$11:$A$132,0),MATCH(U$10,$M$10:$W$10))</f>
        <v>0</v>
      </c>
      <c r="V23" s="122">
        <f>10^-6*K23*INDEX(TotalMarket!$M$26:$W$125,MATCH($A23,$A$11:$A$132,0),MATCH(V$10,$M$10:$W$10))</f>
        <v>0</v>
      </c>
      <c r="W23" s="122">
        <f>10^-6*L23*INDEX(TotalMarket!$M$26:$W$125,MATCH($A23,$A$11:$A$132,0),MATCH(W$10,$M$10:$W$10))</f>
        <v>0</v>
      </c>
      <c r="X23" s="1">
        <v>10</v>
      </c>
    </row>
    <row r="24" spans="1:24" s="1" customFormat="1">
      <c r="A24" s="15" t="s">
        <v>162</v>
      </c>
      <c r="B24" s="8">
        <f xml:space="preserve"> SUMIF(tblGoogleUnits[Products],$A24, tblGoogleUnits[cv_2018]) + SUMIF(tblMetaUnits[Products],$A24, tblMetaUnits[cv_2018]) + SUMIF(tblAmazonUnits[Products],$A24, tblAmazonUnits[cv_2018]) + SUMIF(tblMicrosoftUnits[Products],$A24, tblMicrosoftUnits[cv_2018]) + SUMIF(tblAppleUnits[Products],$A24, tblAppleUnits[cv_2018]) + SUMIF(tblAlibabaUnits[Products],$A24, tblAlibabaUnits[cv_2018]) + SUMIF(tblHuaweiUnits[Products],$A24, tblHuaweiUnits[cv_2018]) + SUMIF(tblTencentUnits[Products],$A24, tblTencentUnits[cv_2018]) + SUMIF(tblBaiduUnits[Products],$A24, tblBaiduUnits[cv_2018]) + SUMIF(tblByteDanceUnits[Products],$A24, tblByteDanceUnits[cv_2018]) + SUMIF(tblCloudAOUnits[Products],$A24, tblCloudAOUnits[cv_2018])</f>
        <v>0</v>
      </c>
      <c r="C24" s="8">
        <f xml:space="preserve"> SUMIF(tblGoogleUnits[Products],$A24, tblGoogleUnits[cv_2019]) + SUMIF(tblMetaUnits[Products],$A24, tblMetaUnits[cv_2019]) + SUMIF(tblAmazonUnits[Products],$A24, tblAmazonUnits[cv_2019]) + SUMIF(tblMicrosoftUnits[Products],$A24, tblMicrosoftUnits[cv_2019]) + SUMIF(tblAppleUnits[Products],$A24, tblAppleUnits[cv_2019]) + SUMIF(tblAlibabaUnits[Products],$A24, tblAlibabaUnits[cv_2019]) + SUMIF(tblHuaweiUnits[Products],$A24, tblHuaweiUnits[cv_2019]) + SUMIF(tblTencentUnits[Products],$A24, tblTencentUnits[cv_2019]) + SUMIF(tblBaiduUnits[Products],$A24, tblBaiduUnits[cv_2019]) + SUMIF(tblByteDanceUnits[Products],$A24, tblByteDanceUnits[cv_2019]) + SUMIF(tblCloudAOUnits[Products],$A24, tblCloudAOUnits[cv_2019])</f>
        <v>0</v>
      </c>
      <c r="D24" s="8">
        <f xml:space="preserve"> SUMIF(tblGoogleUnits[Products],$A24, tblGoogleUnits[cv_2020]) + SUMIF(tblMetaUnits[Products],$A24, tblMetaUnits[cv_2020]) + SUMIF(tblAmazonUnits[Products],$A24, tblAmazonUnits[cv_2020]) + SUMIF(tblMicrosoftUnits[Products],$A24, tblMicrosoftUnits[cv_2020]) + SUMIF(tblAppleUnits[Products],$A24, tblAppleUnits[cv_2020]) + SUMIF(tblAlibabaUnits[Products],$A24, tblAlibabaUnits[cv_2020]) + SUMIF(tblHuaweiUnits[Products],$A24, tblHuaweiUnits[cv_2020]) + SUMIF(tblTencentUnits[Products],$A24, tblTencentUnits[cv_2020]) + SUMIF(tblBaiduUnits[Products],$A24, tblBaiduUnits[cv_2020]) + SUMIF(tblByteDanceUnits[Products],$A24, tblByteDanceUnits[cv_2020]) + SUMIF(tblCloudAOUnits[Products],$A24, tblCloudAOUnits[cv_2020])</f>
        <v>0</v>
      </c>
      <c r="E24" s="8">
        <f xml:space="preserve"> SUMIF(tblGoogleUnits[Products],$A24, tblGoogleUnits[cv_2021]) + SUMIF(tblMetaUnits[Products],$A24, tblMetaUnits[cv_2021]) + SUMIF(tblAmazonUnits[Products],$A24, tblAmazonUnits[cv_2021]) + SUMIF(tblMicrosoftUnits[Products],$A24, tblMicrosoftUnits[cv_2021]) + SUMIF(tblAppleUnits[Products],$A24, tblAppleUnits[cv_2021]) + SUMIF(tblAlibabaUnits[Products],$A24, tblAlibabaUnits[cv_2021]) + SUMIF(tblHuaweiUnits[Products],$A24, tblHuaweiUnits[cv_2021]) + SUMIF(tblTencentUnits[Products],$A24, tblTencentUnits[cv_2021]) + SUMIF(tblBaiduUnits[Products],$A24, tblBaiduUnits[cv_2021]) + SUMIF(tblByteDanceUnits[Products],$A24, tblByteDanceUnits[cv_2021]) + SUMIF(tblCloudAOUnits[Products],$A24, tblCloudAOUnits[cv_2021])</f>
        <v>0</v>
      </c>
      <c r="F24" s="8">
        <f xml:space="preserve"> SUMIF(tblGoogleUnits[Products],$A24, tblGoogleUnits[cv_2022]) + SUMIF(tblMetaUnits[Products],$A24, tblMetaUnits[cv_2022]) + SUMIF(tblAmazonUnits[Products],$A24, tblAmazonUnits[cv_2022]) + SUMIF(tblMicrosoftUnits[Products],$A24, tblMicrosoftUnits[cv_2022]) + SUMIF(tblAppleUnits[Products],$A24, tblAppleUnits[cv_2022]) + SUMIF(tblAlibabaUnits[Products],$A24, tblAlibabaUnits[cv_2022]) + SUMIF(tblHuaweiUnits[Products],$A24, tblHuaweiUnits[cv_2022]) + SUMIF(tblTencentUnits[Products],$A24, tblTencentUnits[cv_2022]) + SUMIF(tblBaiduUnits[Products],$A24, tblBaiduUnits[cv_2022]) + SUMIF(tblByteDanceUnits[Products],$A24, tblByteDanceUnits[cv_2022]) + SUMIF(tblCloudAOUnits[Products],$A24, tblCloudAOUnits[cv_2022])</f>
        <v>0</v>
      </c>
      <c r="G24" s="8">
        <f xml:space="preserve"> SUMIF(tblGoogleUnits[Products],$A24, tblGoogleUnits[cv_2023]) + SUMIF(tblMetaUnits[Products],$A24, tblMetaUnits[cv_2023]) + SUMIF(tblAmazonUnits[Products],$A24, tblAmazonUnits[cv_2023]) + SUMIF(tblMicrosoftUnits[Products],$A24, tblMicrosoftUnits[cv_2023]) + SUMIF(tblAppleUnits[Products],$A24, tblAppleUnits[cv_2023]) + SUMIF(tblAlibabaUnits[Products],$A24, tblAlibabaUnits[cv_2023]) + SUMIF(tblHuaweiUnits[Products],$A24, tblHuaweiUnits[cv_2023]) + SUMIF(tblTencentUnits[Products],$A24, tblTencentUnits[cv_2023]) + SUMIF(tblBaiduUnits[Products],$A24, tblBaiduUnits[cv_2023]) + SUMIF(tblByteDanceUnits[Products],$A24, tblByteDanceUnits[cv_2023]) + SUMIF(tblCloudAOUnits[Products],$A24, tblCloudAOUnits[cv_2023])</f>
        <v>0</v>
      </c>
      <c r="H24" s="8">
        <f xml:space="preserve"> SUMIF(tblGoogleUnits[Products],$A24, tblGoogleUnits[cv_2024]) + SUMIF(tblMetaUnits[Products],$A24, tblMetaUnits[cv_2024]) + SUMIF(tblAmazonUnits[Products],$A24, tblAmazonUnits[cv_2024]) + SUMIF(tblMicrosoftUnits[Products],$A24, tblMicrosoftUnits[cv_2024]) + SUMIF(tblAppleUnits[Products],$A24, tblAppleUnits[cv_2024]) + SUMIF(tblAlibabaUnits[Products],$A24, tblAlibabaUnits[cv_2024]) + SUMIF(tblHuaweiUnits[Products],$A24, tblHuaweiUnits[cv_2024]) + SUMIF(tblTencentUnits[Products],$A24, tblTencentUnits[cv_2024]) + SUMIF(tblBaiduUnits[Products],$A24, tblBaiduUnits[cv_2024]) + SUMIF(tblByteDanceUnits[Products],$A24, tblByteDanceUnits[cv_2024]) + SUMIF(tblCloudAOUnits[Products],$A24, tblCloudAOUnits[cv_2024])</f>
        <v>0</v>
      </c>
      <c r="I24" s="8">
        <f xml:space="preserve"> SUMIF(tblGoogleUnits[Products],$A24, tblGoogleUnits[cv_2025]) + SUMIF(tblMetaUnits[Products],$A24, tblMetaUnits[cv_2025]) + SUMIF(tblAmazonUnits[Products],$A24, tblAmazonUnits[cv_2025]) + SUMIF(tblMicrosoftUnits[Products],$A24, tblMicrosoftUnits[cv_2025]) + SUMIF(tblAppleUnits[Products],$A24, tblAppleUnits[cv_2025]) + SUMIF(tblAlibabaUnits[Products],$A24, tblAlibabaUnits[cv_2025]) + SUMIF(tblHuaweiUnits[Products],$A24, tblHuaweiUnits[cv_2025]) + SUMIF(tblTencentUnits[Products],$A24, tblTencentUnits[cv_2025]) + SUMIF(tblBaiduUnits[Products],$A24, tblBaiduUnits[cv_2025]) + SUMIF(tblByteDanceUnits[Products],$A24, tblByteDanceUnits[cv_2025]) + SUMIF(tblCloudAOUnits[Products],$A24, tblCloudAOUnits[cv_2025])</f>
        <v>0</v>
      </c>
      <c r="J24" s="8">
        <f xml:space="preserve"> SUMIF(tblGoogleUnits[Products],$A24, tblGoogleUnits[cv_2026]) + SUMIF(tblMetaUnits[Products],$A24, tblMetaUnits[cv_2026]) + SUMIF(tblAmazonUnits[Products],$A24, tblAmazonUnits[cv_2026]) + SUMIF(tblMicrosoftUnits[Products],$A24, tblMicrosoftUnits[cv_2026]) + SUMIF(tblAppleUnits[Products],$A24, tblAppleUnits[cv_2026]) + SUMIF(tblAlibabaUnits[Products],$A24, tblAlibabaUnits[cv_2026]) + SUMIF(tblHuaweiUnits[Products],$A24, tblHuaweiUnits[cv_2026]) + SUMIF(tblTencentUnits[Products],$A24, tblTencentUnits[cv_2026]) + SUMIF(tblBaiduUnits[Products],$A24, tblBaiduUnits[cv_2026]) + SUMIF(tblByteDanceUnits[Products],$A24, tblByteDanceUnits[cv_2026]) + SUMIF(tblCloudAOUnits[Products],$A24, tblCloudAOUnits[cv_2026])</f>
        <v>0</v>
      </c>
      <c r="K24" s="8">
        <f xml:space="preserve"> SUMIF(tblGoogleUnits[Products],$A24, tblGoogleUnits[cv_2027]) + SUMIF(tblMetaUnits[Products],$A24, tblMetaUnits[cv_2027]) + SUMIF(tblAmazonUnits[Products],$A24, tblAmazonUnits[cv_2027]) + SUMIF(tblMicrosoftUnits[Products],$A24, tblMicrosoftUnits[cv_2027]) + SUMIF(tblAppleUnits[Products],$A24, tblAppleUnits[cv_2027]) + SUMIF(tblAlibabaUnits[Products],$A24, tblAlibabaUnits[cv_2027]) + SUMIF(tblHuaweiUnits[Products],$A24, tblHuaweiUnits[cv_2027]) + SUMIF(tblTencentUnits[Products],$A24, tblTencentUnits[cv_2027]) + SUMIF(tblBaiduUnits[Products],$A24, tblBaiduUnits[cv_2027]) + SUMIF(tblByteDanceUnits[Products],$A24, tblByteDanceUnits[cv_2027]) + SUMIF(tblCloudAOUnits[Products],$A24, tblCloudAOUnits[cv_2027])</f>
        <v>0</v>
      </c>
      <c r="L24" s="8">
        <f xml:space="preserve"> SUMIF(tblGoogleUnits[Products],$A24, tblGoogleUnits[cv_2028]) + SUMIF(tblMetaUnits[Products],$A24, tblMetaUnits[cv_2028]) + SUMIF(tblAmazonUnits[Products],$A24, tblAmazonUnits[cv_2028]) + SUMIF(tblMicrosoftUnits[Products],$A24, tblMicrosoftUnits[cv_2028]) + SUMIF(tblAppleUnits[Products],$A24, tblAppleUnits[cv_2028]) + SUMIF(tblAlibabaUnits[Products],$A24, tblAlibabaUnits[cv_2028]) + SUMIF(tblHuaweiUnits[Products],$A24, tblHuaweiUnits[cv_2028]) + SUMIF(tblTencentUnits[Products],$A24, tblTencentUnits[cv_2028]) + SUMIF(tblBaiduUnits[Products],$A24, tblBaiduUnits[cv_2028]) + SUMIF(tblByteDanceUnits[Products],$A24, tblByteDanceUnits[cv_2028]) + SUMIF(tblCloudAOUnits[Products],$A24, tblCloudAOUnits[cv_2028])</f>
        <v>0</v>
      </c>
      <c r="M24" s="122">
        <f>10^-6*B24*INDEX(TotalMarket!$M$26:$W$125,MATCH($A24,$A$11:$A$132,0),MATCH(M$10,$M$10:$W$10))</f>
        <v>0</v>
      </c>
      <c r="N24" s="122">
        <f>10^-6*C24*INDEX(TotalMarket!$M$26:$W$125,MATCH($A24,$A$11:$A$132,0),MATCH(N$10,$M$10:$W$10))</f>
        <v>0</v>
      </c>
      <c r="O24" s="122">
        <f>10^-6*D24*INDEX(TotalMarket!$M$26:$W$125,MATCH($A24,$A$11:$A$132,0),MATCH(O$10,$M$10:$W$10))</f>
        <v>0</v>
      </c>
      <c r="P24" s="122">
        <f>10^-6*E24*INDEX(TotalMarket!$M$26:$W$125,MATCH($A24,$A$11:$A$132,0),MATCH(P$10,$M$10:$W$10))</f>
        <v>0</v>
      </c>
      <c r="Q24" s="122">
        <f>10^-6*F24*INDEX(TotalMarket!$M$26:$W$125,MATCH($A24,$A$11:$A$132,0),MATCH(Q$10,$M$10:$W$10))</f>
        <v>0</v>
      </c>
      <c r="R24" s="122">
        <f>10^-6*G24*INDEX(TotalMarket!$M$26:$W$125,MATCH($A24,$A$11:$A$132,0),MATCH(R$10,$M$10:$W$10))</f>
        <v>0</v>
      </c>
      <c r="S24" s="122">
        <f>10^-6*H24*INDEX(TotalMarket!$M$26:$W$125,MATCH($A24,$A$11:$A$132,0),MATCH(S$10,$M$10:$W$10))</f>
        <v>0</v>
      </c>
      <c r="T24" s="122">
        <f>10^-6*I24*INDEX(TotalMarket!$M$26:$W$125,MATCH($A24,$A$11:$A$132,0),MATCH(T$10,$M$10:$W$10))</f>
        <v>0</v>
      </c>
      <c r="U24" s="122">
        <f>10^-6*J24*INDEX(TotalMarket!$M$26:$W$125,MATCH($A24,$A$11:$A$132,0),MATCH(U$10,$M$10:$W$10))</f>
        <v>0</v>
      </c>
      <c r="V24" s="122">
        <f>10^-6*K24*INDEX(TotalMarket!$M$26:$W$125,MATCH($A24,$A$11:$A$132,0),MATCH(V$10,$M$10:$W$10))</f>
        <v>0</v>
      </c>
      <c r="W24" s="122">
        <f>10^-6*L24*INDEX(TotalMarket!$M$26:$W$125,MATCH($A24,$A$11:$A$132,0),MATCH(W$10,$M$10:$W$10))</f>
        <v>0</v>
      </c>
      <c r="X24" s="1">
        <v>10</v>
      </c>
    </row>
    <row r="25" spans="1:24" s="1" customFormat="1">
      <c r="A25" s="15" t="s">
        <v>163</v>
      </c>
      <c r="B25" s="8">
        <f xml:space="preserve"> SUMIF(tblGoogleUnits[Products],$A25, tblGoogleUnits[cv_2018]) + SUMIF(tblMetaUnits[Products],$A25, tblMetaUnits[cv_2018]) + SUMIF(tblAmazonUnits[Products],$A25, tblAmazonUnits[cv_2018]) + SUMIF(tblMicrosoftUnits[Products],$A25, tblMicrosoftUnits[cv_2018]) + SUMIF(tblAppleUnits[Products],$A25, tblAppleUnits[cv_2018]) + SUMIF(tblAlibabaUnits[Products],$A25, tblAlibabaUnits[cv_2018]) + SUMIF(tblHuaweiUnits[Products],$A25, tblHuaweiUnits[cv_2018]) + SUMIF(tblTencentUnits[Products],$A25, tblTencentUnits[cv_2018]) + SUMIF(tblBaiduUnits[Products],$A25, tblBaiduUnits[cv_2018]) + SUMIF(tblByteDanceUnits[Products],$A25, tblByteDanceUnits[cv_2018]) + SUMIF(tblCloudAOUnits[Products],$A25, tblCloudAOUnits[cv_2018])</f>
        <v>0</v>
      </c>
      <c r="C25" s="8">
        <f xml:space="preserve"> SUMIF(tblGoogleUnits[Products],$A25, tblGoogleUnits[cv_2019]) + SUMIF(tblMetaUnits[Products],$A25, tblMetaUnits[cv_2019]) + SUMIF(tblAmazonUnits[Products],$A25, tblAmazonUnits[cv_2019]) + SUMIF(tblMicrosoftUnits[Products],$A25, tblMicrosoftUnits[cv_2019]) + SUMIF(tblAppleUnits[Products],$A25, tblAppleUnits[cv_2019]) + SUMIF(tblAlibabaUnits[Products],$A25, tblAlibabaUnits[cv_2019]) + SUMIF(tblHuaweiUnits[Products],$A25, tblHuaweiUnits[cv_2019]) + SUMIF(tblTencentUnits[Products],$A25, tblTencentUnits[cv_2019]) + SUMIF(tblBaiduUnits[Products],$A25, tblBaiduUnits[cv_2019]) + SUMIF(tblByteDanceUnits[Products],$A25, tblByteDanceUnits[cv_2019]) + SUMIF(tblCloudAOUnits[Products],$A25, tblCloudAOUnits[cv_2019])</f>
        <v>0</v>
      </c>
      <c r="D25" s="8">
        <f xml:space="preserve"> SUMIF(tblGoogleUnits[Products],$A25, tblGoogleUnits[cv_2020]) + SUMIF(tblMetaUnits[Products],$A25, tblMetaUnits[cv_2020]) + SUMIF(tblAmazonUnits[Products],$A25, tblAmazonUnits[cv_2020]) + SUMIF(tblMicrosoftUnits[Products],$A25, tblMicrosoftUnits[cv_2020]) + SUMIF(tblAppleUnits[Products],$A25, tblAppleUnits[cv_2020]) + SUMIF(tblAlibabaUnits[Products],$A25, tblAlibabaUnits[cv_2020]) + SUMIF(tblHuaweiUnits[Products],$A25, tblHuaweiUnits[cv_2020]) + SUMIF(tblTencentUnits[Products],$A25, tblTencentUnits[cv_2020]) + SUMIF(tblBaiduUnits[Products],$A25, tblBaiduUnits[cv_2020]) + SUMIF(tblByteDanceUnits[Products],$A25, tblByteDanceUnits[cv_2020]) + SUMIF(tblCloudAOUnits[Products],$A25, tblCloudAOUnits[cv_2020])</f>
        <v>0</v>
      </c>
      <c r="E25" s="8">
        <f xml:space="preserve"> SUMIF(tblGoogleUnits[Products],$A25, tblGoogleUnits[cv_2021]) + SUMIF(tblMetaUnits[Products],$A25, tblMetaUnits[cv_2021]) + SUMIF(tblAmazonUnits[Products],$A25, tblAmazonUnits[cv_2021]) + SUMIF(tblMicrosoftUnits[Products],$A25, tblMicrosoftUnits[cv_2021]) + SUMIF(tblAppleUnits[Products],$A25, tblAppleUnits[cv_2021]) + SUMIF(tblAlibabaUnits[Products],$A25, tblAlibabaUnits[cv_2021]) + SUMIF(tblHuaweiUnits[Products],$A25, tblHuaweiUnits[cv_2021]) + SUMIF(tblTencentUnits[Products],$A25, tblTencentUnits[cv_2021]) + SUMIF(tblBaiduUnits[Products],$A25, tblBaiduUnits[cv_2021]) + SUMIF(tblByteDanceUnits[Products],$A25, tblByteDanceUnits[cv_2021]) + SUMIF(tblCloudAOUnits[Products],$A25, tblCloudAOUnits[cv_2021])</f>
        <v>0</v>
      </c>
      <c r="F25" s="8">
        <f xml:space="preserve"> SUMIF(tblGoogleUnits[Products],$A25, tblGoogleUnits[cv_2022]) + SUMIF(tblMetaUnits[Products],$A25, tblMetaUnits[cv_2022]) + SUMIF(tblAmazonUnits[Products],$A25, tblAmazonUnits[cv_2022]) + SUMIF(tblMicrosoftUnits[Products],$A25, tblMicrosoftUnits[cv_2022]) + SUMIF(tblAppleUnits[Products],$A25, tblAppleUnits[cv_2022]) + SUMIF(tblAlibabaUnits[Products],$A25, tblAlibabaUnits[cv_2022]) + SUMIF(tblHuaweiUnits[Products],$A25, tblHuaweiUnits[cv_2022]) + SUMIF(tblTencentUnits[Products],$A25, tblTencentUnits[cv_2022]) + SUMIF(tblBaiduUnits[Products],$A25, tblBaiduUnits[cv_2022]) + SUMIF(tblByteDanceUnits[Products],$A25, tblByteDanceUnits[cv_2022]) + SUMIF(tblCloudAOUnits[Products],$A25, tblCloudAOUnits[cv_2022])</f>
        <v>0</v>
      </c>
      <c r="G25" s="8">
        <f xml:space="preserve"> SUMIF(tblGoogleUnits[Products],$A25, tblGoogleUnits[cv_2023]) + SUMIF(tblMetaUnits[Products],$A25, tblMetaUnits[cv_2023]) + SUMIF(tblAmazonUnits[Products],$A25, tblAmazonUnits[cv_2023]) + SUMIF(tblMicrosoftUnits[Products],$A25, tblMicrosoftUnits[cv_2023]) + SUMIF(tblAppleUnits[Products],$A25, tblAppleUnits[cv_2023]) + SUMIF(tblAlibabaUnits[Products],$A25, tblAlibabaUnits[cv_2023]) + SUMIF(tblHuaweiUnits[Products],$A25, tblHuaweiUnits[cv_2023]) + SUMIF(tblTencentUnits[Products],$A25, tblTencentUnits[cv_2023]) + SUMIF(tblBaiduUnits[Products],$A25, tblBaiduUnits[cv_2023]) + SUMIF(tblByteDanceUnits[Products],$A25, tblByteDanceUnits[cv_2023]) + SUMIF(tblCloudAOUnits[Products],$A25, tblCloudAOUnits[cv_2023])</f>
        <v>0</v>
      </c>
      <c r="H25" s="8">
        <f xml:space="preserve"> SUMIF(tblGoogleUnits[Products],$A25, tblGoogleUnits[cv_2024]) + SUMIF(tblMetaUnits[Products],$A25, tblMetaUnits[cv_2024]) + SUMIF(tblAmazonUnits[Products],$A25, tblAmazonUnits[cv_2024]) + SUMIF(tblMicrosoftUnits[Products],$A25, tblMicrosoftUnits[cv_2024]) + SUMIF(tblAppleUnits[Products],$A25, tblAppleUnits[cv_2024]) + SUMIF(tblAlibabaUnits[Products],$A25, tblAlibabaUnits[cv_2024]) + SUMIF(tblHuaweiUnits[Products],$A25, tblHuaweiUnits[cv_2024]) + SUMIF(tblTencentUnits[Products],$A25, tblTencentUnits[cv_2024]) + SUMIF(tblBaiduUnits[Products],$A25, tblBaiduUnits[cv_2024]) + SUMIF(tblByteDanceUnits[Products],$A25, tblByteDanceUnits[cv_2024]) + SUMIF(tblCloudAOUnits[Products],$A25, tblCloudAOUnits[cv_2024])</f>
        <v>0</v>
      </c>
      <c r="I25" s="8">
        <f xml:space="preserve"> SUMIF(tblGoogleUnits[Products],$A25, tblGoogleUnits[cv_2025]) + SUMIF(tblMetaUnits[Products],$A25, tblMetaUnits[cv_2025]) + SUMIF(tblAmazonUnits[Products],$A25, tblAmazonUnits[cv_2025]) + SUMIF(tblMicrosoftUnits[Products],$A25, tblMicrosoftUnits[cv_2025]) + SUMIF(tblAppleUnits[Products],$A25, tblAppleUnits[cv_2025]) + SUMIF(tblAlibabaUnits[Products],$A25, tblAlibabaUnits[cv_2025]) + SUMIF(tblHuaweiUnits[Products],$A25, tblHuaweiUnits[cv_2025]) + SUMIF(tblTencentUnits[Products],$A25, tblTencentUnits[cv_2025]) + SUMIF(tblBaiduUnits[Products],$A25, tblBaiduUnits[cv_2025]) + SUMIF(tblByteDanceUnits[Products],$A25, tblByteDanceUnits[cv_2025]) + SUMIF(tblCloudAOUnits[Products],$A25, tblCloudAOUnits[cv_2025])</f>
        <v>0</v>
      </c>
      <c r="J25" s="8">
        <f xml:space="preserve"> SUMIF(tblGoogleUnits[Products],$A25, tblGoogleUnits[cv_2026]) + SUMIF(tblMetaUnits[Products],$A25, tblMetaUnits[cv_2026]) + SUMIF(tblAmazonUnits[Products],$A25, tblAmazonUnits[cv_2026]) + SUMIF(tblMicrosoftUnits[Products],$A25, tblMicrosoftUnits[cv_2026]) + SUMIF(tblAppleUnits[Products],$A25, tblAppleUnits[cv_2026]) + SUMIF(tblAlibabaUnits[Products],$A25, tblAlibabaUnits[cv_2026]) + SUMIF(tblHuaweiUnits[Products],$A25, tblHuaweiUnits[cv_2026]) + SUMIF(tblTencentUnits[Products],$A25, tblTencentUnits[cv_2026]) + SUMIF(tblBaiduUnits[Products],$A25, tblBaiduUnits[cv_2026]) + SUMIF(tblByteDanceUnits[Products],$A25, tblByteDanceUnits[cv_2026]) + SUMIF(tblCloudAOUnits[Products],$A25, tblCloudAOUnits[cv_2026])</f>
        <v>0</v>
      </c>
      <c r="K25" s="8">
        <f xml:space="preserve"> SUMIF(tblGoogleUnits[Products],$A25, tblGoogleUnits[cv_2027]) + SUMIF(tblMetaUnits[Products],$A25, tblMetaUnits[cv_2027]) + SUMIF(tblAmazonUnits[Products],$A25, tblAmazonUnits[cv_2027]) + SUMIF(tblMicrosoftUnits[Products],$A25, tblMicrosoftUnits[cv_2027]) + SUMIF(tblAppleUnits[Products],$A25, tblAppleUnits[cv_2027]) + SUMIF(tblAlibabaUnits[Products],$A25, tblAlibabaUnits[cv_2027]) + SUMIF(tblHuaweiUnits[Products],$A25, tblHuaweiUnits[cv_2027]) + SUMIF(tblTencentUnits[Products],$A25, tblTencentUnits[cv_2027]) + SUMIF(tblBaiduUnits[Products],$A25, tblBaiduUnits[cv_2027]) + SUMIF(tblByteDanceUnits[Products],$A25, tblByteDanceUnits[cv_2027]) + SUMIF(tblCloudAOUnits[Products],$A25, tblCloudAOUnits[cv_2027])</f>
        <v>0</v>
      </c>
      <c r="L25" s="8">
        <f xml:space="preserve"> SUMIF(tblGoogleUnits[Products],$A25, tblGoogleUnits[cv_2028]) + SUMIF(tblMetaUnits[Products],$A25, tblMetaUnits[cv_2028]) + SUMIF(tblAmazonUnits[Products],$A25, tblAmazonUnits[cv_2028]) + SUMIF(tblMicrosoftUnits[Products],$A25, tblMicrosoftUnits[cv_2028]) + SUMIF(tblAppleUnits[Products],$A25, tblAppleUnits[cv_2028]) + SUMIF(tblAlibabaUnits[Products],$A25, tblAlibabaUnits[cv_2028]) + SUMIF(tblHuaweiUnits[Products],$A25, tblHuaweiUnits[cv_2028]) + SUMIF(tblTencentUnits[Products],$A25, tblTencentUnits[cv_2028]) + SUMIF(tblBaiduUnits[Products],$A25, tblBaiduUnits[cv_2028]) + SUMIF(tblByteDanceUnits[Products],$A25, tblByteDanceUnits[cv_2028]) + SUMIF(tblCloudAOUnits[Products],$A25, tblCloudAOUnits[cv_2028])</f>
        <v>0</v>
      </c>
      <c r="M25" s="122">
        <f>10^-6*B25*INDEX(TotalMarket!$M$26:$W$125,MATCH($A25,$A$11:$A$132,0),MATCH(M$10,$M$10:$W$10))</f>
        <v>0</v>
      </c>
      <c r="N25" s="122">
        <f>10^-6*C25*INDEX(TotalMarket!$M$26:$W$125,MATCH($A25,$A$11:$A$132,0),MATCH(N$10,$M$10:$W$10))</f>
        <v>0</v>
      </c>
      <c r="O25" s="122">
        <f>10^-6*D25*INDEX(TotalMarket!$M$26:$W$125,MATCH($A25,$A$11:$A$132,0),MATCH(O$10,$M$10:$W$10))</f>
        <v>0</v>
      </c>
      <c r="P25" s="122">
        <f>10^-6*E25*INDEX(TotalMarket!$M$26:$W$125,MATCH($A25,$A$11:$A$132,0),MATCH(P$10,$M$10:$W$10))</f>
        <v>0</v>
      </c>
      <c r="Q25" s="122">
        <f>10^-6*F25*INDEX(TotalMarket!$M$26:$W$125,MATCH($A25,$A$11:$A$132,0),MATCH(Q$10,$M$10:$W$10))</f>
        <v>0</v>
      </c>
      <c r="R25" s="122">
        <f>10^-6*G25*INDEX(TotalMarket!$M$26:$W$125,MATCH($A25,$A$11:$A$132,0),MATCH(R$10,$M$10:$W$10))</f>
        <v>0</v>
      </c>
      <c r="S25" s="122">
        <f>10^-6*H25*INDEX(TotalMarket!$M$26:$W$125,MATCH($A25,$A$11:$A$132,0),MATCH(S$10,$M$10:$W$10))</f>
        <v>0</v>
      </c>
      <c r="T25" s="122">
        <f>10^-6*I25*INDEX(TotalMarket!$M$26:$W$125,MATCH($A25,$A$11:$A$132,0),MATCH(T$10,$M$10:$W$10))</f>
        <v>0</v>
      </c>
      <c r="U25" s="122">
        <f>10^-6*J25*INDEX(TotalMarket!$M$26:$W$125,MATCH($A25,$A$11:$A$132,0),MATCH(U$10,$M$10:$W$10))</f>
        <v>0</v>
      </c>
      <c r="V25" s="122">
        <f>10^-6*K25*INDEX(TotalMarket!$M$26:$W$125,MATCH($A25,$A$11:$A$132,0),MATCH(V$10,$M$10:$W$10))</f>
        <v>0</v>
      </c>
      <c r="W25" s="122">
        <f>10^-6*L25*INDEX(TotalMarket!$M$26:$W$125,MATCH($A25,$A$11:$A$132,0),MATCH(W$10,$M$10:$W$10))</f>
        <v>0</v>
      </c>
      <c r="X25" s="1">
        <v>10</v>
      </c>
    </row>
    <row r="26" spans="1:24" s="1" customFormat="1">
      <c r="A26" s="15" t="s">
        <v>164</v>
      </c>
      <c r="B26" s="8">
        <f xml:space="preserve"> SUMIF(tblGoogleUnits[Products],$A26, tblGoogleUnits[cv_2018]) + SUMIF(tblMetaUnits[Products],$A26, tblMetaUnits[cv_2018]) + SUMIF(tblAmazonUnits[Products],$A26, tblAmazonUnits[cv_2018]) + SUMIF(tblMicrosoftUnits[Products],$A26, tblMicrosoftUnits[cv_2018]) + SUMIF(tblAppleUnits[Products],$A26, tblAppleUnits[cv_2018]) + SUMIF(tblAlibabaUnits[Products],$A26, tblAlibabaUnits[cv_2018]) + SUMIF(tblHuaweiUnits[Products],$A26, tblHuaweiUnits[cv_2018]) + SUMIF(tblTencentUnits[Products],$A26, tblTencentUnits[cv_2018]) + SUMIF(tblBaiduUnits[Products],$A26, tblBaiduUnits[cv_2018]) + SUMIF(tblByteDanceUnits[Products],$A26, tblByteDanceUnits[cv_2018]) + SUMIF(tblCloudAOUnits[Products],$A26, tblCloudAOUnits[cv_2018])</f>
        <v>0</v>
      </c>
      <c r="C26" s="8">
        <f xml:space="preserve"> SUMIF(tblGoogleUnits[Products],$A26, tblGoogleUnits[cv_2019]) + SUMIF(tblMetaUnits[Products],$A26, tblMetaUnits[cv_2019]) + SUMIF(tblAmazonUnits[Products],$A26, tblAmazonUnits[cv_2019]) + SUMIF(tblMicrosoftUnits[Products],$A26, tblMicrosoftUnits[cv_2019]) + SUMIF(tblAppleUnits[Products],$A26, tblAppleUnits[cv_2019]) + SUMIF(tblAlibabaUnits[Products],$A26, tblAlibabaUnits[cv_2019]) + SUMIF(tblHuaweiUnits[Products],$A26, tblHuaweiUnits[cv_2019]) + SUMIF(tblTencentUnits[Products],$A26, tblTencentUnits[cv_2019]) + SUMIF(tblBaiduUnits[Products],$A26, tblBaiduUnits[cv_2019]) + SUMIF(tblByteDanceUnits[Products],$A26, tblByteDanceUnits[cv_2019]) + SUMIF(tblCloudAOUnits[Products],$A26, tblCloudAOUnits[cv_2019])</f>
        <v>0</v>
      </c>
      <c r="D26" s="8">
        <f xml:space="preserve"> SUMIF(tblGoogleUnits[Products],$A26, tblGoogleUnits[cv_2020]) + SUMIF(tblMetaUnits[Products],$A26, tblMetaUnits[cv_2020]) + SUMIF(tblAmazonUnits[Products],$A26, tblAmazonUnits[cv_2020]) + SUMIF(tblMicrosoftUnits[Products],$A26, tblMicrosoftUnits[cv_2020]) + SUMIF(tblAppleUnits[Products],$A26, tblAppleUnits[cv_2020]) + SUMIF(tblAlibabaUnits[Products],$A26, tblAlibabaUnits[cv_2020]) + SUMIF(tblHuaweiUnits[Products],$A26, tblHuaweiUnits[cv_2020]) + SUMIF(tblTencentUnits[Products],$A26, tblTencentUnits[cv_2020]) + SUMIF(tblBaiduUnits[Products],$A26, tblBaiduUnits[cv_2020]) + SUMIF(tblByteDanceUnits[Products],$A26, tblByteDanceUnits[cv_2020]) + SUMIF(tblCloudAOUnits[Products],$A26, tblCloudAOUnits[cv_2020])</f>
        <v>0</v>
      </c>
      <c r="E26" s="8">
        <f xml:space="preserve"> SUMIF(tblGoogleUnits[Products],$A26, tblGoogleUnits[cv_2021]) + SUMIF(tblMetaUnits[Products],$A26, tblMetaUnits[cv_2021]) + SUMIF(tblAmazonUnits[Products],$A26, tblAmazonUnits[cv_2021]) + SUMIF(tblMicrosoftUnits[Products],$A26, tblMicrosoftUnits[cv_2021]) + SUMIF(tblAppleUnits[Products],$A26, tblAppleUnits[cv_2021]) + SUMIF(tblAlibabaUnits[Products],$A26, tblAlibabaUnits[cv_2021]) + SUMIF(tblHuaweiUnits[Products],$A26, tblHuaweiUnits[cv_2021]) + SUMIF(tblTencentUnits[Products],$A26, tblTencentUnits[cv_2021]) + SUMIF(tblBaiduUnits[Products],$A26, tblBaiduUnits[cv_2021]) + SUMIF(tblByteDanceUnits[Products],$A26, tblByteDanceUnits[cv_2021]) + SUMIF(tblCloudAOUnits[Products],$A26, tblCloudAOUnits[cv_2021])</f>
        <v>0</v>
      </c>
      <c r="F26" s="8">
        <f xml:space="preserve"> SUMIF(tblGoogleUnits[Products],$A26, tblGoogleUnits[cv_2022]) + SUMIF(tblMetaUnits[Products],$A26, tblMetaUnits[cv_2022]) + SUMIF(tblAmazonUnits[Products],$A26, tblAmazonUnits[cv_2022]) + SUMIF(tblMicrosoftUnits[Products],$A26, tblMicrosoftUnits[cv_2022]) + SUMIF(tblAppleUnits[Products],$A26, tblAppleUnits[cv_2022]) + SUMIF(tblAlibabaUnits[Products],$A26, tblAlibabaUnits[cv_2022]) + SUMIF(tblHuaweiUnits[Products],$A26, tblHuaweiUnits[cv_2022]) + SUMIF(tblTencentUnits[Products],$A26, tblTencentUnits[cv_2022]) + SUMIF(tblBaiduUnits[Products],$A26, tblBaiduUnits[cv_2022]) + SUMIF(tblByteDanceUnits[Products],$A26, tblByteDanceUnits[cv_2022]) + SUMIF(tblCloudAOUnits[Products],$A26, tblCloudAOUnits[cv_2022])</f>
        <v>0</v>
      </c>
      <c r="G26" s="8">
        <f xml:space="preserve"> SUMIF(tblGoogleUnits[Products],$A26, tblGoogleUnits[cv_2023]) + SUMIF(tblMetaUnits[Products],$A26, tblMetaUnits[cv_2023]) + SUMIF(tblAmazonUnits[Products],$A26, tblAmazonUnits[cv_2023]) + SUMIF(tblMicrosoftUnits[Products],$A26, tblMicrosoftUnits[cv_2023]) + SUMIF(tblAppleUnits[Products],$A26, tblAppleUnits[cv_2023]) + SUMIF(tblAlibabaUnits[Products],$A26, tblAlibabaUnits[cv_2023]) + SUMIF(tblHuaweiUnits[Products],$A26, tblHuaweiUnits[cv_2023]) + SUMIF(tblTencentUnits[Products],$A26, tblTencentUnits[cv_2023]) + SUMIF(tblBaiduUnits[Products],$A26, tblBaiduUnits[cv_2023]) + SUMIF(tblByteDanceUnits[Products],$A26, tblByteDanceUnits[cv_2023]) + SUMIF(tblCloudAOUnits[Products],$A26, tblCloudAOUnits[cv_2023])</f>
        <v>0</v>
      </c>
      <c r="H26" s="8">
        <f xml:space="preserve"> SUMIF(tblGoogleUnits[Products],$A26, tblGoogleUnits[cv_2024]) + SUMIF(tblMetaUnits[Products],$A26, tblMetaUnits[cv_2024]) + SUMIF(tblAmazonUnits[Products],$A26, tblAmazonUnits[cv_2024]) + SUMIF(tblMicrosoftUnits[Products],$A26, tblMicrosoftUnits[cv_2024]) + SUMIF(tblAppleUnits[Products],$A26, tblAppleUnits[cv_2024]) + SUMIF(tblAlibabaUnits[Products],$A26, tblAlibabaUnits[cv_2024]) + SUMIF(tblHuaweiUnits[Products],$A26, tblHuaweiUnits[cv_2024]) + SUMIF(tblTencentUnits[Products],$A26, tblTencentUnits[cv_2024]) + SUMIF(tblBaiduUnits[Products],$A26, tblBaiduUnits[cv_2024]) + SUMIF(tblByteDanceUnits[Products],$A26, tblByteDanceUnits[cv_2024]) + SUMIF(tblCloudAOUnits[Products],$A26, tblCloudAOUnits[cv_2024])</f>
        <v>0</v>
      </c>
      <c r="I26" s="8">
        <f xml:space="preserve"> SUMIF(tblGoogleUnits[Products],$A26, tblGoogleUnits[cv_2025]) + SUMIF(tblMetaUnits[Products],$A26, tblMetaUnits[cv_2025]) + SUMIF(tblAmazonUnits[Products],$A26, tblAmazonUnits[cv_2025]) + SUMIF(tblMicrosoftUnits[Products],$A26, tblMicrosoftUnits[cv_2025]) + SUMIF(tblAppleUnits[Products],$A26, tblAppleUnits[cv_2025]) + SUMIF(tblAlibabaUnits[Products],$A26, tblAlibabaUnits[cv_2025]) + SUMIF(tblHuaweiUnits[Products],$A26, tblHuaweiUnits[cv_2025]) + SUMIF(tblTencentUnits[Products],$A26, tblTencentUnits[cv_2025]) + SUMIF(tblBaiduUnits[Products],$A26, tblBaiduUnits[cv_2025]) + SUMIF(tblByteDanceUnits[Products],$A26, tblByteDanceUnits[cv_2025]) + SUMIF(tblCloudAOUnits[Products],$A26, tblCloudAOUnits[cv_2025])</f>
        <v>0</v>
      </c>
      <c r="J26" s="8">
        <f xml:space="preserve"> SUMIF(tblGoogleUnits[Products],$A26, tblGoogleUnits[cv_2026]) + SUMIF(tblMetaUnits[Products],$A26, tblMetaUnits[cv_2026]) + SUMIF(tblAmazonUnits[Products],$A26, tblAmazonUnits[cv_2026]) + SUMIF(tblMicrosoftUnits[Products],$A26, tblMicrosoftUnits[cv_2026]) + SUMIF(tblAppleUnits[Products],$A26, tblAppleUnits[cv_2026]) + SUMIF(tblAlibabaUnits[Products],$A26, tblAlibabaUnits[cv_2026]) + SUMIF(tblHuaweiUnits[Products],$A26, tblHuaweiUnits[cv_2026]) + SUMIF(tblTencentUnits[Products],$A26, tblTencentUnits[cv_2026]) + SUMIF(tblBaiduUnits[Products],$A26, tblBaiduUnits[cv_2026]) + SUMIF(tblByteDanceUnits[Products],$A26, tblByteDanceUnits[cv_2026]) + SUMIF(tblCloudAOUnits[Products],$A26, tblCloudAOUnits[cv_2026])</f>
        <v>0</v>
      </c>
      <c r="K26" s="8">
        <f xml:space="preserve"> SUMIF(tblGoogleUnits[Products],$A26, tblGoogleUnits[cv_2027]) + SUMIF(tblMetaUnits[Products],$A26, tblMetaUnits[cv_2027]) + SUMIF(tblAmazonUnits[Products],$A26, tblAmazonUnits[cv_2027]) + SUMIF(tblMicrosoftUnits[Products],$A26, tblMicrosoftUnits[cv_2027]) + SUMIF(tblAppleUnits[Products],$A26, tblAppleUnits[cv_2027]) + SUMIF(tblAlibabaUnits[Products],$A26, tblAlibabaUnits[cv_2027]) + SUMIF(tblHuaweiUnits[Products],$A26, tblHuaweiUnits[cv_2027]) + SUMIF(tblTencentUnits[Products],$A26, tblTencentUnits[cv_2027]) + SUMIF(tblBaiduUnits[Products],$A26, tblBaiduUnits[cv_2027]) + SUMIF(tblByteDanceUnits[Products],$A26, tblByteDanceUnits[cv_2027]) + SUMIF(tblCloudAOUnits[Products],$A26, tblCloudAOUnits[cv_2027])</f>
        <v>0</v>
      </c>
      <c r="L26" s="8">
        <f xml:space="preserve"> SUMIF(tblGoogleUnits[Products],$A26, tblGoogleUnits[cv_2028]) + SUMIF(tblMetaUnits[Products],$A26, tblMetaUnits[cv_2028]) + SUMIF(tblAmazonUnits[Products],$A26, tblAmazonUnits[cv_2028]) + SUMIF(tblMicrosoftUnits[Products],$A26, tblMicrosoftUnits[cv_2028]) + SUMIF(tblAppleUnits[Products],$A26, tblAppleUnits[cv_2028]) + SUMIF(tblAlibabaUnits[Products],$A26, tblAlibabaUnits[cv_2028]) + SUMIF(tblHuaweiUnits[Products],$A26, tblHuaweiUnits[cv_2028]) + SUMIF(tblTencentUnits[Products],$A26, tblTencentUnits[cv_2028]) + SUMIF(tblBaiduUnits[Products],$A26, tblBaiduUnits[cv_2028]) + SUMIF(tblByteDanceUnits[Products],$A26, tblByteDanceUnits[cv_2028]) + SUMIF(tblCloudAOUnits[Products],$A26, tblCloudAOUnits[cv_2028])</f>
        <v>0</v>
      </c>
      <c r="M26" s="122">
        <f>10^-6*B26*INDEX(TotalMarket!$M$26:$W$125,MATCH($A26,$A$11:$A$132,0),MATCH(M$10,$M$10:$W$10))</f>
        <v>0</v>
      </c>
      <c r="N26" s="122">
        <f>10^-6*C26*INDEX(TotalMarket!$M$26:$W$125,MATCH($A26,$A$11:$A$132,0),MATCH(N$10,$M$10:$W$10))</f>
        <v>0</v>
      </c>
      <c r="O26" s="122">
        <f>10^-6*D26*INDEX(TotalMarket!$M$26:$W$125,MATCH($A26,$A$11:$A$132,0),MATCH(O$10,$M$10:$W$10))</f>
        <v>0</v>
      </c>
      <c r="P26" s="122">
        <f>10^-6*E26*INDEX(TotalMarket!$M$26:$W$125,MATCH($A26,$A$11:$A$132,0),MATCH(P$10,$M$10:$W$10))</f>
        <v>0</v>
      </c>
      <c r="Q26" s="122">
        <f>10^-6*F26*INDEX(TotalMarket!$M$26:$W$125,MATCH($A26,$A$11:$A$132,0),MATCH(Q$10,$M$10:$W$10))</f>
        <v>0</v>
      </c>
      <c r="R26" s="122">
        <f>10^-6*G26*INDEX(TotalMarket!$M$26:$W$125,MATCH($A26,$A$11:$A$132,0),MATCH(R$10,$M$10:$W$10))</f>
        <v>0</v>
      </c>
      <c r="S26" s="122">
        <f>10^-6*H26*INDEX(TotalMarket!$M$26:$W$125,MATCH($A26,$A$11:$A$132,0),MATCH(S$10,$M$10:$W$10))</f>
        <v>0</v>
      </c>
      <c r="T26" s="122">
        <f>10^-6*I26*INDEX(TotalMarket!$M$26:$W$125,MATCH($A26,$A$11:$A$132,0),MATCH(T$10,$M$10:$W$10))</f>
        <v>0</v>
      </c>
      <c r="U26" s="122">
        <f>10^-6*J26*INDEX(TotalMarket!$M$26:$W$125,MATCH($A26,$A$11:$A$132,0),MATCH(U$10,$M$10:$W$10))</f>
        <v>0</v>
      </c>
      <c r="V26" s="122">
        <f>10^-6*K26*INDEX(TotalMarket!$M$26:$W$125,MATCH($A26,$A$11:$A$132,0),MATCH(V$10,$M$10:$W$10))</f>
        <v>0</v>
      </c>
      <c r="W26" s="122">
        <f>10^-6*L26*INDEX(TotalMarket!$M$26:$W$125,MATCH($A26,$A$11:$A$132,0),MATCH(W$10,$M$10:$W$10))</f>
        <v>0</v>
      </c>
      <c r="X26" s="1">
        <v>25</v>
      </c>
    </row>
    <row r="27" spans="1:24" s="1" customFormat="1">
      <c r="A27" s="15" t="s">
        <v>165</v>
      </c>
      <c r="B27" s="8">
        <f xml:space="preserve"> SUMIF(tblGoogleUnits[Products],$A27, tblGoogleUnits[cv_2018]) + SUMIF(tblMetaUnits[Products],$A27, tblMetaUnits[cv_2018]) + SUMIF(tblAmazonUnits[Products],$A27, tblAmazonUnits[cv_2018]) + SUMIF(tblMicrosoftUnits[Products],$A27, tblMicrosoftUnits[cv_2018]) + SUMIF(tblAppleUnits[Products],$A27, tblAppleUnits[cv_2018]) + SUMIF(tblAlibabaUnits[Products],$A27, tblAlibabaUnits[cv_2018]) + SUMIF(tblHuaweiUnits[Products],$A27, tblHuaweiUnits[cv_2018]) + SUMIF(tblTencentUnits[Products],$A27, tblTencentUnits[cv_2018]) + SUMIF(tblBaiduUnits[Products],$A27, tblBaiduUnits[cv_2018]) + SUMIF(tblByteDanceUnits[Products],$A27, tblByteDanceUnits[cv_2018]) + SUMIF(tblCloudAOUnits[Products],$A27, tblCloudAOUnits[cv_2018])</f>
        <v>0</v>
      </c>
      <c r="C27" s="8">
        <f xml:space="preserve"> SUMIF(tblGoogleUnits[Products],$A27, tblGoogleUnits[cv_2019]) + SUMIF(tblMetaUnits[Products],$A27, tblMetaUnits[cv_2019]) + SUMIF(tblAmazonUnits[Products],$A27, tblAmazonUnits[cv_2019]) + SUMIF(tblMicrosoftUnits[Products],$A27, tblMicrosoftUnits[cv_2019]) + SUMIF(tblAppleUnits[Products],$A27, tblAppleUnits[cv_2019]) + SUMIF(tblAlibabaUnits[Products],$A27, tblAlibabaUnits[cv_2019]) + SUMIF(tblHuaweiUnits[Products],$A27, tblHuaweiUnits[cv_2019]) + SUMIF(tblTencentUnits[Products],$A27, tblTencentUnits[cv_2019]) + SUMIF(tblBaiduUnits[Products],$A27, tblBaiduUnits[cv_2019]) + SUMIF(tblByteDanceUnits[Products],$A27, tblByteDanceUnits[cv_2019]) + SUMIF(tblCloudAOUnits[Products],$A27, tblCloudAOUnits[cv_2019])</f>
        <v>0</v>
      </c>
      <c r="D27" s="8">
        <f xml:space="preserve"> SUMIF(tblGoogleUnits[Products],$A27, tblGoogleUnits[cv_2020]) + SUMIF(tblMetaUnits[Products],$A27, tblMetaUnits[cv_2020]) + SUMIF(tblAmazonUnits[Products],$A27, tblAmazonUnits[cv_2020]) + SUMIF(tblMicrosoftUnits[Products],$A27, tblMicrosoftUnits[cv_2020]) + SUMIF(tblAppleUnits[Products],$A27, tblAppleUnits[cv_2020]) + SUMIF(tblAlibabaUnits[Products],$A27, tblAlibabaUnits[cv_2020]) + SUMIF(tblHuaweiUnits[Products],$A27, tblHuaweiUnits[cv_2020]) + SUMIF(tblTencentUnits[Products],$A27, tblTencentUnits[cv_2020]) + SUMIF(tblBaiduUnits[Products],$A27, tblBaiduUnits[cv_2020]) + SUMIF(tblByteDanceUnits[Products],$A27, tblByteDanceUnits[cv_2020]) + SUMIF(tblCloudAOUnits[Products],$A27, tblCloudAOUnits[cv_2020])</f>
        <v>0</v>
      </c>
      <c r="E27" s="8">
        <f xml:space="preserve"> SUMIF(tblGoogleUnits[Products],$A27, tblGoogleUnits[cv_2021]) + SUMIF(tblMetaUnits[Products],$A27, tblMetaUnits[cv_2021]) + SUMIF(tblAmazonUnits[Products],$A27, tblAmazonUnits[cv_2021]) + SUMIF(tblMicrosoftUnits[Products],$A27, tblMicrosoftUnits[cv_2021]) + SUMIF(tblAppleUnits[Products],$A27, tblAppleUnits[cv_2021]) + SUMIF(tblAlibabaUnits[Products],$A27, tblAlibabaUnits[cv_2021]) + SUMIF(tblHuaweiUnits[Products],$A27, tblHuaweiUnits[cv_2021]) + SUMIF(tblTencentUnits[Products],$A27, tblTencentUnits[cv_2021]) + SUMIF(tblBaiduUnits[Products],$A27, tblBaiduUnits[cv_2021]) + SUMIF(tblByteDanceUnits[Products],$A27, tblByteDanceUnits[cv_2021]) + SUMIF(tblCloudAOUnits[Products],$A27, tblCloudAOUnits[cv_2021])</f>
        <v>0</v>
      </c>
      <c r="F27" s="8">
        <f xml:space="preserve"> SUMIF(tblGoogleUnits[Products],$A27, tblGoogleUnits[cv_2022]) + SUMIF(tblMetaUnits[Products],$A27, tblMetaUnits[cv_2022]) + SUMIF(tblAmazonUnits[Products],$A27, tblAmazonUnits[cv_2022]) + SUMIF(tblMicrosoftUnits[Products],$A27, tblMicrosoftUnits[cv_2022]) + SUMIF(tblAppleUnits[Products],$A27, tblAppleUnits[cv_2022]) + SUMIF(tblAlibabaUnits[Products],$A27, tblAlibabaUnits[cv_2022]) + SUMIF(tblHuaweiUnits[Products],$A27, tblHuaweiUnits[cv_2022]) + SUMIF(tblTencentUnits[Products],$A27, tblTencentUnits[cv_2022]) + SUMIF(tblBaiduUnits[Products],$A27, tblBaiduUnits[cv_2022]) + SUMIF(tblByteDanceUnits[Products],$A27, tblByteDanceUnits[cv_2022]) + SUMIF(tblCloudAOUnits[Products],$A27, tblCloudAOUnits[cv_2022])</f>
        <v>0</v>
      </c>
      <c r="G27" s="8">
        <f xml:space="preserve"> SUMIF(tblGoogleUnits[Products],$A27, tblGoogleUnits[cv_2023]) + SUMIF(tblMetaUnits[Products],$A27, tblMetaUnits[cv_2023]) + SUMIF(tblAmazonUnits[Products],$A27, tblAmazonUnits[cv_2023]) + SUMIF(tblMicrosoftUnits[Products],$A27, tblMicrosoftUnits[cv_2023]) + SUMIF(tblAppleUnits[Products],$A27, tblAppleUnits[cv_2023]) + SUMIF(tblAlibabaUnits[Products],$A27, tblAlibabaUnits[cv_2023]) + SUMIF(tblHuaweiUnits[Products],$A27, tblHuaweiUnits[cv_2023]) + SUMIF(tblTencentUnits[Products],$A27, tblTencentUnits[cv_2023]) + SUMIF(tblBaiduUnits[Products],$A27, tblBaiduUnits[cv_2023]) + SUMIF(tblByteDanceUnits[Products],$A27, tblByteDanceUnits[cv_2023]) + SUMIF(tblCloudAOUnits[Products],$A27, tblCloudAOUnits[cv_2023])</f>
        <v>0</v>
      </c>
      <c r="H27" s="8">
        <f xml:space="preserve"> SUMIF(tblGoogleUnits[Products],$A27, tblGoogleUnits[cv_2024]) + SUMIF(tblMetaUnits[Products],$A27, tblMetaUnits[cv_2024]) + SUMIF(tblAmazonUnits[Products],$A27, tblAmazonUnits[cv_2024]) + SUMIF(tblMicrosoftUnits[Products],$A27, tblMicrosoftUnits[cv_2024]) + SUMIF(tblAppleUnits[Products],$A27, tblAppleUnits[cv_2024]) + SUMIF(tblAlibabaUnits[Products],$A27, tblAlibabaUnits[cv_2024]) + SUMIF(tblHuaweiUnits[Products],$A27, tblHuaweiUnits[cv_2024]) + SUMIF(tblTencentUnits[Products],$A27, tblTencentUnits[cv_2024]) + SUMIF(tblBaiduUnits[Products],$A27, tblBaiduUnits[cv_2024]) + SUMIF(tblByteDanceUnits[Products],$A27, tblByteDanceUnits[cv_2024]) + SUMIF(tblCloudAOUnits[Products],$A27, tblCloudAOUnits[cv_2024])</f>
        <v>0</v>
      </c>
      <c r="I27" s="8">
        <f xml:space="preserve"> SUMIF(tblGoogleUnits[Products],$A27, tblGoogleUnits[cv_2025]) + SUMIF(tblMetaUnits[Products],$A27, tblMetaUnits[cv_2025]) + SUMIF(tblAmazonUnits[Products],$A27, tblAmazonUnits[cv_2025]) + SUMIF(tblMicrosoftUnits[Products],$A27, tblMicrosoftUnits[cv_2025]) + SUMIF(tblAppleUnits[Products],$A27, tblAppleUnits[cv_2025]) + SUMIF(tblAlibabaUnits[Products],$A27, tblAlibabaUnits[cv_2025]) + SUMIF(tblHuaweiUnits[Products],$A27, tblHuaweiUnits[cv_2025]) + SUMIF(tblTencentUnits[Products],$A27, tblTencentUnits[cv_2025]) + SUMIF(tblBaiduUnits[Products],$A27, tblBaiduUnits[cv_2025]) + SUMIF(tblByteDanceUnits[Products],$A27, tblByteDanceUnits[cv_2025]) + SUMIF(tblCloudAOUnits[Products],$A27, tblCloudAOUnits[cv_2025])</f>
        <v>0</v>
      </c>
      <c r="J27" s="8">
        <f xml:space="preserve"> SUMIF(tblGoogleUnits[Products],$A27, tblGoogleUnits[cv_2026]) + SUMIF(tblMetaUnits[Products],$A27, tblMetaUnits[cv_2026]) + SUMIF(tblAmazonUnits[Products],$A27, tblAmazonUnits[cv_2026]) + SUMIF(tblMicrosoftUnits[Products],$A27, tblMicrosoftUnits[cv_2026]) + SUMIF(tblAppleUnits[Products],$A27, tblAppleUnits[cv_2026]) + SUMIF(tblAlibabaUnits[Products],$A27, tblAlibabaUnits[cv_2026]) + SUMIF(tblHuaweiUnits[Products],$A27, tblHuaweiUnits[cv_2026]) + SUMIF(tblTencentUnits[Products],$A27, tblTencentUnits[cv_2026]) + SUMIF(tblBaiduUnits[Products],$A27, tblBaiduUnits[cv_2026]) + SUMIF(tblByteDanceUnits[Products],$A27, tblByteDanceUnits[cv_2026]) + SUMIF(tblCloudAOUnits[Products],$A27, tblCloudAOUnits[cv_2026])</f>
        <v>0</v>
      </c>
      <c r="K27" s="8">
        <f xml:space="preserve"> SUMIF(tblGoogleUnits[Products],$A27, tblGoogleUnits[cv_2027]) + SUMIF(tblMetaUnits[Products],$A27, tblMetaUnits[cv_2027]) + SUMIF(tblAmazonUnits[Products],$A27, tblAmazonUnits[cv_2027]) + SUMIF(tblMicrosoftUnits[Products],$A27, tblMicrosoftUnits[cv_2027]) + SUMIF(tblAppleUnits[Products],$A27, tblAppleUnits[cv_2027]) + SUMIF(tblAlibabaUnits[Products],$A27, tblAlibabaUnits[cv_2027]) + SUMIF(tblHuaweiUnits[Products],$A27, tblHuaweiUnits[cv_2027]) + SUMIF(tblTencentUnits[Products],$A27, tblTencentUnits[cv_2027]) + SUMIF(tblBaiduUnits[Products],$A27, tblBaiduUnits[cv_2027]) + SUMIF(tblByteDanceUnits[Products],$A27, tblByteDanceUnits[cv_2027]) + SUMIF(tblCloudAOUnits[Products],$A27, tblCloudAOUnits[cv_2027])</f>
        <v>0</v>
      </c>
      <c r="L27" s="8">
        <f xml:space="preserve"> SUMIF(tblGoogleUnits[Products],$A27, tblGoogleUnits[cv_2028]) + SUMIF(tblMetaUnits[Products],$A27, tblMetaUnits[cv_2028]) + SUMIF(tblAmazonUnits[Products],$A27, tblAmazonUnits[cv_2028]) + SUMIF(tblMicrosoftUnits[Products],$A27, tblMicrosoftUnits[cv_2028]) + SUMIF(tblAppleUnits[Products],$A27, tblAppleUnits[cv_2028]) + SUMIF(tblAlibabaUnits[Products],$A27, tblAlibabaUnits[cv_2028]) + SUMIF(tblHuaweiUnits[Products],$A27, tblHuaweiUnits[cv_2028]) + SUMIF(tblTencentUnits[Products],$A27, tblTencentUnits[cv_2028]) + SUMIF(tblBaiduUnits[Products],$A27, tblBaiduUnits[cv_2028]) + SUMIF(tblByteDanceUnits[Products],$A27, tblByteDanceUnits[cv_2028]) + SUMIF(tblCloudAOUnits[Products],$A27, tblCloudAOUnits[cv_2028])</f>
        <v>0</v>
      </c>
      <c r="M27" s="122">
        <f>10^-6*B27*INDEX(TotalMarket!$M$26:$W$125,MATCH($A27,$A$11:$A$132,0),MATCH(M$10,$M$10:$W$10))</f>
        <v>0</v>
      </c>
      <c r="N27" s="122">
        <f>10^-6*C27*INDEX(TotalMarket!$M$26:$W$125,MATCH($A27,$A$11:$A$132,0),MATCH(N$10,$M$10:$W$10))</f>
        <v>0</v>
      </c>
      <c r="O27" s="122">
        <f>10^-6*D27*INDEX(TotalMarket!$M$26:$W$125,MATCH($A27,$A$11:$A$132,0),MATCH(O$10,$M$10:$W$10))</f>
        <v>0</v>
      </c>
      <c r="P27" s="122">
        <f>10^-6*E27*INDEX(TotalMarket!$M$26:$W$125,MATCH($A27,$A$11:$A$132,0),MATCH(P$10,$M$10:$W$10))</f>
        <v>0</v>
      </c>
      <c r="Q27" s="122">
        <f>10^-6*F27*INDEX(TotalMarket!$M$26:$W$125,MATCH($A27,$A$11:$A$132,0),MATCH(Q$10,$M$10:$W$10))</f>
        <v>0</v>
      </c>
      <c r="R27" s="122">
        <f>10^-6*G27*INDEX(TotalMarket!$M$26:$W$125,MATCH($A27,$A$11:$A$132,0),MATCH(R$10,$M$10:$W$10))</f>
        <v>0</v>
      </c>
      <c r="S27" s="122">
        <f>10^-6*H27*INDEX(TotalMarket!$M$26:$W$125,MATCH($A27,$A$11:$A$132,0),MATCH(S$10,$M$10:$W$10))</f>
        <v>0</v>
      </c>
      <c r="T27" s="122">
        <f>10^-6*I27*INDEX(TotalMarket!$M$26:$W$125,MATCH($A27,$A$11:$A$132,0),MATCH(T$10,$M$10:$W$10))</f>
        <v>0</v>
      </c>
      <c r="U27" s="122">
        <f>10^-6*J27*INDEX(TotalMarket!$M$26:$W$125,MATCH($A27,$A$11:$A$132,0),MATCH(U$10,$M$10:$W$10))</f>
        <v>0</v>
      </c>
      <c r="V27" s="122">
        <f>10^-6*K27*INDEX(TotalMarket!$M$26:$W$125,MATCH($A27,$A$11:$A$132,0),MATCH(V$10,$M$10:$W$10))</f>
        <v>0</v>
      </c>
      <c r="W27" s="122">
        <f>10^-6*L27*INDEX(TotalMarket!$M$26:$W$125,MATCH($A27,$A$11:$A$132,0),MATCH(W$10,$M$10:$W$10))</f>
        <v>0</v>
      </c>
      <c r="X27" s="1">
        <v>25</v>
      </c>
    </row>
    <row r="28" spans="1:24" s="1" customFormat="1">
      <c r="A28" s="15" t="s">
        <v>166</v>
      </c>
      <c r="B28" s="8">
        <f xml:space="preserve"> SUMIF(tblGoogleUnits[Products],$A28, tblGoogleUnits[cv_2018]) + SUMIF(tblMetaUnits[Products],$A28, tblMetaUnits[cv_2018]) + SUMIF(tblAmazonUnits[Products],$A28, tblAmazonUnits[cv_2018]) + SUMIF(tblMicrosoftUnits[Products],$A28, tblMicrosoftUnits[cv_2018]) + SUMIF(tblAppleUnits[Products],$A28, tblAppleUnits[cv_2018]) + SUMIF(tblAlibabaUnits[Products],$A28, tblAlibabaUnits[cv_2018]) + SUMIF(tblHuaweiUnits[Products],$A28, tblHuaweiUnits[cv_2018]) + SUMIF(tblTencentUnits[Products],$A28, tblTencentUnits[cv_2018]) + SUMIF(tblBaiduUnits[Products],$A28, tblBaiduUnits[cv_2018]) + SUMIF(tblByteDanceUnits[Products],$A28, tblByteDanceUnits[cv_2018]) + SUMIF(tblCloudAOUnits[Products],$A28, tblCloudAOUnits[cv_2018])</f>
        <v>0</v>
      </c>
      <c r="C28" s="8">
        <f xml:space="preserve"> SUMIF(tblGoogleUnits[Products],$A28, tblGoogleUnits[cv_2019]) + SUMIF(tblMetaUnits[Products],$A28, tblMetaUnits[cv_2019]) + SUMIF(tblAmazonUnits[Products],$A28, tblAmazonUnits[cv_2019]) + SUMIF(tblMicrosoftUnits[Products],$A28, tblMicrosoftUnits[cv_2019]) + SUMIF(tblAppleUnits[Products],$A28, tblAppleUnits[cv_2019]) + SUMIF(tblAlibabaUnits[Products],$A28, tblAlibabaUnits[cv_2019]) + SUMIF(tblHuaweiUnits[Products],$A28, tblHuaweiUnits[cv_2019]) + SUMIF(tblTencentUnits[Products],$A28, tblTencentUnits[cv_2019]) + SUMIF(tblBaiduUnits[Products],$A28, tblBaiduUnits[cv_2019]) + SUMIF(tblByteDanceUnits[Products],$A28, tblByteDanceUnits[cv_2019]) + SUMIF(tblCloudAOUnits[Products],$A28, tblCloudAOUnits[cv_2019])</f>
        <v>0</v>
      </c>
      <c r="D28" s="8">
        <f xml:space="preserve"> SUMIF(tblGoogleUnits[Products],$A28, tblGoogleUnits[cv_2020]) + SUMIF(tblMetaUnits[Products],$A28, tblMetaUnits[cv_2020]) + SUMIF(tblAmazonUnits[Products],$A28, tblAmazonUnits[cv_2020]) + SUMIF(tblMicrosoftUnits[Products],$A28, tblMicrosoftUnits[cv_2020]) + SUMIF(tblAppleUnits[Products],$A28, tblAppleUnits[cv_2020]) + SUMIF(tblAlibabaUnits[Products],$A28, tblAlibabaUnits[cv_2020]) + SUMIF(tblHuaweiUnits[Products],$A28, tblHuaweiUnits[cv_2020]) + SUMIF(tblTencentUnits[Products],$A28, tblTencentUnits[cv_2020]) + SUMIF(tblBaiduUnits[Products],$A28, tblBaiduUnits[cv_2020]) + SUMIF(tblByteDanceUnits[Products],$A28, tblByteDanceUnits[cv_2020]) + SUMIF(tblCloudAOUnits[Products],$A28, tblCloudAOUnits[cv_2020])</f>
        <v>0</v>
      </c>
      <c r="E28" s="8">
        <f xml:space="preserve"> SUMIF(tblGoogleUnits[Products],$A28, tblGoogleUnits[cv_2021]) + SUMIF(tblMetaUnits[Products],$A28, tblMetaUnits[cv_2021]) + SUMIF(tblAmazonUnits[Products],$A28, tblAmazonUnits[cv_2021]) + SUMIF(tblMicrosoftUnits[Products],$A28, tblMicrosoftUnits[cv_2021]) + SUMIF(tblAppleUnits[Products],$A28, tblAppleUnits[cv_2021]) + SUMIF(tblAlibabaUnits[Products],$A28, tblAlibabaUnits[cv_2021]) + SUMIF(tblHuaweiUnits[Products],$A28, tblHuaweiUnits[cv_2021]) + SUMIF(tblTencentUnits[Products],$A28, tblTencentUnits[cv_2021]) + SUMIF(tblBaiduUnits[Products],$A28, tblBaiduUnits[cv_2021]) + SUMIF(tblByteDanceUnits[Products],$A28, tblByteDanceUnits[cv_2021]) + SUMIF(tblCloudAOUnits[Products],$A28, tblCloudAOUnits[cv_2021])</f>
        <v>0</v>
      </c>
      <c r="F28" s="8">
        <f xml:space="preserve"> SUMIF(tblGoogleUnits[Products],$A28, tblGoogleUnits[cv_2022]) + SUMIF(tblMetaUnits[Products],$A28, tblMetaUnits[cv_2022]) + SUMIF(tblAmazonUnits[Products],$A28, tblAmazonUnits[cv_2022]) + SUMIF(tblMicrosoftUnits[Products],$A28, tblMicrosoftUnits[cv_2022]) + SUMIF(tblAppleUnits[Products],$A28, tblAppleUnits[cv_2022]) + SUMIF(tblAlibabaUnits[Products],$A28, tblAlibabaUnits[cv_2022]) + SUMIF(tblHuaweiUnits[Products],$A28, tblHuaweiUnits[cv_2022]) + SUMIF(tblTencentUnits[Products],$A28, tblTencentUnits[cv_2022]) + SUMIF(tblBaiduUnits[Products],$A28, tblBaiduUnits[cv_2022]) + SUMIF(tblByteDanceUnits[Products],$A28, tblByteDanceUnits[cv_2022]) + SUMIF(tblCloudAOUnits[Products],$A28, tblCloudAOUnits[cv_2022])</f>
        <v>0</v>
      </c>
      <c r="G28" s="8">
        <f xml:space="preserve"> SUMIF(tblGoogleUnits[Products],$A28, tblGoogleUnits[cv_2023]) + SUMIF(tblMetaUnits[Products],$A28, tblMetaUnits[cv_2023]) + SUMIF(tblAmazonUnits[Products],$A28, tblAmazonUnits[cv_2023]) + SUMIF(tblMicrosoftUnits[Products],$A28, tblMicrosoftUnits[cv_2023]) + SUMIF(tblAppleUnits[Products],$A28, tblAppleUnits[cv_2023]) + SUMIF(tblAlibabaUnits[Products],$A28, tblAlibabaUnits[cv_2023]) + SUMIF(tblHuaweiUnits[Products],$A28, tblHuaweiUnits[cv_2023]) + SUMIF(tblTencentUnits[Products],$A28, tblTencentUnits[cv_2023]) + SUMIF(tblBaiduUnits[Products],$A28, tblBaiduUnits[cv_2023]) + SUMIF(tblByteDanceUnits[Products],$A28, tblByteDanceUnits[cv_2023]) + SUMIF(tblCloudAOUnits[Products],$A28, tblCloudAOUnits[cv_2023])</f>
        <v>0</v>
      </c>
      <c r="H28" s="8">
        <f xml:space="preserve"> SUMIF(tblGoogleUnits[Products],$A28, tblGoogleUnits[cv_2024]) + SUMIF(tblMetaUnits[Products],$A28, tblMetaUnits[cv_2024]) + SUMIF(tblAmazonUnits[Products],$A28, tblAmazonUnits[cv_2024]) + SUMIF(tblMicrosoftUnits[Products],$A28, tblMicrosoftUnits[cv_2024]) + SUMIF(tblAppleUnits[Products],$A28, tblAppleUnits[cv_2024]) + SUMIF(tblAlibabaUnits[Products],$A28, tblAlibabaUnits[cv_2024]) + SUMIF(tblHuaweiUnits[Products],$A28, tblHuaweiUnits[cv_2024]) + SUMIF(tblTencentUnits[Products],$A28, tblTencentUnits[cv_2024]) + SUMIF(tblBaiduUnits[Products],$A28, tblBaiduUnits[cv_2024]) + SUMIF(tblByteDanceUnits[Products],$A28, tblByteDanceUnits[cv_2024]) + SUMIF(tblCloudAOUnits[Products],$A28, tblCloudAOUnits[cv_2024])</f>
        <v>0</v>
      </c>
      <c r="I28" s="8">
        <f xml:space="preserve"> SUMIF(tblGoogleUnits[Products],$A28, tblGoogleUnits[cv_2025]) + SUMIF(tblMetaUnits[Products],$A28, tblMetaUnits[cv_2025]) + SUMIF(tblAmazonUnits[Products],$A28, tblAmazonUnits[cv_2025]) + SUMIF(tblMicrosoftUnits[Products],$A28, tblMicrosoftUnits[cv_2025]) + SUMIF(tblAppleUnits[Products],$A28, tblAppleUnits[cv_2025]) + SUMIF(tblAlibabaUnits[Products],$A28, tblAlibabaUnits[cv_2025]) + SUMIF(tblHuaweiUnits[Products],$A28, tblHuaweiUnits[cv_2025]) + SUMIF(tblTencentUnits[Products],$A28, tblTencentUnits[cv_2025]) + SUMIF(tblBaiduUnits[Products],$A28, tblBaiduUnits[cv_2025]) + SUMIF(tblByteDanceUnits[Products],$A28, tblByteDanceUnits[cv_2025]) + SUMIF(tblCloudAOUnits[Products],$A28, tblCloudAOUnits[cv_2025])</f>
        <v>0</v>
      </c>
      <c r="J28" s="8">
        <f xml:space="preserve"> SUMIF(tblGoogleUnits[Products],$A28, tblGoogleUnits[cv_2026]) + SUMIF(tblMetaUnits[Products],$A28, tblMetaUnits[cv_2026]) + SUMIF(tblAmazonUnits[Products],$A28, tblAmazonUnits[cv_2026]) + SUMIF(tblMicrosoftUnits[Products],$A28, tblMicrosoftUnits[cv_2026]) + SUMIF(tblAppleUnits[Products],$A28, tblAppleUnits[cv_2026]) + SUMIF(tblAlibabaUnits[Products],$A28, tblAlibabaUnits[cv_2026]) + SUMIF(tblHuaweiUnits[Products],$A28, tblHuaweiUnits[cv_2026]) + SUMIF(tblTencentUnits[Products],$A28, tblTencentUnits[cv_2026]) + SUMIF(tblBaiduUnits[Products],$A28, tblBaiduUnits[cv_2026]) + SUMIF(tblByteDanceUnits[Products],$A28, tblByteDanceUnits[cv_2026]) + SUMIF(tblCloudAOUnits[Products],$A28, tblCloudAOUnits[cv_2026])</f>
        <v>0</v>
      </c>
      <c r="K28" s="8">
        <f xml:space="preserve"> SUMIF(tblGoogleUnits[Products],$A28, tblGoogleUnits[cv_2027]) + SUMIF(tblMetaUnits[Products],$A28, tblMetaUnits[cv_2027]) + SUMIF(tblAmazonUnits[Products],$A28, tblAmazonUnits[cv_2027]) + SUMIF(tblMicrosoftUnits[Products],$A28, tblMicrosoftUnits[cv_2027]) + SUMIF(tblAppleUnits[Products],$A28, tblAppleUnits[cv_2027]) + SUMIF(tblAlibabaUnits[Products],$A28, tblAlibabaUnits[cv_2027]) + SUMIF(tblHuaweiUnits[Products],$A28, tblHuaweiUnits[cv_2027]) + SUMIF(tblTencentUnits[Products],$A28, tblTencentUnits[cv_2027]) + SUMIF(tblBaiduUnits[Products],$A28, tblBaiduUnits[cv_2027]) + SUMIF(tblByteDanceUnits[Products],$A28, tblByteDanceUnits[cv_2027]) + SUMIF(tblCloudAOUnits[Products],$A28, tblCloudAOUnits[cv_2027])</f>
        <v>0</v>
      </c>
      <c r="L28" s="8">
        <f xml:space="preserve"> SUMIF(tblGoogleUnits[Products],$A28, tblGoogleUnits[cv_2028]) + SUMIF(tblMetaUnits[Products],$A28, tblMetaUnits[cv_2028]) + SUMIF(tblAmazonUnits[Products],$A28, tblAmazonUnits[cv_2028]) + SUMIF(tblMicrosoftUnits[Products],$A28, tblMicrosoftUnits[cv_2028]) + SUMIF(tblAppleUnits[Products],$A28, tblAppleUnits[cv_2028]) + SUMIF(tblAlibabaUnits[Products],$A28, tblAlibabaUnits[cv_2028]) + SUMIF(tblHuaweiUnits[Products],$A28, tblHuaweiUnits[cv_2028]) + SUMIF(tblTencentUnits[Products],$A28, tblTencentUnits[cv_2028]) + SUMIF(tblBaiduUnits[Products],$A28, tblBaiduUnits[cv_2028]) + SUMIF(tblByteDanceUnits[Products],$A28, tblByteDanceUnits[cv_2028]) + SUMIF(tblCloudAOUnits[Products],$A28, tblCloudAOUnits[cv_2028])</f>
        <v>0</v>
      </c>
      <c r="M28" s="122">
        <f>10^-6*B28*INDEX(TotalMarket!$M$26:$W$125,MATCH($A28,$A$11:$A$132,0),MATCH(M$10,$M$10:$W$10))</f>
        <v>0</v>
      </c>
      <c r="N28" s="122">
        <f>10^-6*C28*INDEX(TotalMarket!$M$26:$W$125,MATCH($A28,$A$11:$A$132,0),MATCH(N$10,$M$10:$W$10))</f>
        <v>0</v>
      </c>
      <c r="O28" s="122">
        <f>10^-6*D28*INDEX(TotalMarket!$M$26:$W$125,MATCH($A28,$A$11:$A$132,0),MATCH(O$10,$M$10:$W$10))</f>
        <v>0</v>
      </c>
      <c r="P28" s="122">
        <f>10^-6*E28*INDEX(TotalMarket!$M$26:$W$125,MATCH($A28,$A$11:$A$132,0),MATCH(P$10,$M$10:$W$10))</f>
        <v>0</v>
      </c>
      <c r="Q28" s="122">
        <f>10^-6*F28*INDEX(TotalMarket!$M$26:$W$125,MATCH($A28,$A$11:$A$132,0),MATCH(Q$10,$M$10:$W$10))</f>
        <v>0</v>
      </c>
      <c r="R28" s="122">
        <f>10^-6*G28*INDEX(TotalMarket!$M$26:$W$125,MATCH($A28,$A$11:$A$132,0),MATCH(R$10,$M$10:$W$10))</f>
        <v>0</v>
      </c>
      <c r="S28" s="122">
        <f>10^-6*H28*INDEX(TotalMarket!$M$26:$W$125,MATCH($A28,$A$11:$A$132,0),MATCH(S$10,$M$10:$W$10))</f>
        <v>0</v>
      </c>
      <c r="T28" s="122">
        <f>10^-6*I28*INDEX(TotalMarket!$M$26:$W$125,MATCH($A28,$A$11:$A$132,0),MATCH(T$10,$M$10:$W$10))</f>
        <v>0</v>
      </c>
      <c r="U28" s="122">
        <f>10^-6*J28*INDEX(TotalMarket!$M$26:$W$125,MATCH($A28,$A$11:$A$132,0),MATCH(U$10,$M$10:$W$10))</f>
        <v>0</v>
      </c>
      <c r="V28" s="122">
        <f>10^-6*K28*INDEX(TotalMarket!$M$26:$W$125,MATCH($A28,$A$11:$A$132,0),MATCH(V$10,$M$10:$W$10))</f>
        <v>0</v>
      </c>
      <c r="W28" s="122">
        <f>10^-6*L28*INDEX(TotalMarket!$M$26:$W$125,MATCH($A28,$A$11:$A$132,0),MATCH(W$10,$M$10:$W$10))</f>
        <v>0</v>
      </c>
      <c r="X28" s="1">
        <v>25</v>
      </c>
    </row>
    <row r="29" spans="1:24" s="1" customFormat="1">
      <c r="A29" s="15" t="s">
        <v>0</v>
      </c>
      <c r="B29" s="8">
        <f xml:space="preserve"> SUMIF(tblGoogleUnits[Products],$A29, tblGoogleUnits[cv_2018]) + SUMIF(tblMetaUnits[Products],$A29, tblMetaUnits[cv_2018]) + SUMIF(tblAmazonUnits[Products],$A29, tblAmazonUnits[cv_2018]) + SUMIF(tblMicrosoftUnits[Products],$A29, tblMicrosoftUnits[cv_2018]) + SUMIF(tblAppleUnits[Products],$A29, tblAppleUnits[cv_2018]) + SUMIF(tblAlibabaUnits[Products],$A29, tblAlibabaUnits[cv_2018]) + SUMIF(tblHuaweiUnits[Products],$A29, tblHuaweiUnits[cv_2018]) + SUMIF(tblTencentUnits[Products],$A29, tblTencentUnits[cv_2018]) + SUMIF(tblBaiduUnits[Products],$A29, tblBaiduUnits[cv_2018]) + SUMIF(tblByteDanceUnits[Products],$A29, tblByteDanceUnits[cv_2018]) + SUMIF(tblCloudAOUnits[Products],$A29, tblCloudAOUnits[cv_2018])</f>
        <v>746320.82755000005</v>
      </c>
      <c r="C29" s="8">
        <f xml:space="preserve"> SUMIF(tblGoogleUnits[Products],$A29, tblGoogleUnits[cv_2019]) + SUMIF(tblMetaUnits[Products],$A29, tblMetaUnits[cv_2019]) + SUMIF(tblAmazonUnits[Products],$A29, tblAmazonUnits[cv_2019]) + SUMIF(tblMicrosoftUnits[Products],$A29, tblMicrosoftUnits[cv_2019]) + SUMIF(tblAppleUnits[Products],$A29, tblAppleUnits[cv_2019]) + SUMIF(tblAlibabaUnits[Products],$A29, tblAlibabaUnits[cv_2019]) + SUMIF(tblHuaweiUnits[Products],$A29, tblHuaweiUnits[cv_2019]) + SUMIF(tblTencentUnits[Products],$A29, tblTencentUnits[cv_2019]) + SUMIF(tblBaiduUnits[Products],$A29, tblBaiduUnits[cv_2019]) + SUMIF(tblByteDanceUnits[Products],$A29, tblByteDanceUnits[cv_2019]) + SUMIF(tblCloudAOUnits[Products],$A29, tblCloudAOUnits[cv_2019])</f>
        <v>559923.04999999981</v>
      </c>
      <c r="D29" s="8">
        <f xml:space="preserve"> SUMIF(tblGoogleUnits[Products],$A29, tblGoogleUnits[cv_2020]) + SUMIF(tblMetaUnits[Products],$A29, tblMetaUnits[cv_2020]) + SUMIF(tblAmazonUnits[Products],$A29, tblAmazonUnits[cv_2020]) + SUMIF(tblMicrosoftUnits[Products],$A29, tblMicrosoftUnits[cv_2020]) + SUMIF(tblAppleUnits[Products],$A29, tblAppleUnits[cv_2020]) + SUMIF(tblAlibabaUnits[Products],$A29, tblAlibabaUnits[cv_2020]) + SUMIF(tblHuaweiUnits[Products],$A29, tblHuaweiUnits[cv_2020]) + SUMIF(tblTencentUnits[Products],$A29, tblTencentUnits[cv_2020]) + SUMIF(tblBaiduUnits[Products],$A29, tblBaiduUnits[cv_2020]) + SUMIF(tblByteDanceUnits[Products],$A29, tblByteDanceUnits[cv_2020]) + SUMIF(tblCloudAOUnits[Products],$A29, tblCloudAOUnits[cv_2020])</f>
        <v>0</v>
      </c>
      <c r="E29" s="8">
        <f xml:space="preserve"> SUMIF(tblGoogleUnits[Products],$A29, tblGoogleUnits[cv_2021]) + SUMIF(tblMetaUnits[Products],$A29, tblMetaUnits[cv_2021]) + SUMIF(tblAmazonUnits[Products],$A29, tblAmazonUnits[cv_2021]) + SUMIF(tblMicrosoftUnits[Products],$A29, tblMicrosoftUnits[cv_2021]) + SUMIF(tblAppleUnits[Products],$A29, tblAppleUnits[cv_2021]) + SUMIF(tblAlibabaUnits[Products],$A29, tblAlibabaUnits[cv_2021]) + SUMIF(tblHuaweiUnits[Products],$A29, tblHuaweiUnits[cv_2021]) + SUMIF(tblTencentUnits[Products],$A29, tblTencentUnits[cv_2021]) + SUMIF(tblBaiduUnits[Products],$A29, tblBaiduUnits[cv_2021]) + SUMIF(tblByteDanceUnits[Products],$A29, tblByteDanceUnits[cv_2021]) + SUMIF(tblCloudAOUnits[Products],$A29, tblCloudAOUnits[cv_2021])</f>
        <v>0</v>
      </c>
      <c r="F29" s="8">
        <f xml:space="preserve"> SUMIF(tblGoogleUnits[Products],$A29, tblGoogleUnits[cv_2022]) + SUMIF(tblMetaUnits[Products],$A29, tblMetaUnits[cv_2022]) + SUMIF(tblAmazonUnits[Products],$A29, tblAmazonUnits[cv_2022]) + SUMIF(tblMicrosoftUnits[Products],$A29, tblMicrosoftUnits[cv_2022]) + SUMIF(tblAppleUnits[Products],$A29, tblAppleUnits[cv_2022]) + SUMIF(tblAlibabaUnits[Products],$A29, tblAlibabaUnits[cv_2022]) + SUMIF(tblHuaweiUnits[Products],$A29, tblHuaweiUnits[cv_2022]) + SUMIF(tblTencentUnits[Products],$A29, tblTencentUnits[cv_2022]) + SUMIF(tblBaiduUnits[Products],$A29, tblBaiduUnits[cv_2022]) + SUMIF(tblByteDanceUnits[Products],$A29, tblByteDanceUnits[cv_2022]) + SUMIF(tblCloudAOUnits[Products],$A29, tblCloudAOUnits[cv_2022])</f>
        <v>0</v>
      </c>
      <c r="G29" s="8">
        <f xml:space="preserve"> SUMIF(tblGoogleUnits[Products],$A29, tblGoogleUnits[cv_2023]) + SUMIF(tblMetaUnits[Products],$A29, tblMetaUnits[cv_2023]) + SUMIF(tblAmazonUnits[Products],$A29, tblAmazonUnits[cv_2023]) + SUMIF(tblMicrosoftUnits[Products],$A29, tblMicrosoftUnits[cv_2023]) + SUMIF(tblAppleUnits[Products],$A29, tblAppleUnits[cv_2023]) + SUMIF(tblAlibabaUnits[Products],$A29, tblAlibabaUnits[cv_2023]) + SUMIF(tblHuaweiUnits[Products],$A29, tblHuaweiUnits[cv_2023]) + SUMIF(tblTencentUnits[Products],$A29, tblTencentUnits[cv_2023]) + SUMIF(tblBaiduUnits[Products],$A29, tblBaiduUnits[cv_2023]) + SUMIF(tblByteDanceUnits[Products],$A29, tblByteDanceUnits[cv_2023]) + SUMIF(tblCloudAOUnits[Products],$A29, tblCloudAOUnits[cv_2023])</f>
        <v>0</v>
      </c>
      <c r="H29" s="8">
        <f xml:space="preserve"> SUMIF(tblGoogleUnits[Products],$A29, tblGoogleUnits[cv_2024]) + SUMIF(tblMetaUnits[Products],$A29, tblMetaUnits[cv_2024]) + SUMIF(tblAmazonUnits[Products],$A29, tblAmazonUnits[cv_2024]) + SUMIF(tblMicrosoftUnits[Products],$A29, tblMicrosoftUnits[cv_2024]) + SUMIF(tblAppleUnits[Products],$A29, tblAppleUnits[cv_2024]) + SUMIF(tblAlibabaUnits[Products],$A29, tblAlibabaUnits[cv_2024]) + SUMIF(tblHuaweiUnits[Products],$A29, tblHuaweiUnits[cv_2024]) + SUMIF(tblTencentUnits[Products],$A29, tblTencentUnits[cv_2024]) + SUMIF(tblBaiduUnits[Products],$A29, tblBaiduUnits[cv_2024]) + SUMIF(tblByteDanceUnits[Products],$A29, tblByteDanceUnits[cv_2024]) + SUMIF(tblCloudAOUnits[Products],$A29, tblCloudAOUnits[cv_2024])</f>
        <v>0</v>
      </c>
      <c r="I29" s="8">
        <f xml:space="preserve"> SUMIF(tblGoogleUnits[Products],$A29, tblGoogleUnits[cv_2025]) + SUMIF(tblMetaUnits[Products],$A29, tblMetaUnits[cv_2025]) + SUMIF(tblAmazonUnits[Products],$A29, tblAmazonUnits[cv_2025]) + SUMIF(tblMicrosoftUnits[Products],$A29, tblMicrosoftUnits[cv_2025]) + SUMIF(tblAppleUnits[Products],$A29, tblAppleUnits[cv_2025]) + SUMIF(tblAlibabaUnits[Products],$A29, tblAlibabaUnits[cv_2025]) + SUMIF(tblHuaweiUnits[Products],$A29, tblHuaweiUnits[cv_2025]) + SUMIF(tblTencentUnits[Products],$A29, tblTencentUnits[cv_2025]) + SUMIF(tblBaiduUnits[Products],$A29, tblBaiduUnits[cv_2025]) + SUMIF(tblByteDanceUnits[Products],$A29, tblByteDanceUnits[cv_2025]) + SUMIF(tblCloudAOUnits[Products],$A29, tblCloudAOUnits[cv_2025])</f>
        <v>0</v>
      </c>
      <c r="J29" s="8">
        <f xml:space="preserve"> SUMIF(tblGoogleUnits[Products],$A29, tblGoogleUnits[cv_2026]) + SUMIF(tblMetaUnits[Products],$A29, tblMetaUnits[cv_2026]) + SUMIF(tblAmazonUnits[Products],$A29, tblAmazonUnits[cv_2026]) + SUMIF(tblMicrosoftUnits[Products],$A29, tblMicrosoftUnits[cv_2026]) + SUMIF(tblAppleUnits[Products],$A29, tblAppleUnits[cv_2026]) + SUMIF(tblAlibabaUnits[Products],$A29, tblAlibabaUnits[cv_2026]) + SUMIF(tblHuaweiUnits[Products],$A29, tblHuaweiUnits[cv_2026]) + SUMIF(tblTencentUnits[Products],$A29, tblTencentUnits[cv_2026]) + SUMIF(tblBaiduUnits[Products],$A29, tblBaiduUnits[cv_2026]) + SUMIF(tblByteDanceUnits[Products],$A29, tblByteDanceUnits[cv_2026]) + SUMIF(tblCloudAOUnits[Products],$A29, tblCloudAOUnits[cv_2026])</f>
        <v>0</v>
      </c>
      <c r="K29" s="8">
        <f xml:space="preserve"> SUMIF(tblGoogleUnits[Products],$A29, tblGoogleUnits[cv_2027]) + SUMIF(tblMetaUnits[Products],$A29, tblMetaUnits[cv_2027]) + SUMIF(tblAmazonUnits[Products],$A29, tblAmazonUnits[cv_2027]) + SUMIF(tblMicrosoftUnits[Products],$A29, tblMicrosoftUnits[cv_2027]) + SUMIF(tblAppleUnits[Products],$A29, tblAppleUnits[cv_2027]) + SUMIF(tblAlibabaUnits[Products],$A29, tblAlibabaUnits[cv_2027]) + SUMIF(tblHuaweiUnits[Products],$A29, tblHuaweiUnits[cv_2027]) + SUMIF(tblTencentUnits[Products],$A29, tblTencentUnits[cv_2027]) + SUMIF(tblBaiduUnits[Products],$A29, tblBaiduUnits[cv_2027]) + SUMIF(tblByteDanceUnits[Products],$A29, tblByteDanceUnits[cv_2027]) + SUMIF(tblCloudAOUnits[Products],$A29, tblCloudAOUnits[cv_2027])</f>
        <v>0</v>
      </c>
      <c r="L29" s="8">
        <f xml:space="preserve"> SUMIF(tblGoogleUnits[Products],$A29, tblGoogleUnits[cv_2028]) + SUMIF(tblMetaUnits[Products],$A29, tblMetaUnits[cv_2028]) + SUMIF(tblAmazonUnits[Products],$A29, tblAmazonUnits[cv_2028]) + SUMIF(tblMicrosoftUnits[Products],$A29, tblMicrosoftUnits[cv_2028]) + SUMIF(tblAppleUnits[Products],$A29, tblAppleUnits[cv_2028]) + SUMIF(tblAlibabaUnits[Products],$A29, tblAlibabaUnits[cv_2028]) + SUMIF(tblHuaweiUnits[Products],$A29, tblHuaweiUnits[cv_2028]) + SUMIF(tblTencentUnits[Products],$A29, tblTencentUnits[cv_2028]) + SUMIF(tblBaiduUnits[Products],$A29, tblBaiduUnits[cv_2028]) + SUMIF(tblByteDanceUnits[Products],$A29, tblByteDanceUnits[cv_2028]) + SUMIF(tblCloudAOUnits[Products],$A29, tblCloudAOUnits[cv_2028])</f>
        <v>0</v>
      </c>
      <c r="M29" s="122">
        <f>10^-6*B29*INDEX(TotalMarket!$M$26:$W$125,MATCH($A29,$A$11:$A$132,0),MATCH(M$10,$M$10:$W$10))</f>
        <v>43.779377176258969</v>
      </c>
      <c r="N29" s="122">
        <f>10^-6*C29*INDEX(TotalMarket!$M$26:$W$125,MATCH($A29,$A$11:$A$132,0),MATCH(N$10,$M$10:$W$10))</f>
        <v>25.82483448214284</v>
      </c>
      <c r="O29" s="122">
        <f>10^-6*D29*INDEX(TotalMarket!$M$26:$W$125,MATCH($A29,$A$11:$A$132,0),MATCH(O$10,$M$10:$W$10))</f>
        <v>0</v>
      </c>
      <c r="P29" s="122">
        <f>10^-6*E29*INDEX(TotalMarket!$M$26:$W$125,MATCH($A29,$A$11:$A$132,0),MATCH(P$10,$M$10:$W$10))</f>
        <v>0</v>
      </c>
      <c r="Q29" s="122">
        <f>10^-6*F29*INDEX(TotalMarket!$M$26:$W$125,MATCH($A29,$A$11:$A$132,0),MATCH(Q$10,$M$10:$W$10))</f>
        <v>0</v>
      </c>
      <c r="R29" s="122">
        <f>10^-6*G29*INDEX(TotalMarket!$M$26:$W$125,MATCH($A29,$A$11:$A$132,0),MATCH(R$10,$M$10:$W$10))</f>
        <v>0</v>
      </c>
      <c r="S29" s="122">
        <f>10^-6*H29*INDEX(TotalMarket!$M$26:$W$125,MATCH($A29,$A$11:$A$132,0),MATCH(S$10,$M$10:$W$10))</f>
        <v>0</v>
      </c>
      <c r="T29" s="122">
        <f>10^-6*I29*INDEX(TotalMarket!$M$26:$W$125,MATCH($A29,$A$11:$A$132,0),MATCH(T$10,$M$10:$W$10))</f>
        <v>0</v>
      </c>
      <c r="U29" s="122">
        <f>10^-6*J29*INDEX(TotalMarket!$M$26:$W$125,MATCH($A29,$A$11:$A$132,0),MATCH(U$10,$M$10:$W$10))</f>
        <v>0</v>
      </c>
      <c r="V29" s="122">
        <f>10^-6*K29*INDEX(TotalMarket!$M$26:$W$125,MATCH($A29,$A$11:$A$132,0),MATCH(V$10,$M$10:$W$10))</f>
        <v>0</v>
      </c>
      <c r="W29" s="122">
        <f>10^-6*L29*INDEX(TotalMarket!$M$26:$W$125,MATCH($A29,$A$11:$A$132,0),MATCH(W$10,$M$10:$W$10))</f>
        <v>0</v>
      </c>
      <c r="X29" s="1">
        <f>VLOOKUP(A29,Products!$A$29:$F$110,6,FALSE)</f>
        <v>40</v>
      </c>
    </row>
    <row r="30" spans="1:24" s="1" customFormat="1">
      <c r="A30" s="15" t="s">
        <v>167</v>
      </c>
      <c r="B30" s="8">
        <f xml:space="preserve"> SUMIF(tblGoogleUnits[Products],$A30, tblGoogleUnits[cv_2018]) + SUMIF(tblMetaUnits[Products],$A30, tblMetaUnits[cv_2018]) + SUMIF(tblAmazonUnits[Products],$A30, tblAmazonUnits[cv_2018]) + SUMIF(tblMicrosoftUnits[Products],$A30, tblMicrosoftUnits[cv_2018]) + SUMIF(tblAppleUnits[Products],$A30, tblAppleUnits[cv_2018]) + SUMIF(tblAlibabaUnits[Products],$A30, tblAlibabaUnits[cv_2018]) + SUMIF(tblHuaweiUnits[Products],$A30, tblHuaweiUnits[cv_2018]) + SUMIF(tblTencentUnits[Products],$A30, tblTencentUnits[cv_2018]) + SUMIF(tblBaiduUnits[Products],$A30, tblBaiduUnits[cv_2018]) + SUMIF(tblByteDanceUnits[Products],$A30, tblByteDanceUnits[cv_2018]) + SUMIF(tblCloudAOUnits[Products],$A30, tblCloudAOUnits[cv_2018])</f>
        <v>0</v>
      </c>
      <c r="C30" s="8">
        <f xml:space="preserve"> SUMIF(tblGoogleUnits[Products],$A30, tblGoogleUnits[cv_2019]) + SUMIF(tblMetaUnits[Products],$A30, tblMetaUnits[cv_2019]) + SUMIF(tblAmazonUnits[Products],$A30, tblAmazonUnits[cv_2019]) + SUMIF(tblMicrosoftUnits[Products],$A30, tblMicrosoftUnits[cv_2019]) + SUMIF(tblAppleUnits[Products],$A30, tblAppleUnits[cv_2019]) + SUMIF(tblAlibabaUnits[Products],$A30, tblAlibabaUnits[cv_2019]) + SUMIF(tblHuaweiUnits[Products],$A30, tblHuaweiUnits[cv_2019]) + SUMIF(tblTencentUnits[Products],$A30, tblTencentUnits[cv_2019]) + SUMIF(tblBaiduUnits[Products],$A30, tblBaiduUnits[cv_2019]) + SUMIF(tblByteDanceUnits[Products],$A30, tblByteDanceUnits[cv_2019]) + SUMIF(tblCloudAOUnits[Products],$A30, tblCloudAOUnits[cv_2019])</f>
        <v>0</v>
      </c>
      <c r="D30" s="8">
        <f xml:space="preserve"> SUMIF(tblGoogleUnits[Products],$A30, tblGoogleUnits[cv_2020]) + SUMIF(tblMetaUnits[Products],$A30, tblMetaUnits[cv_2020]) + SUMIF(tblAmazonUnits[Products],$A30, tblAmazonUnits[cv_2020]) + SUMIF(tblMicrosoftUnits[Products],$A30, tblMicrosoftUnits[cv_2020]) + SUMIF(tblAppleUnits[Products],$A30, tblAppleUnits[cv_2020]) + SUMIF(tblAlibabaUnits[Products],$A30, tblAlibabaUnits[cv_2020]) + SUMIF(tblHuaweiUnits[Products],$A30, tblHuaweiUnits[cv_2020]) + SUMIF(tblTencentUnits[Products],$A30, tblTencentUnits[cv_2020]) + SUMIF(tblBaiduUnits[Products],$A30, tblBaiduUnits[cv_2020]) + SUMIF(tblByteDanceUnits[Products],$A30, tblByteDanceUnits[cv_2020]) + SUMIF(tblCloudAOUnits[Products],$A30, tblCloudAOUnits[cv_2020])</f>
        <v>0</v>
      </c>
      <c r="E30" s="8">
        <f xml:space="preserve"> SUMIF(tblGoogleUnits[Products],$A30, tblGoogleUnits[cv_2021]) + SUMIF(tblMetaUnits[Products],$A30, tblMetaUnits[cv_2021]) + SUMIF(tblAmazonUnits[Products],$A30, tblAmazonUnits[cv_2021]) + SUMIF(tblMicrosoftUnits[Products],$A30, tblMicrosoftUnits[cv_2021]) + SUMIF(tblAppleUnits[Products],$A30, tblAppleUnits[cv_2021]) + SUMIF(tblAlibabaUnits[Products],$A30, tblAlibabaUnits[cv_2021]) + SUMIF(tblHuaweiUnits[Products],$A30, tblHuaweiUnits[cv_2021]) + SUMIF(tblTencentUnits[Products],$A30, tblTencentUnits[cv_2021]) + SUMIF(tblBaiduUnits[Products],$A30, tblBaiduUnits[cv_2021]) + SUMIF(tblByteDanceUnits[Products],$A30, tblByteDanceUnits[cv_2021]) + SUMIF(tblCloudAOUnits[Products],$A30, tblCloudAOUnits[cv_2021])</f>
        <v>0</v>
      </c>
      <c r="F30" s="8">
        <f xml:space="preserve"> SUMIF(tblGoogleUnits[Products],$A30, tblGoogleUnits[cv_2022]) + SUMIF(tblMetaUnits[Products],$A30, tblMetaUnits[cv_2022]) + SUMIF(tblAmazonUnits[Products],$A30, tblAmazonUnits[cv_2022]) + SUMIF(tblMicrosoftUnits[Products],$A30, tblMicrosoftUnits[cv_2022]) + SUMIF(tblAppleUnits[Products],$A30, tblAppleUnits[cv_2022]) + SUMIF(tblAlibabaUnits[Products],$A30, tblAlibabaUnits[cv_2022]) + SUMIF(tblHuaweiUnits[Products],$A30, tblHuaweiUnits[cv_2022]) + SUMIF(tblTencentUnits[Products],$A30, tblTencentUnits[cv_2022]) + SUMIF(tblBaiduUnits[Products],$A30, tblBaiduUnits[cv_2022]) + SUMIF(tblByteDanceUnits[Products],$A30, tblByteDanceUnits[cv_2022]) + SUMIF(tblCloudAOUnits[Products],$A30, tblCloudAOUnits[cv_2022])</f>
        <v>0</v>
      </c>
      <c r="G30" s="8">
        <f xml:space="preserve"> SUMIF(tblGoogleUnits[Products],$A30, tblGoogleUnits[cv_2023]) + SUMIF(tblMetaUnits[Products],$A30, tblMetaUnits[cv_2023]) + SUMIF(tblAmazonUnits[Products],$A30, tblAmazonUnits[cv_2023]) + SUMIF(tblMicrosoftUnits[Products],$A30, tblMicrosoftUnits[cv_2023]) + SUMIF(tblAppleUnits[Products],$A30, tblAppleUnits[cv_2023]) + SUMIF(tblAlibabaUnits[Products],$A30, tblAlibabaUnits[cv_2023]) + SUMIF(tblHuaweiUnits[Products],$A30, tblHuaweiUnits[cv_2023]) + SUMIF(tblTencentUnits[Products],$A30, tblTencentUnits[cv_2023]) + SUMIF(tblBaiduUnits[Products],$A30, tblBaiduUnits[cv_2023]) + SUMIF(tblByteDanceUnits[Products],$A30, tblByteDanceUnits[cv_2023]) + SUMIF(tblCloudAOUnits[Products],$A30, tblCloudAOUnits[cv_2023])</f>
        <v>0</v>
      </c>
      <c r="H30" s="8">
        <f xml:space="preserve"> SUMIF(tblGoogleUnits[Products],$A30, tblGoogleUnits[cv_2024]) + SUMIF(tblMetaUnits[Products],$A30, tblMetaUnits[cv_2024]) + SUMIF(tblAmazonUnits[Products],$A30, tblAmazonUnits[cv_2024]) + SUMIF(tblMicrosoftUnits[Products],$A30, tblMicrosoftUnits[cv_2024]) + SUMIF(tblAppleUnits[Products],$A30, tblAppleUnits[cv_2024]) + SUMIF(tblAlibabaUnits[Products],$A30, tblAlibabaUnits[cv_2024]) + SUMIF(tblHuaweiUnits[Products],$A30, tblHuaweiUnits[cv_2024]) + SUMIF(tblTencentUnits[Products],$A30, tblTencentUnits[cv_2024]) + SUMIF(tblBaiduUnits[Products],$A30, tblBaiduUnits[cv_2024]) + SUMIF(tblByteDanceUnits[Products],$A30, tblByteDanceUnits[cv_2024]) + SUMIF(tblCloudAOUnits[Products],$A30, tblCloudAOUnits[cv_2024])</f>
        <v>0</v>
      </c>
      <c r="I30" s="8">
        <f xml:space="preserve"> SUMIF(tblGoogleUnits[Products],$A30, tblGoogleUnits[cv_2025]) + SUMIF(tblMetaUnits[Products],$A30, tblMetaUnits[cv_2025]) + SUMIF(tblAmazonUnits[Products],$A30, tblAmazonUnits[cv_2025]) + SUMIF(tblMicrosoftUnits[Products],$A30, tblMicrosoftUnits[cv_2025]) + SUMIF(tblAppleUnits[Products],$A30, tblAppleUnits[cv_2025]) + SUMIF(tblAlibabaUnits[Products],$A30, tblAlibabaUnits[cv_2025]) + SUMIF(tblHuaweiUnits[Products],$A30, tblHuaweiUnits[cv_2025]) + SUMIF(tblTencentUnits[Products],$A30, tblTencentUnits[cv_2025]) + SUMIF(tblBaiduUnits[Products],$A30, tblBaiduUnits[cv_2025]) + SUMIF(tblByteDanceUnits[Products],$A30, tblByteDanceUnits[cv_2025]) + SUMIF(tblCloudAOUnits[Products],$A30, tblCloudAOUnits[cv_2025])</f>
        <v>0</v>
      </c>
      <c r="J30" s="8">
        <f xml:space="preserve"> SUMIF(tblGoogleUnits[Products],$A30, tblGoogleUnits[cv_2026]) + SUMIF(tblMetaUnits[Products],$A30, tblMetaUnits[cv_2026]) + SUMIF(tblAmazonUnits[Products],$A30, tblAmazonUnits[cv_2026]) + SUMIF(tblMicrosoftUnits[Products],$A30, tblMicrosoftUnits[cv_2026]) + SUMIF(tblAppleUnits[Products],$A30, tblAppleUnits[cv_2026]) + SUMIF(tblAlibabaUnits[Products],$A30, tblAlibabaUnits[cv_2026]) + SUMIF(tblHuaweiUnits[Products],$A30, tblHuaweiUnits[cv_2026]) + SUMIF(tblTencentUnits[Products],$A30, tblTencentUnits[cv_2026]) + SUMIF(tblBaiduUnits[Products],$A30, tblBaiduUnits[cv_2026]) + SUMIF(tblByteDanceUnits[Products],$A30, tblByteDanceUnits[cv_2026]) + SUMIF(tblCloudAOUnits[Products],$A30, tblCloudAOUnits[cv_2026])</f>
        <v>0</v>
      </c>
      <c r="K30" s="8">
        <f xml:space="preserve"> SUMIF(tblGoogleUnits[Products],$A30, tblGoogleUnits[cv_2027]) + SUMIF(tblMetaUnits[Products],$A30, tblMetaUnits[cv_2027]) + SUMIF(tblAmazonUnits[Products],$A30, tblAmazonUnits[cv_2027]) + SUMIF(tblMicrosoftUnits[Products],$A30, tblMicrosoftUnits[cv_2027]) + SUMIF(tblAppleUnits[Products],$A30, tblAppleUnits[cv_2027]) + SUMIF(tblAlibabaUnits[Products],$A30, tblAlibabaUnits[cv_2027]) + SUMIF(tblHuaweiUnits[Products],$A30, tblHuaweiUnits[cv_2027]) + SUMIF(tblTencentUnits[Products],$A30, tblTencentUnits[cv_2027]) + SUMIF(tblBaiduUnits[Products],$A30, tblBaiduUnits[cv_2027]) + SUMIF(tblByteDanceUnits[Products],$A30, tblByteDanceUnits[cv_2027]) + SUMIF(tblCloudAOUnits[Products],$A30, tblCloudAOUnits[cv_2027])</f>
        <v>0</v>
      </c>
      <c r="L30" s="8">
        <f xml:space="preserve"> SUMIF(tblGoogleUnits[Products],$A30, tblGoogleUnits[cv_2028]) + SUMIF(tblMetaUnits[Products],$A30, tblMetaUnits[cv_2028]) + SUMIF(tblAmazonUnits[Products],$A30, tblAmazonUnits[cv_2028]) + SUMIF(tblMicrosoftUnits[Products],$A30, tblMicrosoftUnits[cv_2028]) + SUMIF(tblAppleUnits[Products],$A30, tblAppleUnits[cv_2028]) + SUMIF(tblAlibabaUnits[Products],$A30, tblAlibabaUnits[cv_2028]) + SUMIF(tblHuaweiUnits[Products],$A30, tblHuaweiUnits[cv_2028]) + SUMIF(tblTencentUnits[Products],$A30, tblTencentUnits[cv_2028]) + SUMIF(tblBaiduUnits[Products],$A30, tblBaiduUnits[cv_2028]) + SUMIF(tblByteDanceUnits[Products],$A30, tblByteDanceUnits[cv_2028]) + SUMIF(tblCloudAOUnits[Products],$A30, tblCloudAOUnits[cv_2028])</f>
        <v>0</v>
      </c>
      <c r="M30" s="122">
        <f>10^-6*B30*INDEX(TotalMarket!$M$26:$W$125,MATCH($A30,$A$11:$A$132,0),MATCH(M$10,$M$10:$W$10))</f>
        <v>0</v>
      </c>
      <c r="N30" s="122">
        <f>10^-6*C30*INDEX(TotalMarket!$M$26:$W$125,MATCH($A30,$A$11:$A$132,0),MATCH(N$10,$M$10:$W$10))</f>
        <v>0</v>
      </c>
      <c r="O30" s="122">
        <f>10^-6*D30*INDEX(TotalMarket!$M$26:$W$125,MATCH($A30,$A$11:$A$132,0),MATCH(O$10,$M$10:$W$10))</f>
        <v>0</v>
      </c>
      <c r="P30" s="122">
        <f>10^-6*E30*INDEX(TotalMarket!$M$26:$W$125,MATCH($A30,$A$11:$A$132,0),MATCH(P$10,$M$10:$W$10))</f>
        <v>0</v>
      </c>
      <c r="Q30" s="122">
        <f>10^-6*F30*INDEX(TotalMarket!$M$26:$W$125,MATCH($A30,$A$11:$A$132,0),MATCH(Q$10,$M$10:$W$10))</f>
        <v>0</v>
      </c>
      <c r="R30" s="122">
        <f>10^-6*G30*INDEX(TotalMarket!$M$26:$W$125,MATCH($A30,$A$11:$A$132,0),MATCH(R$10,$M$10:$W$10))</f>
        <v>0</v>
      </c>
      <c r="S30" s="122">
        <f>10^-6*H30*INDEX(TotalMarket!$M$26:$W$125,MATCH($A30,$A$11:$A$132,0),MATCH(S$10,$M$10:$W$10))</f>
        <v>0</v>
      </c>
      <c r="T30" s="122">
        <f>10^-6*I30*INDEX(TotalMarket!$M$26:$W$125,MATCH($A30,$A$11:$A$132,0),MATCH(T$10,$M$10:$W$10))</f>
        <v>0</v>
      </c>
      <c r="U30" s="122">
        <f>10^-6*J30*INDEX(TotalMarket!$M$26:$W$125,MATCH($A30,$A$11:$A$132,0),MATCH(U$10,$M$10:$W$10))</f>
        <v>0</v>
      </c>
      <c r="V30" s="122">
        <f>10^-6*K30*INDEX(TotalMarket!$M$26:$W$125,MATCH($A30,$A$11:$A$132,0),MATCH(V$10,$M$10:$W$10))</f>
        <v>0</v>
      </c>
      <c r="W30" s="122">
        <f>10^-6*L30*INDEX(TotalMarket!$M$26:$W$125,MATCH($A30,$A$11:$A$132,0),MATCH(W$10,$M$10:$W$10))</f>
        <v>0</v>
      </c>
      <c r="X30" s="1">
        <f>VLOOKUP(A30,Products!$A$29:$F$110,6,FALSE)</f>
        <v>40</v>
      </c>
    </row>
    <row r="31" spans="1:24" s="1" customFormat="1">
      <c r="A31" s="15" t="s">
        <v>1</v>
      </c>
      <c r="B31" s="8">
        <f xml:space="preserve"> SUMIF(tblGoogleUnits[Products],$A31, tblGoogleUnits[cv_2018]) + SUMIF(tblMetaUnits[Products],$A31, tblMetaUnits[cv_2018]) + SUMIF(tblAmazonUnits[Products],$A31, tblAmazonUnits[cv_2018]) + SUMIF(tblMicrosoftUnits[Products],$A31, tblMicrosoftUnits[cv_2018]) + SUMIF(tblAppleUnits[Products],$A31, tblAppleUnits[cv_2018]) + SUMIF(tblAlibabaUnits[Products],$A31, tblAlibabaUnits[cv_2018]) + SUMIF(tblHuaweiUnits[Products],$A31, tblHuaweiUnits[cv_2018]) + SUMIF(tblTencentUnits[Products],$A31, tblTencentUnits[cv_2018]) + SUMIF(tblBaiduUnits[Products],$A31, tblBaiduUnits[cv_2018]) + SUMIF(tblByteDanceUnits[Products],$A31, tblByteDanceUnits[cv_2018]) + SUMIF(tblCloudAOUnits[Products],$A31, tblCloudAOUnits[cv_2018])</f>
        <v>417406.94999999995</v>
      </c>
      <c r="C31" s="8">
        <f xml:space="preserve"> SUMIF(tblGoogleUnits[Products],$A31, tblGoogleUnits[cv_2019]) + SUMIF(tblMetaUnits[Products],$A31, tblMetaUnits[cv_2019]) + SUMIF(tblAmazonUnits[Products],$A31, tblAmazonUnits[cv_2019]) + SUMIF(tblMicrosoftUnits[Products],$A31, tblMicrosoftUnits[cv_2019]) + SUMIF(tblAppleUnits[Products],$A31, tblAppleUnits[cv_2019]) + SUMIF(tblAlibabaUnits[Products],$A31, tblAlibabaUnits[cv_2019]) + SUMIF(tblHuaweiUnits[Products],$A31, tblHuaweiUnits[cv_2019]) + SUMIF(tblTencentUnits[Products],$A31, tblTencentUnits[cv_2019]) + SUMIF(tblBaiduUnits[Products],$A31, tblBaiduUnits[cv_2019]) + SUMIF(tblByteDanceUnits[Products],$A31, tblByteDanceUnits[cv_2019]) + SUMIF(tblCloudAOUnits[Products],$A31, tblCloudAOUnits[cv_2019])</f>
        <v>249571.89999999997</v>
      </c>
      <c r="D31" s="8">
        <f xml:space="preserve"> SUMIF(tblGoogleUnits[Products],$A31, tblGoogleUnits[cv_2020]) + SUMIF(tblMetaUnits[Products],$A31, tblMetaUnits[cv_2020]) + SUMIF(tblAmazonUnits[Products],$A31, tblAmazonUnits[cv_2020]) + SUMIF(tblMicrosoftUnits[Products],$A31, tblMicrosoftUnits[cv_2020]) + SUMIF(tblAppleUnits[Products],$A31, tblAppleUnits[cv_2020]) + SUMIF(tblAlibabaUnits[Products],$A31, tblAlibabaUnits[cv_2020]) + SUMIF(tblHuaweiUnits[Products],$A31, tblHuaweiUnits[cv_2020]) + SUMIF(tblTencentUnits[Products],$A31, tblTencentUnits[cv_2020]) + SUMIF(tblBaiduUnits[Products],$A31, tblBaiduUnits[cv_2020]) + SUMIF(tblByteDanceUnits[Products],$A31, tblByteDanceUnits[cv_2020]) + SUMIF(tblCloudAOUnits[Products],$A31, tblCloudAOUnits[cv_2020])</f>
        <v>0</v>
      </c>
      <c r="E31" s="8">
        <f xml:space="preserve"> SUMIF(tblGoogleUnits[Products],$A31, tblGoogleUnits[cv_2021]) + SUMIF(tblMetaUnits[Products],$A31, tblMetaUnits[cv_2021]) + SUMIF(tblAmazonUnits[Products],$A31, tblAmazonUnits[cv_2021]) + SUMIF(tblMicrosoftUnits[Products],$A31, tblMicrosoftUnits[cv_2021]) + SUMIF(tblAppleUnits[Products],$A31, tblAppleUnits[cv_2021]) + SUMIF(tblAlibabaUnits[Products],$A31, tblAlibabaUnits[cv_2021]) + SUMIF(tblHuaweiUnits[Products],$A31, tblHuaweiUnits[cv_2021]) + SUMIF(tblTencentUnits[Products],$A31, tblTencentUnits[cv_2021]) + SUMIF(tblBaiduUnits[Products],$A31, tblBaiduUnits[cv_2021]) + SUMIF(tblByteDanceUnits[Products],$A31, tblByteDanceUnits[cv_2021]) + SUMIF(tblCloudAOUnits[Products],$A31, tblCloudAOUnits[cv_2021])</f>
        <v>0</v>
      </c>
      <c r="F31" s="8">
        <f xml:space="preserve"> SUMIF(tblGoogleUnits[Products],$A31, tblGoogleUnits[cv_2022]) + SUMIF(tblMetaUnits[Products],$A31, tblMetaUnits[cv_2022]) + SUMIF(tblAmazonUnits[Products],$A31, tblAmazonUnits[cv_2022]) + SUMIF(tblMicrosoftUnits[Products],$A31, tblMicrosoftUnits[cv_2022]) + SUMIF(tblAppleUnits[Products],$A31, tblAppleUnits[cv_2022]) + SUMIF(tblAlibabaUnits[Products],$A31, tblAlibabaUnits[cv_2022]) + SUMIF(tblHuaweiUnits[Products],$A31, tblHuaweiUnits[cv_2022]) + SUMIF(tblTencentUnits[Products],$A31, tblTencentUnits[cv_2022]) + SUMIF(tblBaiduUnits[Products],$A31, tblBaiduUnits[cv_2022]) + SUMIF(tblByteDanceUnits[Products],$A31, tblByteDanceUnits[cv_2022]) + SUMIF(tblCloudAOUnits[Products],$A31, tblCloudAOUnits[cv_2022])</f>
        <v>0</v>
      </c>
      <c r="G31" s="8">
        <f xml:space="preserve"> SUMIF(tblGoogleUnits[Products],$A31, tblGoogleUnits[cv_2023]) + SUMIF(tblMetaUnits[Products],$A31, tblMetaUnits[cv_2023]) + SUMIF(tblAmazonUnits[Products],$A31, tblAmazonUnits[cv_2023]) + SUMIF(tblMicrosoftUnits[Products],$A31, tblMicrosoftUnits[cv_2023]) + SUMIF(tblAppleUnits[Products],$A31, tblAppleUnits[cv_2023]) + SUMIF(tblAlibabaUnits[Products],$A31, tblAlibabaUnits[cv_2023]) + SUMIF(tblHuaweiUnits[Products],$A31, tblHuaweiUnits[cv_2023]) + SUMIF(tblTencentUnits[Products],$A31, tblTencentUnits[cv_2023]) + SUMIF(tblBaiduUnits[Products],$A31, tblBaiduUnits[cv_2023]) + SUMIF(tblByteDanceUnits[Products],$A31, tblByteDanceUnits[cv_2023]) + SUMIF(tblCloudAOUnits[Products],$A31, tblCloudAOUnits[cv_2023])</f>
        <v>0</v>
      </c>
      <c r="H31" s="8">
        <f xml:space="preserve"> SUMIF(tblGoogleUnits[Products],$A31, tblGoogleUnits[cv_2024]) + SUMIF(tblMetaUnits[Products],$A31, tblMetaUnits[cv_2024]) + SUMIF(tblAmazonUnits[Products],$A31, tblAmazonUnits[cv_2024]) + SUMIF(tblMicrosoftUnits[Products],$A31, tblMicrosoftUnits[cv_2024]) + SUMIF(tblAppleUnits[Products],$A31, tblAppleUnits[cv_2024]) + SUMIF(tblAlibabaUnits[Products],$A31, tblAlibabaUnits[cv_2024]) + SUMIF(tblHuaweiUnits[Products],$A31, tblHuaweiUnits[cv_2024]) + SUMIF(tblTencentUnits[Products],$A31, tblTencentUnits[cv_2024]) + SUMIF(tblBaiduUnits[Products],$A31, tblBaiduUnits[cv_2024]) + SUMIF(tblByteDanceUnits[Products],$A31, tblByteDanceUnits[cv_2024]) + SUMIF(tblCloudAOUnits[Products],$A31, tblCloudAOUnits[cv_2024])</f>
        <v>0</v>
      </c>
      <c r="I31" s="8">
        <f xml:space="preserve"> SUMIF(tblGoogleUnits[Products],$A31, tblGoogleUnits[cv_2025]) + SUMIF(tblMetaUnits[Products],$A31, tblMetaUnits[cv_2025]) + SUMIF(tblAmazonUnits[Products],$A31, tblAmazonUnits[cv_2025]) + SUMIF(tblMicrosoftUnits[Products],$A31, tblMicrosoftUnits[cv_2025]) + SUMIF(tblAppleUnits[Products],$A31, tblAppleUnits[cv_2025]) + SUMIF(tblAlibabaUnits[Products],$A31, tblAlibabaUnits[cv_2025]) + SUMIF(tblHuaweiUnits[Products],$A31, tblHuaweiUnits[cv_2025]) + SUMIF(tblTencentUnits[Products],$A31, tblTencentUnits[cv_2025]) + SUMIF(tblBaiduUnits[Products],$A31, tblBaiduUnits[cv_2025]) + SUMIF(tblByteDanceUnits[Products],$A31, tblByteDanceUnits[cv_2025]) + SUMIF(tblCloudAOUnits[Products],$A31, tblCloudAOUnits[cv_2025])</f>
        <v>0</v>
      </c>
      <c r="J31" s="8">
        <f xml:space="preserve"> SUMIF(tblGoogleUnits[Products],$A31, tblGoogleUnits[cv_2026]) + SUMIF(tblMetaUnits[Products],$A31, tblMetaUnits[cv_2026]) + SUMIF(tblAmazonUnits[Products],$A31, tblAmazonUnits[cv_2026]) + SUMIF(tblMicrosoftUnits[Products],$A31, tblMicrosoftUnits[cv_2026]) + SUMIF(tblAppleUnits[Products],$A31, tblAppleUnits[cv_2026]) + SUMIF(tblAlibabaUnits[Products],$A31, tblAlibabaUnits[cv_2026]) + SUMIF(tblHuaweiUnits[Products],$A31, tblHuaweiUnits[cv_2026]) + SUMIF(tblTencentUnits[Products],$A31, tblTencentUnits[cv_2026]) + SUMIF(tblBaiduUnits[Products],$A31, tblBaiduUnits[cv_2026]) + SUMIF(tblByteDanceUnits[Products],$A31, tblByteDanceUnits[cv_2026]) + SUMIF(tblCloudAOUnits[Products],$A31, tblCloudAOUnits[cv_2026])</f>
        <v>0</v>
      </c>
      <c r="K31" s="8">
        <f xml:space="preserve"> SUMIF(tblGoogleUnits[Products],$A31, tblGoogleUnits[cv_2027]) + SUMIF(tblMetaUnits[Products],$A31, tblMetaUnits[cv_2027]) + SUMIF(tblAmazonUnits[Products],$A31, tblAmazonUnits[cv_2027]) + SUMIF(tblMicrosoftUnits[Products],$A31, tblMicrosoftUnits[cv_2027]) + SUMIF(tblAppleUnits[Products],$A31, tblAppleUnits[cv_2027]) + SUMIF(tblAlibabaUnits[Products],$A31, tblAlibabaUnits[cv_2027]) + SUMIF(tblHuaweiUnits[Products],$A31, tblHuaweiUnits[cv_2027]) + SUMIF(tblTencentUnits[Products],$A31, tblTencentUnits[cv_2027]) + SUMIF(tblBaiduUnits[Products],$A31, tblBaiduUnits[cv_2027]) + SUMIF(tblByteDanceUnits[Products],$A31, tblByteDanceUnits[cv_2027]) + SUMIF(tblCloudAOUnits[Products],$A31, tblCloudAOUnits[cv_2027])</f>
        <v>0</v>
      </c>
      <c r="L31" s="8">
        <f xml:space="preserve"> SUMIF(tblGoogleUnits[Products],$A31, tblGoogleUnits[cv_2028]) + SUMIF(tblMetaUnits[Products],$A31, tblMetaUnits[cv_2028]) + SUMIF(tblAmazonUnits[Products],$A31, tblAmazonUnits[cv_2028]) + SUMIF(tblMicrosoftUnits[Products],$A31, tblMicrosoftUnits[cv_2028]) + SUMIF(tblAppleUnits[Products],$A31, tblAppleUnits[cv_2028]) + SUMIF(tblAlibabaUnits[Products],$A31, tblAlibabaUnits[cv_2028]) + SUMIF(tblHuaweiUnits[Products],$A31, tblHuaweiUnits[cv_2028]) + SUMIF(tblTencentUnits[Products],$A31, tblTencentUnits[cv_2028]) + SUMIF(tblBaiduUnits[Products],$A31, tblBaiduUnits[cv_2028]) + SUMIF(tblByteDanceUnits[Products],$A31, tblByteDanceUnits[cv_2028]) + SUMIF(tblCloudAOUnits[Products],$A31, tblCloudAOUnits[cv_2028])</f>
        <v>0</v>
      </c>
      <c r="M31" s="122">
        <f>10^-6*B31*INDEX(TotalMarket!$M$26:$W$125,MATCH($A31,$A$11:$A$132,0),MATCH(M$10,$M$10:$W$10))</f>
        <v>26.651817992802915</v>
      </c>
      <c r="N31" s="122">
        <f>10^-6*C31*INDEX(TotalMarket!$M$26:$W$125,MATCH($A31,$A$11:$A$132,0),MATCH(N$10,$M$10:$W$10))</f>
        <v>15.485078149999994</v>
      </c>
      <c r="O31" s="122">
        <f>10^-6*D31*INDEX(TotalMarket!$M$26:$W$125,MATCH($A31,$A$11:$A$132,0),MATCH(O$10,$M$10:$W$10))</f>
        <v>0</v>
      </c>
      <c r="P31" s="122">
        <f>10^-6*E31*INDEX(TotalMarket!$M$26:$W$125,MATCH($A31,$A$11:$A$132,0),MATCH(P$10,$M$10:$W$10))</f>
        <v>0</v>
      </c>
      <c r="Q31" s="122">
        <f>10^-6*F31*INDEX(TotalMarket!$M$26:$W$125,MATCH($A31,$A$11:$A$132,0),MATCH(Q$10,$M$10:$W$10))</f>
        <v>0</v>
      </c>
      <c r="R31" s="122">
        <f>10^-6*G31*INDEX(TotalMarket!$M$26:$W$125,MATCH($A31,$A$11:$A$132,0),MATCH(R$10,$M$10:$W$10))</f>
        <v>0</v>
      </c>
      <c r="S31" s="122">
        <f>10^-6*H31*INDEX(TotalMarket!$M$26:$W$125,MATCH($A31,$A$11:$A$132,0),MATCH(S$10,$M$10:$W$10))</f>
        <v>0</v>
      </c>
      <c r="T31" s="122">
        <f>10^-6*I31*INDEX(TotalMarket!$M$26:$W$125,MATCH($A31,$A$11:$A$132,0),MATCH(T$10,$M$10:$W$10))</f>
        <v>0</v>
      </c>
      <c r="U31" s="122">
        <f>10^-6*J31*INDEX(TotalMarket!$M$26:$W$125,MATCH($A31,$A$11:$A$132,0),MATCH(U$10,$M$10:$W$10))</f>
        <v>0</v>
      </c>
      <c r="V31" s="122">
        <f>10^-6*K31*INDEX(TotalMarket!$M$26:$W$125,MATCH($A31,$A$11:$A$132,0),MATCH(V$10,$M$10:$W$10))</f>
        <v>0</v>
      </c>
      <c r="W31" s="122">
        <f>10^-6*L31*INDEX(TotalMarket!$M$26:$W$125,MATCH($A31,$A$11:$A$132,0),MATCH(W$10,$M$10:$W$10))</f>
        <v>0</v>
      </c>
      <c r="X31" s="1">
        <f>VLOOKUP(A31,Products!$A$29:$F$110,6,FALSE)</f>
        <v>40</v>
      </c>
    </row>
    <row r="32" spans="1:24" s="1" customFormat="1">
      <c r="A32" s="15" t="s">
        <v>168</v>
      </c>
      <c r="B32" s="8">
        <f xml:space="preserve"> SUMIF(tblGoogleUnits[Products],$A32, tblGoogleUnits[cv_2018]) + SUMIF(tblMetaUnits[Products],$A32, tblMetaUnits[cv_2018]) + SUMIF(tblAmazonUnits[Products],$A32, tblAmazonUnits[cv_2018]) + SUMIF(tblMicrosoftUnits[Products],$A32, tblMicrosoftUnits[cv_2018]) + SUMIF(tblAppleUnits[Products],$A32, tblAppleUnits[cv_2018]) + SUMIF(tblAlibabaUnits[Products],$A32, tblAlibabaUnits[cv_2018]) + SUMIF(tblHuaweiUnits[Products],$A32, tblHuaweiUnits[cv_2018]) + SUMIF(tblTencentUnits[Products],$A32, tblTencentUnits[cv_2018]) + SUMIF(tblBaiduUnits[Products],$A32, tblBaiduUnits[cv_2018]) + SUMIF(tblByteDanceUnits[Products],$A32, tblByteDanceUnits[cv_2018]) + SUMIF(tblCloudAOUnits[Products],$A32, tblCloudAOUnits[cv_2018])</f>
        <v>502708</v>
      </c>
      <c r="C32" s="8">
        <f xml:space="preserve"> SUMIF(tblGoogleUnits[Products],$A32, tblGoogleUnits[cv_2019]) + SUMIF(tblMetaUnits[Products],$A32, tblMetaUnits[cv_2019]) + SUMIF(tblAmazonUnits[Products],$A32, tblAmazonUnits[cv_2019]) + SUMIF(tblMicrosoftUnits[Products],$A32, tblMicrosoftUnits[cv_2019]) + SUMIF(tblAppleUnits[Products],$A32, tblAppleUnits[cv_2019]) + SUMIF(tblAlibabaUnits[Products],$A32, tblAlibabaUnits[cv_2019]) + SUMIF(tblHuaweiUnits[Products],$A32, tblHuaweiUnits[cv_2019]) + SUMIF(tblTencentUnits[Products],$A32, tblTencentUnits[cv_2019]) + SUMIF(tblBaiduUnits[Products],$A32, tblBaiduUnits[cv_2019]) + SUMIF(tblByteDanceUnits[Products],$A32, tblByteDanceUnits[cv_2019]) + SUMIF(tblCloudAOUnits[Products],$A32, tblCloudAOUnits[cv_2019])</f>
        <v>496500</v>
      </c>
      <c r="D32" s="8">
        <f xml:space="preserve"> SUMIF(tblGoogleUnits[Products],$A32, tblGoogleUnits[cv_2020]) + SUMIF(tblMetaUnits[Products],$A32, tblMetaUnits[cv_2020]) + SUMIF(tblAmazonUnits[Products],$A32, tblAmazonUnits[cv_2020]) + SUMIF(tblMicrosoftUnits[Products],$A32, tblMicrosoftUnits[cv_2020]) + SUMIF(tblAppleUnits[Products],$A32, tblAppleUnits[cv_2020]) + SUMIF(tblAlibabaUnits[Products],$A32, tblAlibabaUnits[cv_2020]) + SUMIF(tblHuaweiUnits[Products],$A32, tblHuaweiUnits[cv_2020]) + SUMIF(tblTencentUnits[Products],$A32, tblTencentUnits[cv_2020]) + SUMIF(tblBaiduUnits[Products],$A32, tblBaiduUnits[cv_2020]) + SUMIF(tblByteDanceUnits[Products],$A32, tblByteDanceUnits[cv_2020]) + SUMIF(tblCloudAOUnits[Products],$A32, tblCloudAOUnits[cv_2020])</f>
        <v>0</v>
      </c>
      <c r="E32" s="8">
        <f xml:space="preserve"> SUMIF(tblGoogleUnits[Products],$A32, tblGoogleUnits[cv_2021]) + SUMIF(tblMetaUnits[Products],$A32, tblMetaUnits[cv_2021]) + SUMIF(tblAmazonUnits[Products],$A32, tblAmazonUnits[cv_2021]) + SUMIF(tblMicrosoftUnits[Products],$A32, tblMicrosoftUnits[cv_2021]) + SUMIF(tblAppleUnits[Products],$A32, tblAppleUnits[cv_2021]) + SUMIF(tblAlibabaUnits[Products],$A32, tblAlibabaUnits[cv_2021]) + SUMIF(tblHuaweiUnits[Products],$A32, tblHuaweiUnits[cv_2021]) + SUMIF(tblTencentUnits[Products],$A32, tblTencentUnits[cv_2021]) + SUMIF(tblBaiduUnits[Products],$A32, tblBaiduUnits[cv_2021]) + SUMIF(tblByteDanceUnits[Products],$A32, tblByteDanceUnits[cv_2021]) + SUMIF(tblCloudAOUnits[Products],$A32, tblCloudAOUnits[cv_2021])</f>
        <v>0</v>
      </c>
      <c r="F32" s="8">
        <f xml:space="preserve"> SUMIF(tblGoogleUnits[Products],$A32, tblGoogleUnits[cv_2022]) + SUMIF(tblMetaUnits[Products],$A32, tblMetaUnits[cv_2022]) + SUMIF(tblAmazonUnits[Products],$A32, tblAmazonUnits[cv_2022]) + SUMIF(tblMicrosoftUnits[Products],$A32, tblMicrosoftUnits[cv_2022]) + SUMIF(tblAppleUnits[Products],$A32, tblAppleUnits[cv_2022]) + SUMIF(tblAlibabaUnits[Products],$A32, tblAlibabaUnits[cv_2022]) + SUMIF(tblHuaweiUnits[Products],$A32, tblHuaweiUnits[cv_2022]) + SUMIF(tblTencentUnits[Products],$A32, tblTencentUnits[cv_2022]) + SUMIF(tblBaiduUnits[Products],$A32, tblBaiduUnits[cv_2022]) + SUMIF(tblByteDanceUnits[Products],$A32, tblByteDanceUnits[cv_2022]) + SUMIF(tblCloudAOUnits[Products],$A32, tblCloudAOUnits[cv_2022])</f>
        <v>0</v>
      </c>
      <c r="G32" s="8">
        <f xml:space="preserve"> SUMIF(tblGoogleUnits[Products],$A32, tblGoogleUnits[cv_2023]) + SUMIF(tblMetaUnits[Products],$A32, tblMetaUnits[cv_2023]) + SUMIF(tblAmazonUnits[Products],$A32, tblAmazonUnits[cv_2023]) + SUMIF(tblMicrosoftUnits[Products],$A32, tblMicrosoftUnits[cv_2023]) + SUMIF(tblAppleUnits[Products],$A32, tblAppleUnits[cv_2023]) + SUMIF(tblAlibabaUnits[Products],$A32, tblAlibabaUnits[cv_2023]) + SUMIF(tblHuaweiUnits[Products],$A32, tblHuaweiUnits[cv_2023]) + SUMIF(tblTencentUnits[Products],$A32, tblTencentUnits[cv_2023]) + SUMIF(tblBaiduUnits[Products],$A32, tblBaiduUnits[cv_2023]) + SUMIF(tblByteDanceUnits[Products],$A32, tblByteDanceUnits[cv_2023]) + SUMIF(tblCloudAOUnits[Products],$A32, tblCloudAOUnits[cv_2023])</f>
        <v>0</v>
      </c>
      <c r="H32" s="8">
        <f xml:space="preserve"> SUMIF(tblGoogleUnits[Products],$A32, tblGoogleUnits[cv_2024]) + SUMIF(tblMetaUnits[Products],$A32, tblMetaUnits[cv_2024]) + SUMIF(tblAmazonUnits[Products],$A32, tblAmazonUnits[cv_2024]) + SUMIF(tblMicrosoftUnits[Products],$A32, tblMicrosoftUnits[cv_2024]) + SUMIF(tblAppleUnits[Products],$A32, tblAppleUnits[cv_2024]) + SUMIF(tblAlibabaUnits[Products],$A32, tblAlibabaUnits[cv_2024]) + SUMIF(tblHuaweiUnits[Products],$A32, tblHuaweiUnits[cv_2024]) + SUMIF(tblTencentUnits[Products],$A32, tblTencentUnits[cv_2024]) + SUMIF(tblBaiduUnits[Products],$A32, tblBaiduUnits[cv_2024]) + SUMIF(tblByteDanceUnits[Products],$A32, tblByteDanceUnits[cv_2024]) + SUMIF(tblCloudAOUnits[Products],$A32, tblCloudAOUnits[cv_2024])</f>
        <v>0</v>
      </c>
      <c r="I32" s="8">
        <f xml:space="preserve"> SUMIF(tblGoogleUnits[Products],$A32, tblGoogleUnits[cv_2025]) + SUMIF(tblMetaUnits[Products],$A32, tblMetaUnits[cv_2025]) + SUMIF(tblAmazonUnits[Products],$A32, tblAmazonUnits[cv_2025]) + SUMIF(tblMicrosoftUnits[Products],$A32, tblMicrosoftUnits[cv_2025]) + SUMIF(tblAppleUnits[Products],$A32, tblAppleUnits[cv_2025]) + SUMIF(tblAlibabaUnits[Products],$A32, tblAlibabaUnits[cv_2025]) + SUMIF(tblHuaweiUnits[Products],$A32, tblHuaweiUnits[cv_2025]) + SUMIF(tblTencentUnits[Products],$A32, tblTencentUnits[cv_2025]) + SUMIF(tblBaiduUnits[Products],$A32, tblBaiduUnits[cv_2025]) + SUMIF(tblByteDanceUnits[Products],$A32, tblByteDanceUnits[cv_2025]) + SUMIF(tblCloudAOUnits[Products],$A32, tblCloudAOUnits[cv_2025])</f>
        <v>0</v>
      </c>
      <c r="J32" s="8">
        <f xml:space="preserve"> SUMIF(tblGoogleUnits[Products],$A32, tblGoogleUnits[cv_2026]) + SUMIF(tblMetaUnits[Products],$A32, tblMetaUnits[cv_2026]) + SUMIF(tblAmazonUnits[Products],$A32, tblAmazonUnits[cv_2026]) + SUMIF(tblMicrosoftUnits[Products],$A32, tblMicrosoftUnits[cv_2026]) + SUMIF(tblAppleUnits[Products],$A32, tblAppleUnits[cv_2026]) + SUMIF(tblAlibabaUnits[Products],$A32, tblAlibabaUnits[cv_2026]) + SUMIF(tblHuaweiUnits[Products],$A32, tblHuaweiUnits[cv_2026]) + SUMIF(tblTencentUnits[Products],$A32, tblTencentUnits[cv_2026]) + SUMIF(tblBaiduUnits[Products],$A32, tblBaiduUnits[cv_2026]) + SUMIF(tblByteDanceUnits[Products],$A32, tblByteDanceUnits[cv_2026]) + SUMIF(tblCloudAOUnits[Products],$A32, tblCloudAOUnits[cv_2026])</f>
        <v>0</v>
      </c>
      <c r="K32" s="8">
        <f xml:space="preserve"> SUMIF(tblGoogleUnits[Products],$A32, tblGoogleUnits[cv_2027]) + SUMIF(tblMetaUnits[Products],$A32, tblMetaUnits[cv_2027]) + SUMIF(tblAmazonUnits[Products],$A32, tblAmazonUnits[cv_2027]) + SUMIF(tblMicrosoftUnits[Products],$A32, tblMicrosoftUnits[cv_2027]) + SUMIF(tblAppleUnits[Products],$A32, tblAppleUnits[cv_2027]) + SUMIF(tblAlibabaUnits[Products],$A32, tblAlibabaUnits[cv_2027]) + SUMIF(tblHuaweiUnits[Products],$A32, tblHuaweiUnits[cv_2027]) + SUMIF(tblTencentUnits[Products],$A32, tblTencentUnits[cv_2027]) + SUMIF(tblBaiduUnits[Products],$A32, tblBaiduUnits[cv_2027]) + SUMIF(tblByteDanceUnits[Products],$A32, tblByteDanceUnits[cv_2027]) + SUMIF(tblCloudAOUnits[Products],$A32, tblCloudAOUnits[cv_2027])</f>
        <v>0</v>
      </c>
      <c r="L32" s="8">
        <f xml:space="preserve"> SUMIF(tblGoogleUnits[Products],$A32, tblGoogleUnits[cv_2028]) + SUMIF(tblMetaUnits[Products],$A32, tblMetaUnits[cv_2028]) + SUMIF(tblAmazonUnits[Products],$A32, tblAmazonUnits[cv_2028]) + SUMIF(tblMicrosoftUnits[Products],$A32, tblMicrosoftUnits[cv_2028]) + SUMIF(tblAppleUnits[Products],$A32, tblAppleUnits[cv_2028]) + SUMIF(tblAlibabaUnits[Products],$A32, tblAlibabaUnits[cv_2028]) + SUMIF(tblHuaweiUnits[Products],$A32, tblHuaweiUnits[cv_2028]) + SUMIF(tblTencentUnits[Products],$A32, tblTencentUnits[cv_2028]) + SUMIF(tblBaiduUnits[Products],$A32, tblBaiduUnits[cv_2028]) + SUMIF(tblByteDanceUnits[Products],$A32, tblByteDanceUnits[cv_2028]) + SUMIF(tblCloudAOUnits[Products],$A32, tblCloudAOUnits[cv_2028])</f>
        <v>0</v>
      </c>
      <c r="M32" s="122">
        <f>10^-6*B32*INDEX(TotalMarket!$M$26:$W$125,MATCH($A32,$A$11:$A$132,0),MATCH(M$10,$M$10:$W$10))</f>
        <v>126.55714999999998</v>
      </c>
      <c r="N32" s="122">
        <f>10^-6*C32*INDEX(TotalMarket!$M$26:$W$125,MATCH($A32,$A$11:$A$132,0),MATCH(N$10,$M$10:$W$10))</f>
        <v>113.74785699999998</v>
      </c>
      <c r="O32" s="122">
        <f>10^-6*D32*INDEX(TotalMarket!$M$26:$W$125,MATCH($A32,$A$11:$A$132,0),MATCH(O$10,$M$10:$W$10))</f>
        <v>0</v>
      </c>
      <c r="P32" s="122">
        <f>10^-6*E32*INDEX(TotalMarket!$M$26:$W$125,MATCH($A32,$A$11:$A$132,0),MATCH(P$10,$M$10:$W$10))</f>
        <v>0</v>
      </c>
      <c r="Q32" s="122">
        <f>10^-6*F32*INDEX(TotalMarket!$M$26:$W$125,MATCH($A32,$A$11:$A$132,0),MATCH(Q$10,$M$10:$W$10))</f>
        <v>0</v>
      </c>
      <c r="R32" s="122">
        <f>10^-6*G32*INDEX(TotalMarket!$M$26:$W$125,MATCH($A32,$A$11:$A$132,0),MATCH(R$10,$M$10:$W$10))</f>
        <v>0</v>
      </c>
      <c r="S32" s="122">
        <f>10^-6*H32*INDEX(TotalMarket!$M$26:$W$125,MATCH($A32,$A$11:$A$132,0),MATCH(S$10,$M$10:$W$10))</f>
        <v>0</v>
      </c>
      <c r="T32" s="122">
        <f>10^-6*I32*INDEX(TotalMarket!$M$26:$W$125,MATCH($A32,$A$11:$A$132,0),MATCH(T$10,$M$10:$W$10))</f>
        <v>0</v>
      </c>
      <c r="U32" s="122">
        <f>10^-6*J32*INDEX(TotalMarket!$M$26:$W$125,MATCH($A32,$A$11:$A$132,0),MATCH(U$10,$M$10:$W$10))</f>
        <v>0</v>
      </c>
      <c r="V32" s="122">
        <f>10^-6*K32*INDEX(TotalMarket!$M$26:$W$125,MATCH($A32,$A$11:$A$132,0),MATCH(V$10,$M$10:$W$10))</f>
        <v>0</v>
      </c>
      <c r="W32" s="122">
        <f>10^-6*L32*INDEX(TotalMarket!$M$26:$W$125,MATCH($A32,$A$11:$A$132,0),MATCH(W$10,$M$10:$W$10))</f>
        <v>0</v>
      </c>
      <c r="X32" s="1">
        <f>VLOOKUP(A32,Products!$A$29:$F$110,6,FALSE)</f>
        <v>40</v>
      </c>
    </row>
    <row r="33" spans="1:24" s="1" customFormat="1">
      <c r="A33" s="15" t="s">
        <v>169</v>
      </c>
      <c r="B33" s="8">
        <f xml:space="preserve"> SUMIF(tblGoogleUnits[Products],$A33, tblGoogleUnits[cv_2018]) + SUMIF(tblMetaUnits[Products],$A33, tblMetaUnits[cv_2018]) + SUMIF(tblAmazonUnits[Products],$A33, tblAmazonUnits[cv_2018]) + SUMIF(tblMicrosoftUnits[Products],$A33, tblMicrosoftUnits[cv_2018]) + SUMIF(tblAppleUnits[Products],$A33, tblAppleUnits[cv_2018]) + SUMIF(tblAlibabaUnits[Products],$A33, tblAlibabaUnits[cv_2018]) + SUMIF(tblHuaweiUnits[Products],$A33, tblHuaweiUnits[cv_2018]) + SUMIF(tblTencentUnits[Products],$A33, tblTencentUnits[cv_2018]) + SUMIF(tblBaiduUnits[Products],$A33, tblBaiduUnits[cv_2018]) + SUMIF(tblByteDanceUnits[Products],$A33, tblByteDanceUnits[cv_2018]) + SUMIF(tblCloudAOUnits[Products],$A33, tblCloudAOUnits[cv_2018])</f>
        <v>0</v>
      </c>
      <c r="C33" s="8">
        <f xml:space="preserve"> SUMIF(tblGoogleUnits[Products],$A33, tblGoogleUnits[cv_2019]) + SUMIF(tblMetaUnits[Products],$A33, tblMetaUnits[cv_2019]) + SUMIF(tblAmazonUnits[Products],$A33, tblAmazonUnits[cv_2019]) + SUMIF(tblMicrosoftUnits[Products],$A33, tblMicrosoftUnits[cv_2019]) + SUMIF(tblAppleUnits[Products],$A33, tblAppleUnits[cv_2019]) + SUMIF(tblAlibabaUnits[Products],$A33, tblAlibabaUnits[cv_2019]) + SUMIF(tblHuaweiUnits[Products],$A33, tblHuaweiUnits[cv_2019]) + SUMIF(tblTencentUnits[Products],$A33, tblTencentUnits[cv_2019]) + SUMIF(tblBaiduUnits[Products],$A33, tblBaiduUnits[cv_2019]) + SUMIF(tblByteDanceUnits[Products],$A33, tblByteDanceUnits[cv_2019]) + SUMIF(tblCloudAOUnits[Products],$A33, tblCloudAOUnits[cv_2019])</f>
        <v>0</v>
      </c>
      <c r="D33" s="8">
        <f xml:space="preserve"> SUMIF(tblGoogleUnits[Products],$A33, tblGoogleUnits[cv_2020]) + SUMIF(tblMetaUnits[Products],$A33, tblMetaUnits[cv_2020]) + SUMIF(tblAmazonUnits[Products],$A33, tblAmazonUnits[cv_2020]) + SUMIF(tblMicrosoftUnits[Products],$A33, tblMicrosoftUnits[cv_2020]) + SUMIF(tblAppleUnits[Products],$A33, tblAppleUnits[cv_2020]) + SUMIF(tblAlibabaUnits[Products],$A33, tblAlibabaUnits[cv_2020]) + SUMIF(tblHuaweiUnits[Products],$A33, tblHuaweiUnits[cv_2020]) + SUMIF(tblTencentUnits[Products],$A33, tblTencentUnits[cv_2020]) + SUMIF(tblBaiduUnits[Products],$A33, tblBaiduUnits[cv_2020]) + SUMIF(tblByteDanceUnits[Products],$A33, tblByteDanceUnits[cv_2020]) + SUMIF(tblCloudAOUnits[Products],$A33, tblCloudAOUnits[cv_2020])</f>
        <v>0</v>
      </c>
      <c r="E33" s="8">
        <f xml:space="preserve"> SUMIF(tblGoogleUnits[Products],$A33, tblGoogleUnits[cv_2021]) + SUMIF(tblMetaUnits[Products],$A33, tblMetaUnits[cv_2021]) + SUMIF(tblAmazonUnits[Products],$A33, tblAmazonUnits[cv_2021]) + SUMIF(tblMicrosoftUnits[Products],$A33, tblMicrosoftUnits[cv_2021]) + SUMIF(tblAppleUnits[Products],$A33, tblAppleUnits[cv_2021]) + SUMIF(tblAlibabaUnits[Products],$A33, tblAlibabaUnits[cv_2021]) + SUMIF(tblHuaweiUnits[Products],$A33, tblHuaweiUnits[cv_2021]) + SUMIF(tblTencentUnits[Products],$A33, tblTencentUnits[cv_2021]) + SUMIF(tblBaiduUnits[Products],$A33, tblBaiduUnits[cv_2021]) + SUMIF(tblByteDanceUnits[Products],$A33, tblByteDanceUnits[cv_2021]) + SUMIF(tblCloudAOUnits[Products],$A33, tblCloudAOUnits[cv_2021])</f>
        <v>0</v>
      </c>
      <c r="F33" s="8">
        <f xml:space="preserve"> SUMIF(tblGoogleUnits[Products],$A33, tblGoogleUnits[cv_2022]) + SUMIF(tblMetaUnits[Products],$A33, tblMetaUnits[cv_2022]) + SUMIF(tblAmazonUnits[Products],$A33, tblAmazonUnits[cv_2022]) + SUMIF(tblMicrosoftUnits[Products],$A33, tblMicrosoftUnits[cv_2022]) + SUMIF(tblAppleUnits[Products],$A33, tblAppleUnits[cv_2022]) + SUMIF(tblAlibabaUnits[Products],$A33, tblAlibabaUnits[cv_2022]) + SUMIF(tblHuaweiUnits[Products],$A33, tblHuaweiUnits[cv_2022]) + SUMIF(tblTencentUnits[Products],$A33, tblTencentUnits[cv_2022]) + SUMIF(tblBaiduUnits[Products],$A33, tblBaiduUnits[cv_2022]) + SUMIF(tblByteDanceUnits[Products],$A33, tblByteDanceUnits[cv_2022]) + SUMIF(tblCloudAOUnits[Products],$A33, tblCloudAOUnits[cv_2022])</f>
        <v>0</v>
      </c>
      <c r="G33" s="8">
        <f xml:space="preserve"> SUMIF(tblGoogleUnits[Products],$A33, tblGoogleUnits[cv_2023]) + SUMIF(tblMetaUnits[Products],$A33, tblMetaUnits[cv_2023]) + SUMIF(tblAmazonUnits[Products],$A33, tblAmazonUnits[cv_2023]) + SUMIF(tblMicrosoftUnits[Products],$A33, tblMicrosoftUnits[cv_2023]) + SUMIF(tblAppleUnits[Products],$A33, tblAppleUnits[cv_2023]) + SUMIF(tblAlibabaUnits[Products],$A33, tblAlibabaUnits[cv_2023]) + SUMIF(tblHuaweiUnits[Products],$A33, tblHuaweiUnits[cv_2023]) + SUMIF(tblTencentUnits[Products],$A33, tblTencentUnits[cv_2023]) + SUMIF(tblBaiduUnits[Products],$A33, tblBaiduUnits[cv_2023]) + SUMIF(tblByteDanceUnits[Products],$A33, tblByteDanceUnits[cv_2023]) + SUMIF(tblCloudAOUnits[Products],$A33, tblCloudAOUnits[cv_2023])</f>
        <v>0</v>
      </c>
      <c r="H33" s="8">
        <f xml:space="preserve"> SUMIF(tblGoogleUnits[Products],$A33, tblGoogleUnits[cv_2024]) + SUMIF(tblMetaUnits[Products],$A33, tblMetaUnits[cv_2024]) + SUMIF(tblAmazonUnits[Products],$A33, tblAmazonUnits[cv_2024]) + SUMIF(tblMicrosoftUnits[Products],$A33, tblMicrosoftUnits[cv_2024]) + SUMIF(tblAppleUnits[Products],$A33, tblAppleUnits[cv_2024]) + SUMIF(tblAlibabaUnits[Products],$A33, tblAlibabaUnits[cv_2024]) + SUMIF(tblHuaweiUnits[Products],$A33, tblHuaweiUnits[cv_2024]) + SUMIF(tblTencentUnits[Products],$A33, tblTencentUnits[cv_2024]) + SUMIF(tblBaiduUnits[Products],$A33, tblBaiduUnits[cv_2024]) + SUMIF(tblByteDanceUnits[Products],$A33, tblByteDanceUnits[cv_2024]) + SUMIF(tblCloudAOUnits[Products],$A33, tblCloudAOUnits[cv_2024])</f>
        <v>0</v>
      </c>
      <c r="I33" s="8">
        <f xml:space="preserve"> SUMIF(tblGoogleUnits[Products],$A33, tblGoogleUnits[cv_2025]) + SUMIF(tblMetaUnits[Products],$A33, tblMetaUnits[cv_2025]) + SUMIF(tblAmazonUnits[Products],$A33, tblAmazonUnits[cv_2025]) + SUMIF(tblMicrosoftUnits[Products],$A33, tblMicrosoftUnits[cv_2025]) + SUMIF(tblAppleUnits[Products],$A33, tblAppleUnits[cv_2025]) + SUMIF(tblAlibabaUnits[Products],$A33, tblAlibabaUnits[cv_2025]) + SUMIF(tblHuaweiUnits[Products],$A33, tblHuaweiUnits[cv_2025]) + SUMIF(tblTencentUnits[Products],$A33, tblTencentUnits[cv_2025]) + SUMIF(tblBaiduUnits[Products],$A33, tblBaiduUnits[cv_2025]) + SUMIF(tblByteDanceUnits[Products],$A33, tblByteDanceUnits[cv_2025]) + SUMIF(tblCloudAOUnits[Products],$A33, tblCloudAOUnits[cv_2025])</f>
        <v>0</v>
      </c>
      <c r="J33" s="8">
        <f xml:space="preserve"> SUMIF(tblGoogleUnits[Products],$A33, tblGoogleUnits[cv_2026]) + SUMIF(tblMetaUnits[Products],$A33, tblMetaUnits[cv_2026]) + SUMIF(tblAmazonUnits[Products],$A33, tblAmazonUnits[cv_2026]) + SUMIF(tblMicrosoftUnits[Products],$A33, tblMicrosoftUnits[cv_2026]) + SUMIF(tblAppleUnits[Products],$A33, tblAppleUnits[cv_2026]) + SUMIF(tblAlibabaUnits[Products],$A33, tblAlibabaUnits[cv_2026]) + SUMIF(tblHuaweiUnits[Products],$A33, tblHuaweiUnits[cv_2026]) + SUMIF(tblTencentUnits[Products],$A33, tblTencentUnits[cv_2026]) + SUMIF(tblBaiduUnits[Products],$A33, tblBaiduUnits[cv_2026]) + SUMIF(tblByteDanceUnits[Products],$A33, tblByteDanceUnits[cv_2026]) + SUMIF(tblCloudAOUnits[Products],$A33, tblCloudAOUnits[cv_2026])</f>
        <v>0</v>
      </c>
      <c r="K33" s="8">
        <f xml:space="preserve"> SUMIF(tblGoogleUnits[Products],$A33, tblGoogleUnits[cv_2027]) + SUMIF(tblMetaUnits[Products],$A33, tblMetaUnits[cv_2027]) + SUMIF(tblAmazonUnits[Products],$A33, tblAmazonUnits[cv_2027]) + SUMIF(tblMicrosoftUnits[Products],$A33, tblMicrosoftUnits[cv_2027]) + SUMIF(tblAppleUnits[Products],$A33, tblAppleUnits[cv_2027]) + SUMIF(tblAlibabaUnits[Products],$A33, tblAlibabaUnits[cv_2027]) + SUMIF(tblHuaweiUnits[Products],$A33, tblHuaweiUnits[cv_2027]) + SUMIF(tblTencentUnits[Products],$A33, tblTencentUnits[cv_2027]) + SUMIF(tblBaiduUnits[Products],$A33, tblBaiduUnits[cv_2027]) + SUMIF(tblByteDanceUnits[Products],$A33, tblByteDanceUnits[cv_2027]) + SUMIF(tblCloudAOUnits[Products],$A33, tblCloudAOUnits[cv_2027])</f>
        <v>0</v>
      </c>
      <c r="L33" s="8">
        <f xml:space="preserve"> SUMIF(tblGoogleUnits[Products],$A33, tblGoogleUnits[cv_2028]) + SUMIF(tblMetaUnits[Products],$A33, tblMetaUnits[cv_2028]) + SUMIF(tblAmazonUnits[Products],$A33, tblAmazonUnits[cv_2028]) + SUMIF(tblMicrosoftUnits[Products],$A33, tblMicrosoftUnits[cv_2028]) + SUMIF(tblAppleUnits[Products],$A33, tblAppleUnits[cv_2028]) + SUMIF(tblAlibabaUnits[Products],$A33, tblAlibabaUnits[cv_2028]) + SUMIF(tblHuaweiUnits[Products],$A33, tblHuaweiUnits[cv_2028]) + SUMIF(tblTencentUnits[Products],$A33, tblTencentUnits[cv_2028]) + SUMIF(tblBaiduUnits[Products],$A33, tblBaiduUnits[cv_2028]) + SUMIF(tblByteDanceUnits[Products],$A33, tblByteDanceUnits[cv_2028]) + SUMIF(tblCloudAOUnits[Products],$A33, tblCloudAOUnits[cv_2028])</f>
        <v>0</v>
      </c>
      <c r="M33" s="122">
        <f>10^-6*B33*INDEX(TotalMarket!$M$26:$W$125,MATCH($A33,$A$11:$A$132,0),MATCH(M$10,$M$10:$W$10))</f>
        <v>0</v>
      </c>
      <c r="N33" s="122">
        <f>10^-6*C33*INDEX(TotalMarket!$M$26:$W$125,MATCH($A33,$A$11:$A$132,0),MATCH(N$10,$M$10:$W$10))</f>
        <v>0</v>
      </c>
      <c r="O33" s="122">
        <f>10^-6*D33*INDEX(TotalMarket!$M$26:$W$125,MATCH($A33,$A$11:$A$132,0),MATCH(O$10,$M$10:$W$10))</f>
        <v>0</v>
      </c>
      <c r="P33" s="122">
        <f>10^-6*E33*INDEX(TotalMarket!$M$26:$W$125,MATCH($A33,$A$11:$A$132,0),MATCH(P$10,$M$10:$W$10))</f>
        <v>0</v>
      </c>
      <c r="Q33" s="122">
        <f>10^-6*F33*INDEX(TotalMarket!$M$26:$W$125,MATCH($A33,$A$11:$A$132,0),MATCH(Q$10,$M$10:$W$10))</f>
        <v>0</v>
      </c>
      <c r="R33" s="122">
        <f>10^-6*G33*INDEX(TotalMarket!$M$26:$W$125,MATCH($A33,$A$11:$A$132,0),MATCH(R$10,$M$10:$W$10))</f>
        <v>0</v>
      </c>
      <c r="S33" s="122">
        <f>10^-6*H33*INDEX(TotalMarket!$M$26:$W$125,MATCH($A33,$A$11:$A$132,0),MATCH(S$10,$M$10:$W$10))</f>
        <v>0</v>
      </c>
      <c r="T33" s="122">
        <f>10^-6*I33*INDEX(TotalMarket!$M$26:$W$125,MATCH($A33,$A$11:$A$132,0),MATCH(T$10,$M$10:$W$10))</f>
        <v>0</v>
      </c>
      <c r="U33" s="122">
        <f>10^-6*J33*INDEX(TotalMarket!$M$26:$W$125,MATCH($A33,$A$11:$A$132,0),MATCH(U$10,$M$10:$W$10))</f>
        <v>0</v>
      </c>
      <c r="V33" s="122">
        <f>10^-6*K33*INDEX(TotalMarket!$M$26:$W$125,MATCH($A33,$A$11:$A$132,0),MATCH(V$10,$M$10:$W$10))</f>
        <v>0</v>
      </c>
      <c r="W33" s="122">
        <f>10^-6*L33*INDEX(TotalMarket!$M$26:$W$125,MATCH($A33,$A$11:$A$132,0),MATCH(W$10,$M$10:$W$10))</f>
        <v>0</v>
      </c>
      <c r="X33" s="1">
        <f>VLOOKUP(A33,Products!$A$29:$F$110,6,FALSE)</f>
        <v>40</v>
      </c>
    </row>
    <row r="34" spans="1:24" s="1" customFormat="1">
      <c r="A34" s="15" t="s">
        <v>2</v>
      </c>
      <c r="B34" s="8">
        <f xml:space="preserve"> SUMIF(tblGoogleUnits[Products],$A34, tblGoogleUnits[cv_2018]) + SUMIF(tblMetaUnits[Products],$A34, tblMetaUnits[cv_2018]) + SUMIF(tblAmazonUnits[Products],$A34, tblAmazonUnits[cv_2018]) + SUMIF(tblMicrosoftUnits[Products],$A34, tblMicrosoftUnits[cv_2018]) + SUMIF(tblAppleUnits[Products],$A34, tblAppleUnits[cv_2018]) + SUMIF(tblAlibabaUnits[Products],$A34, tblAlibabaUnits[cv_2018]) + SUMIF(tblHuaweiUnits[Products],$A34, tblHuaweiUnits[cv_2018]) + SUMIF(tblTencentUnits[Products],$A34, tblTencentUnits[cv_2018]) + SUMIF(tblBaiduUnits[Products],$A34, tblBaiduUnits[cv_2018]) + SUMIF(tblByteDanceUnits[Products],$A34, tblByteDanceUnits[cv_2018]) + SUMIF(tblCloudAOUnits[Products],$A34, tblCloudAOUnits[cv_2018])</f>
        <v>271820.99999999994</v>
      </c>
      <c r="C34" s="8">
        <f xml:space="preserve"> SUMIF(tblGoogleUnits[Products],$A34, tblGoogleUnits[cv_2019]) + SUMIF(tblMetaUnits[Products],$A34, tblMetaUnits[cv_2019]) + SUMIF(tblAmazonUnits[Products],$A34, tblAmazonUnits[cv_2019]) + SUMIF(tblMicrosoftUnits[Products],$A34, tblMicrosoftUnits[cv_2019]) + SUMIF(tblAppleUnits[Products],$A34, tblAppleUnits[cv_2019]) + SUMIF(tblAlibabaUnits[Products],$A34, tblAlibabaUnits[cv_2019]) + SUMIF(tblHuaweiUnits[Products],$A34, tblHuaweiUnits[cv_2019]) + SUMIF(tblTencentUnits[Products],$A34, tblTencentUnits[cv_2019]) + SUMIF(tblBaiduUnits[Products],$A34, tblBaiduUnits[cv_2019]) + SUMIF(tblByteDanceUnits[Products],$A34, tblByteDanceUnits[cv_2019]) + SUMIF(tblCloudAOUnits[Products],$A34, tblCloudAOUnits[cv_2019])</f>
        <v>430790</v>
      </c>
      <c r="D34" s="8">
        <f xml:space="preserve"> SUMIF(tblGoogleUnits[Products],$A34, tblGoogleUnits[cv_2020]) + SUMIF(tblMetaUnits[Products],$A34, tblMetaUnits[cv_2020]) + SUMIF(tblAmazonUnits[Products],$A34, tblAmazonUnits[cv_2020]) + SUMIF(tblMicrosoftUnits[Products],$A34, tblMicrosoftUnits[cv_2020]) + SUMIF(tblAppleUnits[Products],$A34, tblAppleUnits[cv_2020]) + SUMIF(tblAlibabaUnits[Products],$A34, tblAlibabaUnits[cv_2020]) + SUMIF(tblHuaweiUnits[Products],$A34, tblHuaweiUnits[cv_2020]) + SUMIF(tblTencentUnits[Products],$A34, tblTencentUnits[cv_2020]) + SUMIF(tblBaiduUnits[Products],$A34, tblBaiduUnits[cv_2020]) + SUMIF(tblByteDanceUnits[Products],$A34, tblByteDanceUnits[cv_2020]) + SUMIF(tblCloudAOUnits[Products],$A34, tblCloudAOUnits[cv_2020])</f>
        <v>0</v>
      </c>
      <c r="E34" s="8">
        <f xml:space="preserve"> SUMIF(tblGoogleUnits[Products],$A34, tblGoogleUnits[cv_2021]) + SUMIF(tblMetaUnits[Products],$A34, tblMetaUnits[cv_2021]) + SUMIF(tblAmazonUnits[Products],$A34, tblAmazonUnits[cv_2021]) + SUMIF(tblMicrosoftUnits[Products],$A34, tblMicrosoftUnits[cv_2021]) + SUMIF(tblAppleUnits[Products],$A34, tblAppleUnits[cv_2021]) + SUMIF(tblAlibabaUnits[Products],$A34, tblAlibabaUnits[cv_2021]) + SUMIF(tblHuaweiUnits[Products],$A34, tblHuaweiUnits[cv_2021]) + SUMIF(tblTencentUnits[Products],$A34, tblTencentUnits[cv_2021]) + SUMIF(tblBaiduUnits[Products],$A34, tblBaiduUnits[cv_2021]) + SUMIF(tblByteDanceUnits[Products],$A34, tblByteDanceUnits[cv_2021]) + SUMIF(tblCloudAOUnits[Products],$A34, tblCloudAOUnits[cv_2021])</f>
        <v>0</v>
      </c>
      <c r="F34" s="8">
        <f xml:space="preserve"> SUMIF(tblGoogleUnits[Products],$A34, tblGoogleUnits[cv_2022]) + SUMIF(tblMetaUnits[Products],$A34, tblMetaUnits[cv_2022]) + SUMIF(tblAmazonUnits[Products],$A34, tblAmazonUnits[cv_2022]) + SUMIF(tblMicrosoftUnits[Products],$A34, tblMicrosoftUnits[cv_2022]) + SUMIF(tblAppleUnits[Products],$A34, tblAppleUnits[cv_2022]) + SUMIF(tblAlibabaUnits[Products],$A34, tblAlibabaUnits[cv_2022]) + SUMIF(tblHuaweiUnits[Products],$A34, tblHuaweiUnits[cv_2022]) + SUMIF(tblTencentUnits[Products],$A34, tblTencentUnits[cv_2022]) + SUMIF(tblBaiduUnits[Products],$A34, tblBaiduUnits[cv_2022]) + SUMIF(tblByteDanceUnits[Products],$A34, tblByteDanceUnits[cv_2022]) + SUMIF(tblCloudAOUnits[Products],$A34, tblCloudAOUnits[cv_2022])</f>
        <v>0</v>
      </c>
      <c r="G34" s="8">
        <f xml:space="preserve"> SUMIF(tblGoogleUnits[Products],$A34, tblGoogleUnits[cv_2023]) + SUMIF(tblMetaUnits[Products],$A34, tblMetaUnits[cv_2023]) + SUMIF(tblAmazonUnits[Products],$A34, tblAmazonUnits[cv_2023]) + SUMIF(tblMicrosoftUnits[Products],$A34, tblMicrosoftUnits[cv_2023]) + SUMIF(tblAppleUnits[Products],$A34, tblAppleUnits[cv_2023]) + SUMIF(tblAlibabaUnits[Products],$A34, tblAlibabaUnits[cv_2023]) + SUMIF(tblHuaweiUnits[Products],$A34, tblHuaweiUnits[cv_2023]) + SUMIF(tblTencentUnits[Products],$A34, tblTencentUnits[cv_2023]) + SUMIF(tblBaiduUnits[Products],$A34, tblBaiduUnits[cv_2023]) + SUMIF(tblByteDanceUnits[Products],$A34, tblByteDanceUnits[cv_2023]) + SUMIF(tblCloudAOUnits[Products],$A34, tblCloudAOUnits[cv_2023])</f>
        <v>0</v>
      </c>
      <c r="H34" s="8">
        <f xml:space="preserve"> SUMIF(tblGoogleUnits[Products],$A34, tblGoogleUnits[cv_2024]) + SUMIF(tblMetaUnits[Products],$A34, tblMetaUnits[cv_2024]) + SUMIF(tblAmazonUnits[Products],$A34, tblAmazonUnits[cv_2024]) + SUMIF(tblMicrosoftUnits[Products],$A34, tblMicrosoftUnits[cv_2024]) + SUMIF(tblAppleUnits[Products],$A34, tblAppleUnits[cv_2024]) + SUMIF(tblAlibabaUnits[Products],$A34, tblAlibabaUnits[cv_2024]) + SUMIF(tblHuaweiUnits[Products],$A34, tblHuaweiUnits[cv_2024]) + SUMIF(tblTencentUnits[Products],$A34, tblTencentUnits[cv_2024]) + SUMIF(tblBaiduUnits[Products],$A34, tblBaiduUnits[cv_2024]) + SUMIF(tblByteDanceUnits[Products],$A34, tblByteDanceUnits[cv_2024]) + SUMIF(tblCloudAOUnits[Products],$A34, tblCloudAOUnits[cv_2024])</f>
        <v>0</v>
      </c>
      <c r="I34" s="8">
        <f xml:space="preserve"> SUMIF(tblGoogleUnits[Products],$A34, tblGoogleUnits[cv_2025]) + SUMIF(tblMetaUnits[Products],$A34, tblMetaUnits[cv_2025]) + SUMIF(tblAmazonUnits[Products],$A34, tblAmazonUnits[cv_2025]) + SUMIF(tblMicrosoftUnits[Products],$A34, tblMicrosoftUnits[cv_2025]) + SUMIF(tblAppleUnits[Products],$A34, tblAppleUnits[cv_2025]) + SUMIF(tblAlibabaUnits[Products],$A34, tblAlibabaUnits[cv_2025]) + SUMIF(tblHuaweiUnits[Products],$A34, tblHuaweiUnits[cv_2025]) + SUMIF(tblTencentUnits[Products],$A34, tblTencentUnits[cv_2025]) + SUMIF(tblBaiduUnits[Products],$A34, tblBaiduUnits[cv_2025]) + SUMIF(tblByteDanceUnits[Products],$A34, tblByteDanceUnits[cv_2025]) + SUMIF(tblCloudAOUnits[Products],$A34, tblCloudAOUnits[cv_2025])</f>
        <v>0</v>
      </c>
      <c r="J34" s="8">
        <f xml:space="preserve"> SUMIF(tblGoogleUnits[Products],$A34, tblGoogleUnits[cv_2026]) + SUMIF(tblMetaUnits[Products],$A34, tblMetaUnits[cv_2026]) + SUMIF(tblAmazonUnits[Products],$A34, tblAmazonUnits[cv_2026]) + SUMIF(tblMicrosoftUnits[Products],$A34, tblMicrosoftUnits[cv_2026]) + SUMIF(tblAppleUnits[Products],$A34, tblAppleUnits[cv_2026]) + SUMIF(tblAlibabaUnits[Products],$A34, tblAlibabaUnits[cv_2026]) + SUMIF(tblHuaweiUnits[Products],$A34, tblHuaweiUnits[cv_2026]) + SUMIF(tblTencentUnits[Products],$A34, tblTencentUnits[cv_2026]) + SUMIF(tblBaiduUnits[Products],$A34, tblBaiduUnits[cv_2026]) + SUMIF(tblByteDanceUnits[Products],$A34, tblByteDanceUnits[cv_2026]) + SUMIF(tblCloudAOUnits[Products],$A34, tblCloudAOUnits[cv_2026])</f>
        <v>0</v>
      </c>
      <c r="K34" s="8">
        <f xml:space="preserve"> SUMIF(tblGoogleUnits[Products],$A34, tblGoogleUnits[cv_2027]) + SUMIF(tblMetaUnits[Products],$A34, tblMetaUnits[cv_2027]) + SUMIF(tblAmazonUnits[Products],$A34, tblAmazonUnits[cv_2027]) + SUMIF(tblMicrosoftUnits[Products],$A34, tblMicrosoftUnits[cv_2027]) + SUMIF(tblAppleUnits[Products],$A34, tblAppleUnits[cv_2027]) + SUMIF(tblAlibabaUnits[Products],$A34, tblAlibabaUnits[cv_2027]) + SUMIF(tblHuaweiUnits[Products],$A34, tblHuaweiUnits[cv_2027]) + SUMIF(tblTencentUnits[Products],$A34, tblTencentUnits[cv_2027]) + SUMIF(tblBaiduUnits[Products],$A34, tblBaiduUnits[cv_2027]) + SUMIF(tblByteDanceUnits[Products],$A34, tblByteDanceUnits[cv_2027]) + SUMIF(tblCloudAOUnits[Products],$A34, tblCloudAOUnits[cv_2027])</f>
        <v>0</v>
      </c>
      <c r="L34" s="8">
        <f xml:space="preserve"> SUMIF(tblGoogleUnits[Products],$A34, tblGoogleUnits[cv_2028]) + SUMIF(tblMetaUnits[Products],$A34, tblMetaUnits[cv_2028]) + SUMIF(tblAmazonUnits[Products],$A34, tblAmazonUnits[cv_2028]) + SUMIF(tblMicrosoftUnits[Products],$A34, tblMicrosoftUnits[cv_2028]) + SUMIF(tblAppleUnits[Products],$A34, tblAppleUnits[cv_2028]) + SUMIF(tblAlibabaUnits[Products],$A34, tblAlibabaUnits[cv_2028]) + SUMIF(tblHuaweiUnits[Products],$A34, tblHuaweiUnits[cv_2028]) + SUMIF(tblTencentUnits[Products],$A34, tblTencentUnits[cv_2028]) + SUMIF(tblBaiduUnits[Products],$A34, tblBaiduUnits[cv_2028]) + SUMIF(tblByteDanceUnits[Products],$A34, tblByteDanceUnits[cv_2028]) + SUMIF(tblCloudAOUnits[Products],$A34, tblCloudAOUnits[cv_2028])</f>
        <v>0</v>
      </c>
      <c r="M34" s="122">
        <f>10^-6*B34*INDEX(TotalMarket!$M$26:$W$125,MATCH($A34,$A$11:$A$132,0),MATCH(M$10,$M$10:$W$10))</f>
        <v>82.548280259999984</v>
      </c>
      <c r="N34" s="122">
        <f>10^-6*C34*INDEX(TotalMarket!$M$26:$W$125,MATCH($A34,$A$11:$A$132,0),MATCH(N$10,$M$10:$W$10))</f>
        <v>109.17574588588329</v>
      </c>
      <c r="O34" s="122">
        <f>10^-6*D34*INDEX(TotalMarket!$M$26:$W$125,MATCH($A34,$A$11:$A$132,0),MATCH(O$10,$M$10:$W$10))</f>
        <v>0</v>
      </c>
      <c r="P34" s="122">
        <f>10^-6*E34*INDEX(TotalMarket!$M$26:$W$125,MATCH($A34,$A$11:$A$132,0),MATCH(P$10,$M$10:$W$10))</f>
        <v>0</v>
      </c>
      <c r="Q34" s="122">
        <f>10^-6*F34*INDEX(TotalMarket!$M$26:$W$125,MATCH($A34,$A$11:$A$132,0),MATCH(Q$10,$M$10:$W$10))</f>
        <v>0</v>
      </c>
      <c r="R34" s="122">
        <f>10^-6*G34*INDEX(TotalMarket!$M$26:$W$125,MATCH($A34,$A$11:$A$132,0),MATCH(R$10,$M$10:$W$10))</f>
        <v>0</v>
      </c>
      <c r="S34" s="122">
        <f>10^-6*H34*INDEX(TotalMarket!$M$26:$W$125,MATCH($A34,$A$11:$A$132,0),MATCH(S$10,$M$10:$W$10))</f>
        <v>0</v>
      </c>
      <c r="T34" s="122">
        <f>10^-6*I34*INDEX(TotalMarket!$M$26:$W$125,MATCH($A34,$A$11:$A$132,0),MATCH(T$10,$M$10:$W$10))</f>
        <v>0</v>
      </c>
      <c r="U34" s="122">
        <f>10^-6*J34*INDEX(TotalMarket!$M$26:$W$125,MATCH($A34,$A$11:$A$132,0),MATCH(U$10,$M$10:$W$10))</f>
        <v>0</v>
      </c>
      <c r="V34" s="122">
        <f>10^-6*K34*INDEX(TotalMarket!$M$26:$W$125,MATCH($A34,$A$11:$A$132,0),MATCH(V$10,$M$10:$W$10))</f>
        <v>0</v>
      </c>
      <c r="W34" s="122">
        <f>10^-6*L34*INDEX(TotalMarket!$M$26:$W$125,MATCH($A34,$A$11:$A$132,0),MATCH(W$10,$M$10:$W$10))</f>
        <v>0</v>
      </c>
      <c r="X34" s="1">
        <f>VLOOKUP(A34,Products!$A$29:$F$110,6,FALSE)</f>
        <v>40</v>
      </c>
    </row>
    <row r="35" spans="1:24" s="1" customFormat="1">
      <c r="A35" s="15" t="s">
        <v>170</v>
      </c>
      <c r="B35" s="8">
        <f xml:space="preserve"> SUMIF(tblGoogleUnits[Products],$A35, tblGoogleUnits[cv_2018]) + SUMIF(tblMetaUnits[Products],$A35, tblMetaUnits[cv_2018]) + SUMIF(tblAmazonUnits[Products],$A35, tblAmazonUnits[cv_2018]) + SUMIF(tblMicrosoftUnits[Products],$A35, tblMicrosoftUnits[cv_2018]) + SUMIF(tblAppleUnits[Products],$A35, tblAppleUnits[cv_2018]) + SUMIF(tblAlibabaUnits[Products],$A35, tblAlibabaUnits[cv_2018]) + SUMIF(tblHuaweiUnits[Products],$A35, tblHuaweiUnits[cv_2018]) + SUMIF(tblTencentUnits[Products],$A35, tblTencentUnits[cv_2018]) + SUMIF(tblBaiduUnits[Products],$A35, tblBaiduUnits[cv_2018]) + SUMIF(tblByteDanceUnits[Products],$A35, tblByteDanceUnits[cv_2018]) + SUMIF(tblCloudAOUnits[Products],$A35, tblCloudAOUnits[cv_2018])</f>
        <v>0</v>
      </c>
      <c r="C35" s="8">
        <f xml:space="preserve"> SUMIF(tblGoogleUnits[Products],$A35, tblGoogleUnits[cv_2019]) + SUMIF(tblMetaUnits[Products],$A35, tblMetaUnits[cv_2019]) + SUMIF(tblAmazonUnits[Products],$A35, tblAmazonUnits[cv_2019]) + SUMIF(tblMicrosoftUnits[Products],$A35, tblMicrosoftUnits[cv_2019]) + SUMIF(tblAppleUnits[Products],$A35, tblAppleUnits[cv_2019]) + SUMIF(tblAlibabaUnits[Products],$A35, tblAlibabaUnits[cv_2019]) + SUMIF(tblHuaweiUnits[Products],$A35, tblHuaweiUnits[cv_2019]) + SUMIF(tblTencentUnits[Products],$A35, tblTencentUnits[cv_2019]) + SUMIF(tblBaiduUnits[Products],$A35, tblBaiduUnits[cv_2019]) + SUMIF(tblByteDanceUnits[Products],$A35, tblByteDanceUnits[cv_2019]) + SUMIF(tblCloudAOUnits[Products],$A35, tblCloudAOUnits[cv_2019])</f>
        <v>0</v>
      </c>
      <c r="D35" s="8">
        <f xml:space="preserve"> SUMIF(tblGoogleUnits[Products],$A35, tblGoogleUnits[cv_2020]) + SUMIF(tblMetaUnits[Products],$A35, tblMetaUnits[cv_2020]) + SUMIF(tblAmazonUnits[Products],$A35, tblAmazonUnits[cv_2020]) + SUMIF(tblMicrosoftUnits[Products],$A35, tblMicrosoftUnits[cv_2020]) + SUMIF(tblAppleUnits[Products],$A35, tblAppleUnits[cv_2020]) + SUMIF(tblAlibabaUnits[Products],$A35, tblAlibabaUnits[cv_2020]) + SUMIF(tblHuaweiUnits[Products],$A35, tblHuaweiUnits[cv_2020]) + SUMIF(tblTencentUnits[Products],$A35, tblTencentUnits[cv_2020]) + SUMIF(tblBaiduUnits[Products],$A35, tblBaiduUnits[cv_2020]) + SUMIF(tblByteDanceUnits[Products],$A35, tblByteDanceUnits[cv_2020]) + SUMIF(tblCloudAOUnits[Products],$A35, tblCloudAOUnits[cv_2020])</f>
        <v>0</v>
      </c>
      <c r="E35" s="8">
        <f xml:space="preserve"> SUMIF(tblGoogleUnits[Products],$A35, tblGoogleUnits[cv_2021]) + SUMIF(tblMetaUnits[Products],$A35, tblMetaUnits[cv_2021]) + SUMIF(tblAmazonUnits[Products],$A35, tblAmazonUnits[cv_2021]) + SUMIF(tblMicrosoftUnits[Products],$A35, tblMicrosoftUnits[cv_2021]) + SUMIF(tblAppleUnits[Products],$A35, tblAppleUnits[cv_2021]) + SUMIF(tblAlibabaUnits[Products],$A35, tblAlibabaUnits[cv_2021]) + SUMIF(tblHuaweiUnits[Products],$A35, tblHuaweiUnits[cv_2021]) + SUMIF(tblTencentUnits[Products],$A35, tblTencentUnits[cv_2021]) + SUMIF(tblBaiduUnits[Products],$A35, tblBaiduUnits[cv_2021]) + SUMIF(tblByteDanceUnits[Products],$A35, tblByteDanceUnits[cv_2021]) + SUMIF(tblCloudAOUnits[Products],$A35, tblCloudAOUnits[cv_2021])</f>
        <v>0</v>
      </c>
      <c r="F35" s="8">
        <f xml:space="preserve"> SUMIF(tblGoogleUnits[Products],$A35, tblGoogleUnits[cv_2022]) + SUMIF(tblMetaUnits[Products],$A35, tblMetaUnits[cv_2022]) + SUMIF(tblAmazonUnits[Products],$A35, tblAmazonUnits[cv_2022]) + SUMIF(tblMicrosoftUnits[Products],$A35, tblMicrosoftUnits[cv_2022]) + SUMIF(tblAppleUnits[Products],$A35, tblAppleUnits[cv_2022]) + SUMIF(tblAlibabaUnits[Products],$A35, tblAlibabaUnits[cv_2022]) + SUMIF(tblHuaweiUnits[Products],$A35, tblHuaweiUnits[cv_2022]) + SUMIF(tblTencentUnits[Products],$A35, tblTencentUnits[cv_2022]) + SUMIF(tblBaiduUnits[Products],$A35, tblBaiduUnits[cv_2022]) + SUMIF(tblByteDanceUnits[Products],$A35, tblByteDanceUnits[cv_2022]) + SUMIF(tblCloudAOUnits[Products],$A35, tblCloudAOUnits[cv_2022])</f>
        <v>0</v>
      </c>
      <c r="G35" s="8">
        <f xml:space="preserve"> SUMIF(tblGoogleUnits[Products],$A35, tblGoogleUnits[cv_2023]) + SUMIF(tblMetaUnits[Products],$A35, tblMetaUnits[cv_2023]) + SUMIF(tblAmazonUnits[Products],$A35, tblAmazonUnits[cv_2023]) + SUMIF(tblMicrosoftUnits[Products],$A35, tblMicrosoftUnits[cv_2023]) + SUMIF(tblAppleUnits[Products],$A35, tblAppleUnits[cv_2023]) + SUMIF(tblAlibabaUnits[Products],$A35, tblAlibabaUnits[cv_2023]) + SUMIF(tblHuaweiUnits[Products],$A35, tblHuaweiUnits[cv_2023]) + SUMIF(tblTencentUnits[Products],$A35, tblTencentUnits[cv_2023]) + SUMIF(tblBaiduUnits[Products],$A35, tblBaiduUnits[cv_2023]) + SUMIF(tblByteDanceUnits[Products],$A35, tblByteDanceUnits[cv_2023]) + SUMIF(tblCloudAOUnits[Products],$A35, tblCloudAOUnits[cv_2023])</f>
        <v>0</v>
      </c>
      <c r="H35" s="8">
        <f xml:space="preserve"> SUMIF(tblGoogleUnits[Products],$A35, tblGoogleUnits[cv_2024]) + SUMIF(tblMetaUnits[Products],$A35, tblMetaUnits[cv_2024]) + SUMIF(tblAmazonUnits[Products],$A35, tblAmazonUnits[cv_2024]) + SUMIF(tblMicrosoftUnits[Products],$A35, tblMicrosoftUnits[cv_2024]) + SUMIF(tblAppleUnits[Products],$A35, tblAppleUnits[cv_2024]) + SUMIF(tblAlibabaUnits[Products],$A35, tblAlibabaUnits[cv_2024]) + SUMIF(tblHuaweiUnits[Products],$A35, tblHuaweiUnits[cv_2024]) + SUMIF(tblTencentUnits[Products],$A35, tblTencentUnits[cv_2024]) + SUMIF(tblBaiduUnits[Products],$A35, tblBaiduUnits[cv_2024]) + SUMIF(tblByteDanceUnits[Products],$A35, tblByteDanceUnits[cv_2024]) + SUMIF(tblCloudAOUnits[Products],$A35, tblCloudAOUnits[cv_2024])</f>
        <v>0</v>
      </c>
      <c r="I35" s="8">
        <f xml:space="preserve"> SUMIF(tblGoogleUnits[Products],$A35, tblGoogleUnits[cv_2025]) + SUMIF(tblMetaUnits[Products],$A35, tblMetaUnits[cv_2025]) + SUMIF(tblAmazonUnits[Products],$A35, tblAmazonUnits[cv_2025]) + SUMIF(tblMicrosoftUnits[Products],$A35, tblMicrosoftUnits[cv_2025]) + SUMIF(tblAppleUnits[Products],$A35, tblAppleUnits[cv_2025]) + SUMIF(tblAlibabaUnits[Products],$A35, tblAlibabaUnits[cv_2025]) + SUMIF(tblHuaweiUnits[Products],$A35, tblHuaweiUnits[cv_2025]) + SUMIF(tblTencentUnits[Products],$A35, tblTencentUnits[cv_2025]) + SUMIF(tblBaiduUnits[Products],$A35, tblBaiduUnits[cv_2025]) + SUMIF(tblByteDanceUnits[Products],$A35, tblByteDanceUnits[cv_2025]) + SUMIF(tblCloudAOUnits[Products],$A35, tblCloudAOUnits[cv_2025])</f>
        <v>0</v>
      </c>
      <c r="J35" s="8">
        <f xml:space="preserve"> SUMIF(tblGoogleUnits[Products],$A35, tblGoogleUnits[cv_2026]) + SUMIF(tblMetaUnits[Products],$A35, tblMetaUnits[cv_2026]) + SUMIF(tblAmazonUnits[Products],$A35, tblAmazonUnits[cv_2026]) + SUMIF(tblMicrosoftUnits[Products],$A35, tblMicrosoftUnits[cv_2026]) + SUMIF(tblAppleUnits[Products],$A35, tblAppleUnits[cv_2026]) + SUMIF(tblAlibabaUnits[Products],$A35, tblAlibabaUnits[cv_2026]) + SUMIF(tblHuaweiUnits[Products],$A35, tblHuaweiUnits[cv_2026]) + SUMIF(tblTencentUnits[Products],$A35, tblTencentUnits[cv_2026]) + SUMIF(tblBaiduUnits[Products],$A35, tblBaiduUnits[cv_2026]) + SUMIF(tblByteDanceUnits[Products],$A35, tblByteDanceUnits[cv_2026]) + SUMIF(tblCloudAOUnits[Products],$A35, tblCloudAOUnits[cv_2026])</f>
        <v>0</v>
      </c>
      <c r="K35" s="8">
        <f xml:space="preserve"> SUMIF(tblGoogleUnits[Products],$A35, tblGoogleUnits[cv_2027]) + SUMIF(tblMetaUnits[Products],$A35, tblMetaUnits[cv_2027]) + SUMIF(tblAmazonUnits[Products],$A35, tblAmazonUnits[cv_2027]) + SUMIF(tblMicrosoftUnits[Products],$A35, tblMicrosoftUnits[cv_2027]) + SUMIF(tblAppleUnits[Products],$A35, tblAppleUnits[cv_2027]) + SUMIF(tblAlibabaUnits[Products],$A35, tblAlibabaUnits[cv_2027]) + SUMIF(tblHuaweiUnits[Products],$A35, tblHuaweiUnits[cv_2027]) + SUMIF(tblTencentUnits[Products],$A35, tblTencentUnits[cv_2027]) + SUMIF(tblBaiduUnits[Products],$A35, tblBaiduUnits[cv_2027]) + SUMIF(tblByteDanceUnits[Products],$A35, tblByteDanceUnits[cv_2027]) + SUMIF(tblCloudAOUnits[Products],$A35, tblCloudAOUnits[cv_2027])</f>
        <v>0</v>
      </c>
      <c r="L35" s="8">
        <f xml:space="preserve"> SUMIF(tblGoogleUnits[Products],$A35, tblGoogleUnits[cv_2028]) + SUMIF(tblMetaUnits[Products],$A35, tblMetaUnits[cv_2028]) + SUMIF(tblAmazonUnits[Products],$A35, tblAmazonUnits[cv_2028]) + SUMIF(tblMicrosoftUnits[Products],$A35, tblMicrosoftUnits[cv_2028]) + SUMIF(tblAppleUnits[Products],$A35, tblAppleUnits[cv_2028]) + SUMIF(tblAlibabaUnits[Products],$A35, tblAlibabaUnits[cv_2028]) + SUMIF(tblHuaweiUnits[Products],$A35, tblHuaweiUnits[cv_2028]) + SUMIF(tblTencentUnits[Products],$A35, tblTencentUnits[cv_2028]) + SUMIF(tblBaiduUnits[Products],$A35, tblBaiduUnits[cv_2028]) + SUMIF(tblByteDanceUnits[Products],$A35, tblByteDanceUnits[cv_2028]) + SUMIF(tblCloudAOUnits[Products],$A35, tblCloudAOUnits[cv_2028])</f>
        <v>0</v>
      </c>
      <c r="M35" s="122">
        <f>10^-6*B35*INDEX(TotalMarket!$M$26:$W$125,MATCH($A35,$A$11:$A$132,0),MATCH(M$10,$M$10:$W$10))</f>
        <v>0</v>
      </c>
      <c r="N35" s="122">
        <f>10^-6*C35*INDEX(TotalMarket!$M$26:$W$125,MATCH($A35,$A$11:$A$132,0),MATCH(N$10,$M$10:$W$10))</f>
        <v>0</v>
      </c>
      <c r="O35" s="122">
        <f>10^-6*D35*INDEX(TotalMarket!$M$26:$W$125,MATCH($A35,$A$11:$A$132,0),MATCH(O$10,$M$10:$W$10))</f>
        <v>0</v>
      </c>
      <c r="P35" s="122">
        <f>10^-6*E35*INDEX(TotalMarket!$M$26:$W$125,MATCH($A35,$A$11:$A$132,0),MATCH(P$10,$M$10:$W$10))</f>
        <v>0</v>
      </c>
      <c r="Q35" s="122">
        <f>10^-6*F35*INDEX(TotalMarket!$M$26:$W$125,MATCH($A35,$A$11:$A$132,0),MATCH(Q$10,$M$10:$W$10))</f>
        <v>0</v>
      </c>
      <c r="R35" s="122">
        <f>10^-6*G35*INDEX(TotalMarket!$M$26:$W$125,MATCH($A35,$A$11:$A$132,0),MATCH(R$10,$M$10:$W$10))</f>
        <v>0</v>
      </c>
      <c r="S35" s="122">
        <f>10^-6*H35*INDEX(TotalMarket!$M$26:$W$125,MATCH($A35,$A$11:$A$132,0),MATCH(S$10,$M$10:$W$10))</f>
        <v>0</v>
      </c>
      <c r="T35" s="122">
        <f>10^-6*I35*INDEX(TotalMarket!$M$26:$W$125,MATCH($A35,$A$11:$A$132,0),MATCH(T$10,$M$10:$W$10))</f>
        <v>0</v>
      </c>
      <c r="U35" s="122">
        <f>10^-6*J35*INDEX(TotalMarket!$M$26:$W$125,MATCH($A35,$A$11:$A$132,0),MATCH(U$10,$M$10:$W$10))</f>
        <v>0</v>
      </c>
      <c r="V35" s="122">
        <f>10^-6*K35*INDEX(TotalMarket!$M$26:$W$125,MATCH($A35,$A$11:$A$132,0),MATCH(V$10,$M$10:$W$10))</f>
        <v>0</v>
      </c>
      <c r="W35" s="122">
        <f>10^-6*L35*INDEX(TotalMarket!$M$26:$W$125,MATCH($A35,$A$11:$A$132,0),MATCH(W$10,$M$10:$W$10))</f>
        <v>0</v>
      </c>
      <c r="X35" s="1">
        <f>VLOOKUP(A35,Products!$A$29:$F$110,6,FALSE)</f>
        <v>40</v>
      </c>
    </row>
    <row r="36" spans="1:24" s="1" customFormat="1">
      <c r="A36" s="15" t="s">
        <v>171</v>
      </c>
      <c r="B36" s="8">
        <f xml:space="preserve"> SUMIF(tblGoogleUnits[Products],$A36, tblGoogleUnits[cv_2018]) + SUMIF(tblMetaUnits[Products],$A36, tblMetaUnits[cv_2018]) + SUMIF(tblAmazonUnits[Products],$A36, tblAmazonUnits[cv_2018]) + SUMIF(tblMicrosoftUnits[Products],$A36, tblMicrosoftUnits[cv_2018]) + SUMIF(tblAppleUnits[Products],$A36, tblAppleUnits[cv_2018]) + SUMIF(tblAlibabaUnits[Products],$A36, tblAlibabaUnits[cv_2018]) + SUMIF(tblHuaweiUnits[Products],$A36, tblHuaweiUnits[cv_2018]) + SUMIF(tblTencentUnits[Products],$A36, tblTencentUnits[cv_2018]) + SUMIF(tblBaiduUnits[Products],$A36, tblBaiduUnits[cv_2018]) + SUMIF(tblByteDanceUnits[Products],$A36, tblByteDanceUnits[cv_2018]) + SUMIF(tblCloudAOUnits[Products],$A36, tblCloudAOUnits[cv_2018])</f>
        <v>215469.6</v>
      </c>
      <c r="C36" s="8">
        <f xml:space="preserve"> SUMIF(tblGoogleUnits[Products],$A36, tblGoogleUnits[cv_2019]) + SUMIF(tblMetaUnits[Products],$A36, tblMetaUnits[cv_2019]) + SUMIF(tblAmazonUnits[Products],$A36, tblAmazonUnits[cv_2019]) + SUMIF(tblMicrosoftUnits[Products],$A36, tblMicrosoftUnits[cv_2019]) + SUMIF(tblAppleUnits[Products],$A36, tblAppleUnits[cv_2019]) + SUMIF(tblAlibabaUnits[Products],$A36, tblAlibabaUnits[cv_2019]) + SUMIF(tblHuaweiUnits[Products],$A36, tblHuaweiUnits[cv_2019]) + SUMIF(tblTencentUnits[Products],$A36, tblTencentUnits[cv_2019]) + SUMIF(tblBaiduUnits[Products],$A36, tblBaiduUnits[cv_2019]) + SUMIF(tblByteDanceUnits[Products],$A36, tblByteDanceUnits[cv_2019]) + SUMIF(tblCloudAOUnits[Products],$A36, tblCloudAOUnits[cv_2019])</f>
        <v>276052.8</v>
      </c>
      <c r="D36" s="8">
        <f xml:space="preserve"> SUMIF(tblGoogleUnits[Products],$A36, tblGoogleUnits[cv_2020]) + SUMIF(tblMetaUnits[Products],$A36, tblMetaUnits[cv_2020]) + SUMIF(tblAmazonUnits[Products],$A36, tblAmazonUnits[cv_2020]) + SUMIF(tblMicrosoftUnits[Products],$A36, tblMicrosoftUnits[cv_2020]) + SUMIF(tblAppleUnits[Products],$A36, tblAppleUnits[cv_2020]) + SUMIF(tblAlibabaUnits[Products],$A36, tblAlibabaUnits[cv_2020]) + SUMIF(tblHuaweiUnits[Products],$A36, tblHuaweiUnits[cv_2020]) + SUMIF(tblTencentUnits[Products],$A36, tblTencentUnits[cv_2020]) + SUMIF(tblBaiduUnits[Products],$A36, tblBaiduUnits[cv_2020]) + SUMIF(tblByteDanceUnits[Products],$A36, tblByteDanceUnits[cv_2020]) + SUMIF(tblCloudAOUnits[Products],$A36, tblCloudAOUnits[cv_2020])</f>
        <v>0</v>
      </c>
      <c r="E36" s="8">
        <f xml:space="preserve"> SUMIF(tblGoogleUnits[Products],$A36, tblGoogleUnits[cv_2021]) + SUMIF(tblMetaUnits[Products],$A36, tblMetaUnits[cv_2021]) + SUMIF(tblAmazonUnits[Products],$A36, tblAmazonUnits[cv_2021]) + SUMIF(tblMicrosoftUnits[Products],$A36, tblMicrosoftUnits[cv_2021]) + SUMIF(tblAppleUnits[Products],$A36, tblAppleUnits[cv_2021]) + SUMIF(tblAlibabaUnits[Products],$A36, tblAlibabaUnits[cv_2021]) + SUMIF(tblHuaweiUnits[Products],$A36, tblHuaweiUnits[cv_2021]) + SUMIF(tblTencentUnits[Products],$A36, tblTencentUnits[cv_2021]) + SUMIF(tblBaiduUnits[Products],$A36, tblBaiduUnits[cv_2021]) + SUMIF(tblByteDanceUnits[Products],$A36, tblByteDanceUnits[cv_2021]) + SUMIF(tblCloudAOUnits[Products],$A36, tblCloudAOUnits[cv_2021])</f>
        <v>0</v>
      </c>
      <c r="F36" s="8">
        <f xml:space="preserve"> SUMIF(tblGoogleUnits[Products],$A36, tblGoogleUnits[cv_2022]) + SUMIF(tblMetaUnits[Products],$A36, tblMetaUnits[cv_2022]) + SUMIF(tblAmazonUnits[Products],$A36, tblAmazonUnits[cv_2022]) + SUMIF(tblMicrosoftUnits[Products],$A36, tblMicrosoftUnits[cv_2022]) + SUMIF(tblAppleUnits[Products],$A36, tblAppleUnits[cv_2022]) + SUMIF(tblAlibabaUnits[Products],$A36, tblAlibabaUnits[cv_2022]) + SUMIF(tblHuaweiUnits[Products],$A36, tblHuaweiUnits[cv_2022]) + SUMIF(tblTencentUnits[Products],$A36, tblTencentUnits[cv_2022]) + SUMIF(tblBaiduUnits[Products],$A36, tblBaiduUnits[cv_2022]) + SUMIF(tblByteDanceUnits[Products],$A36, tblByteDanceUnits[cv_2022]) + SUMIF(tblCloudAOUnits[Products],$A36, tblCloudAOUnits[cv_2022])</f>
        <v>0</v>
      </c>
      <c r="G36" s="8">
        <f xml:space="preserve"> SUMIF(tblGoogleUnits[Products],$A36, tblGoogleUnits[cv_2023]) + SUMIF(tblMetaUnits[Products],$A36, tblMetaUnits[cv_2023]) + SUMIF(tblAmazonUnits[Products],$A36, tblAmazonUnits[cv_2023]) + SUMIF(tblMicrosoftUnits[Products],$A36, tblMicrosoftUnits[cv_2023]) + SUMIF(tblAppleUnits[Products],$A36, tblAppleUnits[cv_2023]) + SUMIF(tblAlibabaUnits[Products],$A36, tblAlibabaUnits[cv_2023]) + SUMIF(tblHuaweiUnits[Products],$A36, tblHuaweiUnits[cv_2023]) + SUMIF(tblTencentUnits[Products],$A36, tblTencentUnits[cv_2023]) + SUMIF(tblBaiduUnits[Products],$A36, tblBaiduUnits[cv_2023]) + SUMIF(tblByteDanceUnits[Products],$A36, tblByteDanceUnits[cv_2023]) + SUMIF(tblCloudAOUnits[Products],$A36, tblCloudAOUnits[cv_2023])</f>
        <v>0</v>
      </c>
      <c r="H36" s="8">
        <f xml:space="preserve"> SUMIF(tblGoogleUnits[Products],$A36, tblGoogleUnits[cv_2024]) + SUMIF(tblMetaUnits[Products],$A36, tblMetaUnits[cv_2024]) + SUMIF(tblAmazonUnits[Products],$A36, tblAmazonUnits[cv_2024]) + SUMIF(tblMicrosoftUnits[Products],$A36, tblMicrosoftUnits[cv_2024]) + SUMIF(tblAppleUnits[Products],$A36, tblAppleUnits[cv_2024]) + SUMIF(tblAlibabaUnits[Products],$A36, tblAlibabaUnits[cv_2024]) + SUMIF(tblHuaweiUnits[Products],$A36, tblHuaweiUnits[cv_2024]) + SUMIF(tblTencentUnits[Products],$A36, tblTencentUnits[cv_2024]) + SUMIF(tblBaiduUnits[Products],$A36, tblBaiduUnits[cv_2024]) + SUMIF(tblByteDanceUnits[Products],$A36, tblByteDanceUnits[cv_2024]) + SUMIF(tblCloudAOUnits[Products],$A36, tblCloudAOUnits[cv_2024])</f>
        <v>0</v>
      </c>
      <c r="I36" s="8">
        <f xml:space="preserve"> SUMIF(tblGoogleUnits[Products],$A36, tblGoogleUnits[cv_2025]) + SUMIF(tblMetaUnits[Products],$A36, tblMetaUnits[cv_2025]) + SUMIF(tblAmazonUnits[Products],$A36, tblAmazonUnits[cv_2025]) + SUMIF(tblMicrosoftUnits[Products],$A36, tblMicrosoftUnits[cv_2025]) + SUMIF(tblAppleUnits[Products],$A36, tblAppleUnits[cv_2025]) + SUMIF(tblAlibabaUnits[Products],$A36, tblAlibabaUnits[cv_2025]) + SUMIF(tblHuaweiUnits[Products],$A36, tblHuaweiUnits[cv_2025]) + SUMIF(tblTencentUnits[Products],$A36, tblTencentUnits[cv_2025]) + SUMIF(tblBaiduUnits[Products],$A36, tblBaiduUnits[cv_2025]) + SUMIF(tblByteDanceUnits[Products],$A36, tblByteDanceUnits[cv_2025]) + SUMIF(tblCloudAOUnits[Products],$A36, tblCloudAOUnits[cv_2025])</f>
        <v>0</v>
      </c>
      <c r="J36" s="8">
        <f xml:space="preserve"> SUMIF(tblGoogleUnits[Products],$A36, tblGoogleUnits[cv_2026]) + SUMIF(tblMetaUnits[Products],$A36, tblMetaUnits[cv_2026]) + SUMIF(tblAmazonUnits[Products],$A36, tblAmazonUnits[cv_2026]) + SUMIF(tblMicrosoftUnits[Products],$A36, tblMicrosoftUnits[cv_2026]) + SUMIF(tblAppleUnits[Products],$A36, tblAppleUnits[cv_2026]) + SUMIF(tblAlibabaUnits[Products],$A36, tblAlibabaUnits[cv_2026]) + SUMIF(tblHuaweiUnits[Products],$A36, tblHuaweiUnits[cv_2026]) + SUMIF(tblTencentUnits[Products],$A36, tblTencentUnits[cv_2026]) + SUMIF(tblBaiduUnits[Products],$A36, tblBaiduUnits[cv_2026]) + SUMIF(tblByteDanceUnits[Products],$A36, tblByteDanceUnits[cv_2026]) + SUMIF(tblCloudAOUnits[Products],$A36, tblCloudAOUnits[cv_2026])</f>
        <v>0</v>
      </c>
      <c r="K36" s="8">
        <f xml:space="preserve"> SUMIF(tblGoogleUnits[Products],$A36, tblGoogleUnits[cv_2027]) + SUMIF(tblMetaUnits[Products],$A36, tblMetaUnits[cv_2027]) + SUMIF(tblAmazonUnits[Products],$A36, tblAmazonUnits[cv_2027]) + SUMIF(tblMicrosoftUnits[Products],$A36, tblMicrosoftUnits[cv_2027]) + SUMIF(tblAppleUnits[Products],$A36, tblAppleUnits[cv_2027]) + SUMIF(tblAlibabaUnits[Products],$A36, tblAlibabaUnits[cv_2027]) + SUMIF(tblHuaweiUnits[Products],$A36, tblHuaweiUnits[cv_2027]) + SUMIF(tblTencentUnits[Products],$A36, tblTencentUnits[cv_2027]) + SUMIF(tblBaiduUnits[Products],$A36, tblBaiduUnits[cv_2027]) + SUMIF(tblByteDanceUnits[Products],$A36, tblByteDanceUnits[cv_2027]) + SUMIF(tblCloudAOUnits[Products],$A36, tblCloudAOUnits[cv_2027])</f>
        <v>0</v>
      </c>
      <c r="L36" s="8">
        <f xml:space="preserve"> SUMIF(tblGoogleUnits[Products],$A36, tblGoogleUnits[cv_2028]) + SUMIF(tblMetaUnits[Products],$A36, tblMetaUnits[cv_2028]) + SUMIF(tblAmazonUnits[Products],$A36, tblAmazonUnits[cv_2028]) + SUMIF(tblMicrosoftUnits[Products],$A36, tblMicrosoftUnits[cv_2028]) + SUMIF(tblAppleUnits[Products],$A36, tblAppleUnits[cv_2028]) + SUMIF(tblAlibabaUnits[Products],$A36, tblAlibabaUnits[cv_2028]) + SUMIF(tblHuaweiUnits[Products],$A36, tblHuaweiUnits[cv_2028]) + SUMIF(tblTencentUnits[Products],$A36, tblTencentUnits[cv_2028]) + SUMIF(tblBaiduUnits[Products],$A36, tblBaiduUnits[cv_2028]) + SUMIF(tblByteDanceUnits[Products],$A36, tblByteDanceUnits[cv_2028]) + SUMIF(tblCloudAOUnits[Products],$A36, tblCloudAOUnits[cv_2028])</f>
        <v>0</v>
      </c>
      <c r="M36" s="122">
        <f>10^-6*B36*INDEX(TotalMarket!$M$26:$W$125,MATCH($A36,$A$11:$A$132,0),MATCH(M$10,$M$10:$W$10))</f>
        <v>77.950643583999963</v>
      </c>
      <c r="N36" s="122">
        <f>10^-6*C36*INDEX(TotalMarket!$M$26:$W$125,MATCH($A36,$A$11:$A$132,0),MATCH(N$10,$M$10:$W$10))</f>
        <v>68.54568662824073</v>
      </c>
      <c r="O36" s="122">
        <f>10^-6*D36*INDEX(TotalMarket!$M$26:$W$125,MATCH($A36,$A$11:$A$132,0),MATCH(O$10,$M$10:$W$10))</f>
        <v>0</v>
      </c>
      <c r="P36" s="122">
        <f>10^-6*E36*INDEX(TotalMarket!$M$26:$W$125,MATCH($A36,$A$11:$A$132,0),MATCH(P$10,$M$10:$W$10))</f>
        <v>0</v>
      </c>
      <c r="Q36" s="122">
        <f>10^-6*F36*INDEX(TotalMarket!$M$26:$W$125,MATCH($A36,$A$11:$A$132,0),MATCH(Q$10,$M$10:$W$10))</f>
        <v>0</v>
      </c>
      <c r="R36" s="122">
        <f>10^-6*G36*INDEX(TotalMarket!$M$26:$W$125,MATCH($A36,$A$11:$A$132,0),MATCH(R$10,$M$10:$W$10))</f>
        <v>0</v>
      </c>
      <c r="S36" s="122">
        <f>10^-6*H36*INDEX(TotalMarket!$M$26:$W$125,MATCH($A36,$A$11:$A$132,0),MATCH(S$10,$M$10:$W$10))</f>
        <v>0</v>
      </c>
      <c r="T36" s="122">
        <f>10^-6*I36*INDEX(TotalMarket!$M$26:$W$125,MATCH($A36,$A$11:$A$132,0),MATCH(T$10,$M$10:$W$10))</f>
        <v>0</v>
      </c>
      <c r="U36" s="122">
        <f>10^-6*J36*INDEX(TotalMarket!$M$26:$W$125,MATCH($A36,$A$11:$A$132,0),MATCH(U$10,$M$10:$W$10))</f>
        <v>0</v>
      </c>
      <c r="V36" s="122">
        <f>10^-6*K36*INDEX(TotalMarket!$M$26:$W$125,MATCH($A36,$A$11:$A$132,0),MATCH(V$10,$M$10:$W$10))</f>
        <v>0</v>
      </c>
      <c r="W36" s="122">
        <f>10^-6*L36*INDEX(TotalMarket!$M$26:$W$125,MATCH($A36,$A$11:$A$132,0),MATCH(W$10,$M$10:$W$10))</f>
        <v>0</v>
      </c>
      <c r="X36" s="1">
        <f>VLOOKUP(A36,Products!$A$29:$F$110,6,FALSE)</f>
        <v>40</v>
      </c>
    </row>
    <row r="37" spans="1:24" s="1" customFormat="1">
      <c r="A37" s="15" t="s">
        <v>172</v>
      </c>
      <c r="B37" s="8">
        <f xml:space="preserve"> SUMIF(tblGoogleUnits[Products],$A37, tblGoogleUnits[cv_2018]) + SUMIF(tblMetaUnits[Products],$A37, tblMetaUnits[cv_2018]) + SUMIF(tblAmazonUnits[Products],$A37, tblAmazonUnits[cv_2018]) + SUMIF(tblMicrosoftUnits[Products],$A37, tblMicrosoftUnits[cv_2018]) + SUMIF(tblAppleUnits[Products],$A37, tblAppleUnits[cv_2018]) + SUMIF(tblAlibabaUnits[Products],$A37, tblAlibabaUnits[cv_2018]) + SUMIF(tblHuaweiUnits[Products],$A37, tblHuaweiUnits[cv_2018]) + SUMIF(tblTencentUnits[Products],$A37, tblTencentUnits[cv_2018]) + SUMIF(tblBaiduUnits[Products],$A37, tblBaiduUnits[cv_2018]) + SUMIF(tblByteDanceUnits[Products],$A37, tblByteDanceUnits[cv_2018]) + SUMIF(tblCloudAOUnits[Products],$A37, tblCloudAOUnits[cv_2018])</f>
        <v>2056</v>
      </c>
      <c r="C37" s="8">
        <f xml:space="preserve"> SUMIF(tblGoogleUnits[Products],$A37, tblGoogleUnits[cv_2019]) + SUMIF(tblMetaUnits[Products],$A37, tblMetaUnits[cv_2019]) + SUMIF(tblAmazonUnits[Products],$A37, tblAmazonUnits[cv_2019]) + SUMIF(tblMicrosoftUnits[Products],$A37, tblMicrosoftUnits[cv_2019]) + SUMIF(tblAppleUnits[Products],$A37, tblAppleUnits[cv_2019]) + SUMIF(tblAlibabaUnits[Products],$A37, tblAlibabaUnits[cv_2019]) + SUMIF(tblHuaweiUnits[Products],$A37, tblHuaweiUnits[cv_2019]) + SUMIF(tblTencentUnits[Products],$A37, tblTencentUnits[cv_2019]) + SUMIF(tblBaiduUnits[Products],$A37, tblBaiduUnits[cv_2019]) + SUMIF(tblByteDanceUnits[Products],$A37, tblByteDanceUnits[cv_2019]) + SUMIF(tblCloudAOUnits[Products],$A37, tblCloudAOUnits[cv_2019])</f>
        <v>1118.75</v>
      </c>
      <c r="D37" s="8">
        <f xml:space="preserve"> SUMIF(tblGoogleUnits[Products],$A37, tblGoogleUnits[cv_2020]) + SUMIF(tblMetaUnits[Products],$A37, tblMetaUnits[cv_2020]) + SUMIF(tblAmazonUnits[Products],$A37, tblAmazonUnits[cv_2020]) + SUMIF(tblMicrosoftUnits[Products],$A37, tblMicrosoftUnits[cv_2020]) + SUMIF(tblAppleUnits[Products],$A37, tblAppleUnits[cv_2020]) + SUMIF(tblAlibabaUnits[Products],$A37, tblAlibabaUnits[cv_2020]) + SUMIF(tblHuaweiUnits[Products],$A37, tblHuaweiUnits[cv_2020]) + SUMIF(tblTencentUnits[Products],$A37, tblTencentUnits[cv_2020]) + SUMIF(tblBaiduUnits[Products],$A37, tblBaiduUnits[cv_2020]) + SUMIF(tblByteDanceUnits[Products],$A37, tblByteDanceUnits[cv_2020]) + SUMIF(tblCloudAOUnits[Products],$A37, tblCloudAOUnits[cv_2020])</f>
        <v>0</v>
      </c>
      <c r="E37" s="8">
        <f xml:space="preserve"> SUMIF(tblGoogleUnits[Products],$A37, tblGoogleUnits[cv_2021]) + SUMIF(tblMetaUnits[Products],$A37, tblMetaUnits[cv_2021]) + SUMIF(tblAmazonUnits[Products],$A37, tblAmazonUnits[cv_2021]) + SUMIF(tblMicrosoftUnits[Products],$A37, tblMicrosoftUnits[cv_2021]) + SUMIF(tblAppleUnits[Products],$A37, tblAppleUnits[cv_2021]) + SUMIF(tblAlibabaUnits[Products],$A37, tblAlibabaUnits[cv_2021]) + SUMIF(tblHuaweiUnits[Products],$A37, tblHuaweiUnits[cv_2021]) + SUMIF(tblTencentUnits[Products],$A37, tblTencentUnits[cv_2021]) + SUMIF(tblBaiduUnits[Products],$A37, tblBaiduUnits[cv_2021]) + SUMIF(tblByteDanceUnits[Products],$A37, tblByteDanceUnits[cv_2021]) + SUMIF(tblCloudAOUnits[Products],$A37, tblCloudAOUnits[cv_2021])</f>
        <v>0</v>
      </c>
      <c r="F37" s="8">
        <f xml:space="preserve"> SUMIF(tblGoogleUnits[Products],$A37, tblGoogleUnits[cv_2022]) + SUMIF(tblMetaUnits[Products],$A37, tblMetaUnits[cv_2022]) + SUMIF(tblAmazonUnits[Products],$A37, tblAmazonUnits[cv_2022]) + SUMIF(tblMicrosoftUnits[Products],$A37, tblMicrosoftUnits[cv_2022]) + SUMIF(tblAppleUnits[Products],$A37, tblAppleUnits[cv_2022]) + SUMIF(tblAlibabaUnits[Products],$A37, tblAlibabaUnits[cv_2022]) + SUMIF(tblHuaweiUnits[Products],$A37, tblHuaweiUnits[cv_2022]) + SUMIF(tblTencentUnits[Products],$A37, tblTencentUnits[cv_2022]) + SUMIF(tblBaiduUnits[Products],$A37, tblBaiduUnits[cv_2022]) + SUMIF(tblByteDanceUnits[Products],$A37, tblByteDanceUnits[cv_2022]) + SUMIF(tblCloudAOUnits[Products],$A37, tblCloudAOUnits[cv_2022])</f>
        <v>0</v>
      </c>
      <c r="G37" s="8">
        <f xml:space="preserve"> SUMIF(tblGoogleUnits[Products],$A37, tblGoogleUnits[cv_2023]) + SUMIF(tblMetaUnits[Products],$A37, tblMetaUnits[cv_2023]) + SUMIF(tblAmazonUnits[Products],$A37, tblAmazonUnits[cv_2023]) + SUMIF(tblMicrosoftUnits[Products],$A37, tblMicrosoftUnits[cv_2023]) + SUMIF(tblAppleUnits[Products],$A37, tblAppleUnits[cv_2023]) + SUMIF(tblAlibabaUnits[Products],$A37, tblAlibabaUnits[cv_2023]) + SUMIF(tblHuaweiUnits[Products],$A37, tblHuaweiUnits[cv_2023]) + SUMIF(tblTencentUnits[Products],$A37, tblTencentUnits[cv_2023]) + SUMIF(tblBaiduUnits[Products],$A37, tblBaiduUnits[cv_2023]) + SUMIF(tblByteDanceUnits[Products],$A37, tblByteDanceUnits[cv_2023]) + SUMIF(tblCloudAOUnits[Products],$A37, tblCloudAOUnits[cv_2023])</f>
        <v>0</v>
      </c>
      <c r="H37" s="8">
        <f xml:space="preserve"> SUMIF(tblGoogleUnits[Products],$A37, tblGoogleUnits[cv_2024]) + SUMIF(tblMetaUnits[Products],$A37, tblMetaUnits[cv_2024]) + SUMIF(tblAmazonUnits[Products],$A37, tblAmazonUnits[cv_2024]) + SUMIF(tblMicrosoftUnits[Products],$A37, tblMicrosoftUnits[cv_2024]) + SUMIF(tblAppleUnits[Products],$A37, tblAppleUnits[cv_2024]) + SUMIF(tblAlibabaUnits[Products],$A37, tblAlibabaUnits[cv_2024]) + SUMIF(tblHuaweiUnits[Products],$A37, tblHuaweiUnits[cv_2024]) + SUMIF(tblTencentUnits[Products],$A37, tblTencentUnits[cv_2024]) + SUMIF(tblBaiduUnits[Products],$A37, tblBaiduUnits[cv_2024]) + SUMIF(tblByteDanceUnits[Products],$A37, tblByteDanceUnits[cv_2024]) + SUMIF(tblCloudAOUnits[Products],$A37, tblCloudAOUnits[cv_2024])</f>
        <v>0</v>
      </c>
      <c r="I37" s="8">
        <f xml:space="preserve"> SUMIF(tblGoogleUnits[Products],$A37, tblGoogleUnits[cv_2025]) + SUMIF(tblMetaUnits[Products],$A37, tblMetaUnits[cv_2025]) + SUMIF(tblAmazonUnits[Products],$A37, tblAmazonUnits[cv_2025]) + SUMIF(tblMicrosoftUnits[Products],$A37, tblMicrosoftUnits[cv_2025]) + SUMIF(tblAppleUnits[Products],$A37, tblAppleUnits[cv_2025]) + SUMIF(tblAlibabaUnits[Products],$A37, tblAlibabaUnits[cv_2025]) + SUMIF(tblHuaweiUnits[Products],$A37, tblHuaweiUnits[cv_2025]) + SUMIF(tblTencentUnits[Products],$A37, tblTencentUnits[cv_2025]) + SUMIF(tblBaiduUnits[Products],$A37, tblBaiduUnits[cv_2025]) + SUMIF(tblByteDanceUnits[Products],$A37, tblByteDanceUnits[cv_2025]) + SUMIF(tblCloudAOUnits[Products],$A37, tblCloudAOUnits[cv_2025])</f>
        <v>0</v>
      </c>
      <c r="J37" s="8">
        <f xml:space="preserve"> SUMIF(tblGoogleUnits[Products],$A37, tblGoogleUnits[cv_2026]) + SUMIF(tblMetaUnits[Products],$A37, tblMetaUnits[cv_2026]) + SUMIF(tblAmazonUnits[Products],$A37, tblAmazonUnits[cv_2026]) + SUMIF(tblMicrosoftUnits[Products],$A37, tblMicrosoftUnits[cv_2026]) + SUMIF(tblAppleUnits[Products],$A37, tblAppleUnits[cv_2026]) + SUMIF(tblAlibabaUnits[Products],$A37, tblAlibabaUnits[cv_2026]) + SUMIF(tblHuaweiUnits[Products],$A37, tblHuaweiUnits[cv_2026]) + SUMIF(tblTencentUnits[Products],$A37, tblTencentUnits[cv_2026]) + SUMIF(tblBaiduUnits[Products],$A37, tblBaiduUnits[cv_2026]) + SUMIF(tblByteDanceUnits[Products],$A37, tblByteDanceUnits[cv_2026]) + SUMIF(tblCloudAOUnits[Products],$A37, tblCloudAOUnits[cv_2026])</f>
        <v>0</v>
      </c>
      <c r="K37" s="8">
        <f xml:space="preserve"> SUMIF(tblGoogleUnits[Products],$A37, tblGoogleUnits[cv_2027]) + SUMIF(tblMetaUnits[Products],$A37, tblMetaUnits[cv_2027]) + SUMIF(tblAmazonUnits[Products],$A37, tblAmazonUnits[cv_2027]) + SUMIF(tblMicrosoftUnits[Products],$A37, tblMicrosoftUnits[cv_2027]) + SUMIF(tblAppleUnits[Products],$A37, tblAppleUnits[cv_2027]) + SUMIF(tblAlibabaUnits[Products],$A37, tblAlibabaUnits[cv_2027]) + SUMIF(tblHuaweiUnits[Products],$A37, tblHuaweiUnits[cv_2027]) + SUMIF(tblTencentUnits[Products],$A37, tblTencentUnits[cv_2027]) + SUMIF(tblBaiduUnits[Products],$A37, tblBaiduUnits[cv_2027]) + SUMIF(tblByteDanceUnits[Products],$A37, tblByteDanceUnits[cv_2027]) + SUMIF(tblCloudAOUnits[Products],$A37, tblCloudAOUnits[cv_2027])</f>
        <v>0</v>
      </c>
      <c r="L37" s="8">
        <f xml:space="preserve"> SUMIF(tblGoogleUnits[Products],$A37, tblGoogleUnits[cv_2028]) + SUMIF(tblMetaUnits[Products],$A37, tblMetaUnits[cv_2028]) + SUMIF(tblAmazonUnits[Products],$A37, tblAmazonUnits[cv_2028]) + SUMIF(tblMicrosoftUnits[Products],$A37, tblMicrosoftUnits[cv_2028]) + SUMIF(tblAppleUnits[Products],$A37, tblAppleUnits[cv_2028]) + SUMIF(tblAlibabaUnits[Products],$A37, tblAlibabaUnits[cv_2028]) + SUMIF(tblHuaweiUnits[Products],$A37, tblHuaweiUnits[cv_2028]) + SUMIF(tblTencentUnits[Products],$A37, tblTencentUnits[cv_2028]) + SUMIF(tblBaiduUnits[Products],$A37, tblBaiduUnits[cv_2028]) + SUMIF(tblByteDanceUnits[Products],$A37, tblByteDanceUnits[cv_2028]) + SUMIF(tblCloudAOUnits[Products],$A37, tblCloudAOUnits[cv_2028])</f>
        <v>0</v>
      </c>
      <c r="M37" s="122">
        <f>10^-6*B37*INDEX(TotalMarket!$M$26:$W$125,MATCH($A37,$A$11:$A$132,0),MATCH(M$10,$M$10:$W$10))</f>
        <v>2.5803844999999987</v>
      </c>
      <c r="N37" s="122">
        <f>10^-6*C37*INDEX(TotalMarket!$M$26:$W$125,MATCH($A37,$A$11:$A$132,0),MATCH(N$10,$M$10:$W$10))</f>
        <v>1.000493250000001</v>
      </c>
      <c r="O37" s="122">
        <f>10^-6*D37*INDEX(TotalMarket!$M$26:$W$125,MATCH($A37,$A$11:$A$132,0),MATCH(O$10,$M$10:$W$10))</f>
        <v>0</v>
      </c>
      <c r="P37" s="122">
        <f>10^-6*E37*INDEX(TotalMarket!$M$26:$W$125,MATCH($A37,$A$11:$A$132,0),MATCH(P$10,$M$10:$W$10))</f>
        <v>0</v>
      </c>
      <c r="Q37" s="122">
        <f>10^-6*F37*INDEX(TotalMarket!$M$26:$W$125,MATCH($A37,$A$11:$A$132,0),MATCH(Q$10,$M$10:$W$10))</f>
        <v>0</v>
      </c>
      <c r="R37" s="122">
        <f>10^-6*G37*INDEX(TotalMarket!$M$26:$W$125,MATCH($A37,$A$11:$A$132,0),MATCH(R$10,$M$10:$W$10))</f>
        <v>0</v>
      </c>
      <c r="S37" s="122">
        <f>10^-6*H37*INDEX(TotalMarket!$M$26:$W$125,MATCH($A37,$A$11:$A$132,0),MATCH(S$10,$M$10:$W$10))</f>
        <v>0</v>
      </c>
      <c r="T37" s="122">
        <f>10^-6*I37*INDEX(TotalMarket!$M$26:$W$125,MATCH($A37,$A$11:$A$132,0),MATCH(T$10,$M$10:$W$10))</f>
        <v>0</v>
      </c>
      <c r="U37" s="122">
        <f>10^-6*J37*INDEX(TotalMarket!$M$26:$W$125,MATCH($A37,$A$11:$A$132,0),MATCH(U$10,$M$10:$W$10))</f>
        <v>0</v>
      </c>
      <c r="V37" s="122">
        <f>10^-6*K37*INDEX(TotalMarket!$M$26:$W$125,MATCH($A37,$A$11:$A$132,0),MATCH(V$10,$M$10:$W$10))</f>
        <v>0</v>
      </c>
      <c r="W37" s="122">
        <f>10^-6*L37*INDEX(TotalMarket!$M$26:$W$125,MATCH($A37,$A$11:$A$132,0),MATCH(W$10,$M$10:$W$10))</f>
        <v>0</v>
      </c>
      <c r="X37" s="1">
        <f>VLOOKUP(A37,Products!$A$29:$F$110,6,FALSE)</f>
        <v>40</v>
      </c>
    </row>
    <row r="38" spans="1:24" s="1" customFormat="1">
      <c r="A38" s="15" t="s">
        <v>173</v>
      </c>
      <c r="B38" s="8">
        <f xml:space="preserve"> SUMIF(tblGoogleUnits[Products],$A38, tblGoogleUnits[cv_2018]) + SUMIF(tblMetaUnits[Products],$A38, tblMetaUnits[cv_2018]) + SUMIF(tblAmazonUnits[Products],$A38, tblAmazonUnits[cv_2018]) + SUMIF(tblMicrosoftUnits[Products],$A38, tblMicrosoftUnits[cv_2018]) + SUMIF(tblAppleUnits[Products],$A38, tblAppleUnits[cv_2018]) + SUMIF(tblAlibabaUnits[Products],$A38, tblAlibabaUnits[cv_2018]) + SUMIF(tblHuaweiUnits[Products],$A38, tblHuaweiUnits[cv_2018]) + SUMIF(tblTencentUnits[Products],$A38, tblTencentUnits[cv_2018]) + SUMIF(tblBaiduUnits[Products],$A38, tblBaiduUnits[cv_2018]) + SUMIF(tblByteDanceUnits[Products],$A38, tblByteDanceUnits[cv_2018]) + SUMIF(tblCloudAOUnits[Products],$A38, tblCloudAOUnits[cv_2018])</f>
        <v>0</v>
      </c>
      <c r="C38" s="8">
        <f xml:space="preserve"> SUMIF(tblGoogleUnits[Products],$A38, tblGoogleUnits[cv_2019]) + SUMIF(tblMetaUnits[Products],$A38, tblMetaUnits[cv_2019]) + SUMIF(tblAmazonUnits[Products],$A38, tblAmazonUnits[cv_2019]) + SUMIF(tblMicrosoftUnits[Products],$A38, tblMicrosoftUnits[cv_2019]) + SUMIF(tblAppleUnits[Products],$A38, tblAppleUnits[cv_2019]) + SUMIF(tblAlibabaUnits[Products],$A38, tblAlibabaUnits[cv_2019]) + SUMIF(tblHuaweiUnits[Products],$A38, tblHuaweiUnits[cv_2019]) + SUMIF(tblTencentUnits[Products],$A38, tblTencentUnits[cv_2019]) + SUMIF(tblBaiduUnits[Products],$A38, tblBaiduUnits[cv_2019]) + SUMIF(tblByteDanceUnits[Products],$A38, tblByteDanceUnits[cv_2019]) + SUMIF(tblCloudAOUnits[Products],$A38, tblCloudAOUnits[cv_2019])</f>
        <v>0</v>
      </c>
      <c r="D38" s="8">
        <f xml:space="preserve"> SUMIF(tblGoogleUnits[Products],$A38, tblGoogleUnits[cv_2020]) + SUMIF(tblMetaUnits[Products],$A38, tblMetaUnits[cv_2020]) + SUMIF(tblAmazonUnits[Products],$A38, tblAmazonUnits[cv_2020]) + SUMIF(tblMicrosoftUnits[Products],$A38, tblMicrosoftUnits[cv_2020]) + SUMIF(tblAppleUnits[Products],$A38, tblAppleUnits[cv_2020]) + SUMIF(tblAlibabaUnits[Products],$A38, tblAlibabaUnits[cv_2020]) + SUMIF(tblHuaweiUnits[Products],$A38, tblHuaweiUnits[cv_2020]) + SUMIF(tblTencentUnits[Products],$A38, tblTencentUnits[cv_2020]) + SUMIF(tblBaiduUnits[Products],$A38, tblBaiduUnits[cv_2020]) + SUMIF(tblByteDanceUnits[Products],$A38, tblByteDanceUnits[cv_2020]) + SUMIF(tblCloudAOUnits[Products],$A38, tblCloudAOUnits[cv_2020])</f>
        <v>0</v>
      </c>
      <c r="E38" s="8">
        <f xml:space="preserve"> SUMIF(tblGoogleUnits[Products],$A38, tblGoogleUnits[cv_2021]) + SUMIF(tblMetaUnits[Products],$A38, tblMetaUnits[cv_2021]) + SUMIF(tblAmazonUnits[Products],$A38, tblAmazonUnits[cv_2021]) + SUMIF(tblMicrosoftUnits[Products],$A38, tblMicrosoftUnits[cv_2021]) + SUMIF(tblAppleUnits[Products],$A38, tblAppleUnits[cv_2021]) + SUMIF(tblAlibabaUnits[Products],$A38, tblAlibabaUnits[cv_2021]) + SUMIF(tblHuaweiUnits[Products],$A38, tblHuaweiUnits[cv_2021]) + SUMIF(tblTencentUnits[Products],$A38, tblTencentUnits[cv_2021]) + SUMIF(tblBaiduUnits[Products],$A38, tblBaiduUnits[cv_2021]) + SUMIF(tblByteDanceUnits[Products],$A38, tblByteDanceUnits[cv_2021]) + SUMIF(tblCloudAOUnits[Products],$A38, tblCloudAOUnits[cv_2021])</f>
        <v>0</v>
      </c>
      <c r="F38" s="8">
        <f xml:space="preserve"> SUMIF(tblGoogleUnits[Products],$A38, tblGoogleUnits[cv_2022]) + SUMIF(tblMetaUnits[Products],$A38, tblMetaUnits[cv_2022]) + SUMIF(tblAmazonUnits[Products],$A38, tblAmazonUnits[cv_2022]) + SUMIF(tblMicrosoftUnits[Products],$A38, tblMicrosoftUnits[cv_2022]) + SUMIF(tblAppleUnits[Products],$A38, tblAppleUnits[cv_2022]) + SUMIF(tblAlibabaUnits[Products],$A38, tblAlibabaUnits[cv_2022]) + SUMIF(tblHuaweiUnits[Products],$A38, tblHuaweiUnits[cv_2022]) + SUMIF(tblTencentUnits[Products],$A38, tblTencentUnits[cv_2022]) + SUMIF(tblBaiduUnits[Products],$A38, tblBaiduUnits[cv_2022]) + SUMIF(tblByteDanceUnits[Products],$A38, tblByteDanceUnits[cv_2022]) + SUMIF(tblCloudAOUnits[Products],$A38, tblCloudAOUnits[cv_2022])</f>
        <v>0</v>
      </c>
      <c r="G38" s="8">
        <f xml:space="preserve"> SUMIF(tblGoogleUnits[Products],$A38, tblGoogleUnits[cv_2023]) + SUMIF(tblMetaUnits[Products],$A38, tblMetaUnits[cv_2023]) + SUMIF(tblAmazonUnits[Products],$A38, tblAmazonUnits[cv_2023]) + SUMIF(tblMicrosoftUnits[Products],$A38, tblMicrosoftUnits[cv_2023]) + SUMIF(tblAppleUnits[Products],$A38, tblAppleUnits[cv_2023]) + SUMIF(tblAlibabaUnits[Products],$A38, tblAlibabaUnits[cv_2023]) + SUMIF(tblHuaweiUnits[Products],$A38, tblHuaweiUnits[cv_2023]) + SUMIF(tblTencentUnits[Products],$A38, tblTencentUnits[cv_2023]) + SUMIF(tblBaiduUnits[Products],$A38, tblBaiduUnits[cv_2023]) + SUMIF(tblByteDanceUnits[Products],$A38, tblByteDanceUnits[cv_2023]) + SUMIF(tblCloudAOUnits[Products],$A38, tblCloudAOUnits[cv_2023])</f>
        <v>0</v>
      </c>
      <c r="H38" s="8">
        <f xml:space="preserve"> SUMIF(tblGoogleUnits[Products],$A38, tblGoogleUnits[cv_2024]) + SUMIF(tblMetaUnits[Products],$A38, tblMetaUnits[cv_2024]) + SUMIF(tblAmazonUnits[Products],$A38, tblAmazonUnits[cv_2024]) + SUMIF(tblMicrosoftUnits[Products],$A38, tblMicrosoftUnits[cv_2024]) + SUMIF(tblAppleUnits[Products],$A38, tblAppleUnits[cv_2024]) + SUMIF(tblAlibabaUnits[Products],$A38, tblAlibabaUnits[cv_2024]) + SUMIF(tblHuaweiUnits[Products],$A38, tblHuaweiUnits[cv_2024]) + SUMIF(tblTencentUnits[Products],$A38, tblTencentUnits[cv_2024]) + SUMIF(tblBaiduUnits[Products],$A38, tblBaiduUnits[cv_2024]) + SUMIF(tblByteDanceUnits[Products],$A38, tblByteDanceUnits[cv_2024]) + SUMIF(tblCloudAOUnits[Products],$A38, tblCloudAOUnits[cv_2024])</f>
        <v>0</v>
      </c>
      <c r="I38" s="8">
        <f xml:space="preserve"> SUMIF(tblGoogleUnits[Products],$A38, tblGoogleUnits[cv_2025]) + SUMIF(tblMetaUnits[Products],$A38, tblMetaUnits[cv_2025]) + SUMIF(tblAmazonUnits[Products],$A38, tblAmazonUnits[cv_2025]) + SUMIF(tblMicrosoftUnits[Products],$A38, tblMicrosoftUnits[cv_2025]) + SUMIF(tblAppleUnits[Products],$A38, tblAppleUnits[cv_2025]) + SUMIF(tblAlibabaUnits[Products],$A38, tblAlibabaUnits[cv_2025]) + SUMIF(tblHuaweiUnits[Products],$A38, tblHuaweiUnits[cv_2025]) + SUMIF(tblTencentUnits[Products],$A38, tblTencentUnits[cv_2025]) + SUMIF(tblBaiduUnits[Products],$A38, tblBaiduUnits[cv_2025]) + SUMIF(tblByteDanceUnits[Products],$A38, tblByteDanceUnits[cv_2025]) + SUMIF(tblCloudAOUnits[Products],$A38, tblCloudAOUnits[cv_2025])</f>
        <v>0</v>
      </c>
      <c r="J38" s="8">
        <f xml:space="preserve"> SUMIF(tblGoogleUnits[Products],$A38, tblGoogleUnits[cv_2026]) + SUMIF(tblMetaUnits[Products],$A38, tblMetaUnits[cv_2026]) + SUMIF(tblAmazonUnits[Products],$A38, tblAmazonUnits[cv_2026]) + SUMIF(tblMicrosoftUnits[Products],$A38, tblMicrosoftUnits[cv_2026]) + SUMIF(tblAppleUnits[Products],$A38, tblAppleUnits[cv_2026]) + SUMIF(tblAlibabaUnits[Products],$A38, tblAlibabaUnits[cv_2026]) + SUMIF(tblHuaweiUnits[Products],$A38, tblHuaweiUnits[cv_2026]) + SUMIF(tblTencentUnits[Products],$A38, tblTencentUnits[cv_2026]) + SUMIF(tblBaiduUnits[Products],$A38, tblBaiduUnits[cv_2026]) + SUMIF(tblByteDanceUnits[Products],$A38, tblByteDanceUnits[cv_2026]) + SUMIF(tblCloudAOUnits[Products],$A38, tblCloudAOUnits[cv_2026])</f>
        <v>0</v>
      </c>
      <c r="K38" s="8">
        <f xml:space="preserve"> SUMIF(tblGoogleUnits[Products],$A38, tblGoogleUnits[cv_2027]) + SUMIF(tblMetaUnits[Products],$A38, tblMetaUnits[cv_2027]) + SUMIF(tblAmazonUnits[Products],$A38, tblAmazonUnits[cv_2027]) + SUMIF(tblMicrosoftUnits[Products],$A38, tblMicrosoftUnits[cv_2027]) + SUMIF(tblAppleUnits[Products],$A38, tblAppleUnits[cv_2027]) + SUMIF(tblAlibabaUnits[Products],$A38, tblAlibabaUnits[cv_2027]) + SUMIF(tblHuaweiUnits[Products],$A38, tblHuaweiUnits[cv_2027]) + SUMIF(tblTencentUnits[Products],$A38, tblTencentUnits[cv_2027]) + SUMIF(tblBaiduUnits[Products],$A38, tblBaiduUnits[cv_2027]) + SUMIF(tblByteDanceUnits[Products],$A38, tblByteDanceUnits[cv_2027]) + SUMIF(tblCloudAOUnits[Products],$A38, tblCloudAOUnits[cv_2027])</f>
        <v>0</v>
      </c>
      <c r="L38" s="8">
        <f xml:space="preserve"> SUMIF(tblGoogleUnits[Products],$A38, tblGoogleUnits[cv_2028]) + SUMIF(tblMetaUnits[Products],$A38, tblMetaUnits[cv_2028]) + SUMIF(tblAmazonUnits[Products],$A38, tblAmazonUnits[cv_2028]) + SUMIF(tblMicrosoftUnits[Products],$A38, tblMicrosoftUnits[cv_2028]) + SUMIF(tblAppleUnits[Products],$A38, tblAppleUnits[cv_2028]) + SUMIF(tblAlibabaUnits[Products],$A38, tblAlibabaUnits[cv_2028]) + SUMIF(tblHuaweiUnits[Products],$A38, tblHuaweiUnits[cv_2028]) + SUMIF(tblTencentUnits[Products],$A38, tblTencentUnits[cv_2028]) + SUMIF(tblBaiduUnits[Products],$A38, tblBaiduUnits[cv_2028]) + SUMIF(tblByteDanceUnits[Products],$A38, tblByteDanceUnits[cv_2028]) + SUMIF(tblCloudAOUnits[Products],$A38, tblCloudAOUnits[cv_2028])</f>
        <v>0</v>
      </c>
      <c r="M38" s="122">
        <f>10^-6*B38*INDEX(TotalMarket!$M$26:$W$125,MATCH($A38,$A$11:$A$132,0),MATCH(M$10,$M$10:$W$10))</f>
        <v>0</v>
      </c>
      <c r="N38" s="122">
        <f>10^-6*C38*INDEX(TotalMarket!$M$26:$W$125,MATCH($A38,$A$11:$A$132,0),MATCH(N$10,$M$10:$W$10))</f>
        <v>0</v>
      </c>
      <c r="O38" s="122">
        <f>10^-6*D38*INDEX(TotalMarket!$M$26:$W$125,MATCH($A38,$A$11:$A$132,0),MATCH(O$10,$M$10:$W$10))</f>
        <v>0</v>
      </c>
      <c r="P38" s="122">
        <f>10^-6*E38*INDEX(TotalMarket!$M$26:$W$125,MATCH($A38,$A$11:$A$132,0),MATCH(P$10,$M$10:$W$10))</f>
        <v>0</v>
      </c>
      <c r="Q38" s="122">
        <f>10^-6*F38*INDEX(TotalMarket!$M$26:$W$125,MATCH($A38,$A$11:$A$132,0),MATCH(Q$10,$M$10:$W$10))</f>
        <v>0</v>
      </c>
      <c r="R38" s="122">
        <f>10^-6*G38*INDEX(TotalMarket!$M$26:$W$125,MATCH($A38,$A$11:$A$132,0),MATCH(R$10,$M$10:$W$10))</f>
        <v>0</v>
      </c>
      <c r="S38" s="122">
        <f>10^-6*H38*INDEX(TotalMarket!$M$26:$W$125,MATCH($A38,$A$11:$A$132,0),MATCH(S$10,$M$10:$W$10))</f>
        <v>0</v>
      </c>
      <c r="T38" s="122">
        <f>10^-6*I38*INDEX(TotalMarket!$M$26:$W$125,MATCH($A38,$A$11:$A$132,0),MATCH(T$10,$M$10:$W$10))</f>
        <v>0</v>
      </c>
      <c r="U38" s="122">
        <f>10^-6*J38*INDEX(TotalMarket!$M$26:$W$125,MATCH($A38,$A$11:$A$132,0),MATCH(U$10,$M$10:$W$10))</f>
        <v>0</v>
      </c>
      <c r="V38" s="122">
        <f>10^-6*K38*INDEX(TotalMarket!$M$26:$W$125,MATCH($A38,$A$11:$A$132,0),MATCH(V$10,$M$10:$W$10))</f>
        <v>0</v>
      </c>
      <c r="W38" s="122">
        <f>10^-6*L38*INDEX(TotalMarket!$M$26:$W$125,MATCH($A38,$A$11:$A$132,0),MATCH(W$10,$M$10:$W$10))</f>
        <v>0</v>
      </c>
      <c r="X38" s="1">
        <f>VLOOKUP(A38,Products!$A$29:$F$110,6,FALSE)</f>
        <v>50</v>
      </c>
    </row>
    <row r="39" spans="1:24">
      <c r="A39" s="15" t="s">
        <v>174</v>
      </c>
      <c r="B39" s="8">
        <f xml:space="preserve"> SUMIF(tblGoogleUnits[Products],$A39, tblGoogleUnits[cv_2018]) + SUMIF(tblMetaUnits[Products],$A39, tblMetaUnits[cv_2018]) + SUMIF(tblAmazonUnits[Products],$A39, tblAmazonUnits[cv_2018]) + SUMIF(tblMicrosoftUnits[Products],$A39, tblMicrosoftUnits[cv_2018]) + SUMIF(tblAppleUnits[Products],$A39, tblAppleUnits[cv_2018]) + SUMIF(tblAlibabaUnits[Products],$A39, tblAlibabaUnits[cv_2018]) + SUMIF(tblHuaweiUnits[Products],$A39, tblHuaweiUnits[cv_2018]) + SUMIF(tblTencentUnits[Products],$A39, tblTencentUnits[cv_2018]) + SUMIF(tblBaiduUnits[Products],$A39, tblBaiduUnits[cv_2018]) + SUMIF(tblByteDanceUnits[Products],$A39, tblByteDanceUnits[cv_2018]) + SUMIF(tblCloudAOUnits[Products],$A39, tblCloudAOUnits[cv_2018])</f>
        <v>0</v>
      </c>
      <c r="C39" s="8">
        <f xml:space="preserve"> SUMIF(tblGoogleUnits[Products],$A39, tblGoogleUnits[cv_2019]) + SUMIF(tblMetaUnits[Products],$A39, tblMetaUnits[cv_2019]) + SUMIF(tblAmazonUnits[Products],$A39, tblAmazonUnits[cv_2019]) + SUMIF(tblMicrosoftUnits[Products],$A39, tblMicrosoftUnits[cv_2019]) + SUMIF(tblAppleUnits[Products],$A39, tblAppleUnits[cv_2019]) + SUMIF(tblAlibabaUnits[Products],$A39, tblAlibabaUnits[cv_2019]) + SUMIF(tblHuaweiUnits[Products],$A39, tblHuaweiUnits[cv_2019]) + SUMIF(tblTencentUnits[Products],$A39, tblTencentUnits[cv_2019]) + SUMIF(tblBaiduUnits[Products],$A39, tblBaiduUnits[cv_2019]) + SUMIF(tblByteDanceUnits[Products],$A39, tblByteDanceUnits[cv_2019]) + SUMIF(tblCloudAOUnits[Products],$A39, tblCloudAOUnits[cv_2019])</f>
        <v>0</v>
      </c>
      <c r="D39" s="8">
        <f xml:space="preserve"> SUMIF(tblGoogleUnits[Products],$A39, tblGoogleUnits[cv_2020]) + SUMIF(tblMetaUnits[Products],$A39, tblMetaUnits[cv_2020]) + SUMIF(tblAmazonUnits[Products],$A39, tblAmazonUnits[cv_2020]) + SUMIF(tblMicrosoftUnits[Products],$A39, tblMicrosoftUnits[cv_2020]) + SUMIF(tblAppleUnits[Products],$A39, tblAppleUnits[cv_2020]) + SUMIF(tblAlibabaUnits[Products],$A39, tblAlibabaUnits[cv_2020]) + SUMIF(tblHuaweiUnits[Products],$A39, tblHuaweiUnits[cv_2020]) + SUMIF(tblTencentUnits[Products],$A39, tblTencentUnits[cv_2020]) + SUMIF(tblBaiduUnits[Products],$A39, tblBaiduUnits[cv_2020]) + SUMIF(tblByteDanceUnits[Products],$A39, tblByteDanceUnits[cv_2020]) + SUMIF(tblCloudAOUnits[Products],$A39, tblCloudAOUnits[cv_2020])</f>
        <v>0</v>
      </c>
      <c r="E39" s="8">
        <f xml:space="preserve"> SUMIF(tblGoogleUnits[Products],$A39, tblGoogleUnits[cv_2021]) + SUMIF(tblMetaUnits[Products],$A39, tblMetaUnits[cv_2021]) + SUMIF(tblAmazonUnits[Products],$A39, tblAmazonUnits[cv_2021]) + SUMIF(tblMicrosoftUnits[Products],$A39, tblMicrosoftUnits[cv_2021]) + SUMIF(tblAppleUnits[Products],$A39, tblAppleUnits[cv_2021]) + SUMIF(tblAlibabaUnits[Products],$A39, tblAlibabaUnits[cv_2021]) + SUMIF(tblHuaweiUnits[Products],$A39, tblHuaweiUnits[cv_2021]) + SUMIF(tblTencentUnits[Products],$A39, tblTencentUnits[cv_2021]) + SUMIF(tblBaiduUnits[Products],$A39, tblBaiduUnits[cv_2021]) + SUMIF(tblByteDanceUnits[Products],$A39, tblByteDanceUnits[cv_2021]) + SUMIF(tblCloudAOUnits[Products],$A39, tblCloudAOUnits[cv_2021])</f>
        <v>0</v>
      </c>
      <c r="F39" s="8">
        <f xml:space="preserve"> SUMIF(tblGoogleUnits[Products],$A39, tblGoogleUnits[cv_2022]) + SUMIF(tblMetaUnits[Products],$A39, tblMetaUnits[cv_2022]) + SUMIF(tblAmazonUnits[Products],$A39, tblAmazonUnits[cv_2022]) + SUMIF(tblMicrosoftUnits[Products],$A39, tblMicrosoftUnits[cv_2022]) + SUMIF(tblAppleUnits[Products],$A39, tblAppleUnits[cv_2022]) + SUMIF(tblAlibabaUnits[Products],$A39, tblAlibabaUnits[cv_2022]) + SUMIF(tblHuaweiUnits[Products],$A39, tblHuaweiUnits[cv_2022]) + SUMIF(tblTencentUnits[Products],$A39, tblTencentUnits[cv_2022]) + SUMIF(tblBaiduUnits[Products],$A39, tblBaiduUnits[cv_2022]) + SUMIF(tblByteDanceUnits[Products],$A39, tblByteDanceUnits[cv_2022]) + SUMIF(tblCloudAOUnits[Products],$A39, tblCloudAOUnits[cv_2022])</f>
        <v>0</v>
      </c>
      <c r="G39" s="8">
        <f xml:space="preserve"> SUMIF(tblGoogleUnits[Products],$A39, tblGoogleUnits[cv_2023]) + SUMIF(tblMetaUnits[Products],$A39, tblMetaUnits[cv_2023]) + SUMIF(tblAmazonUnits[Products],$A39, tblAmazonUnits[cv_2023]) + SUMIF(tblMicrosoftUnits[Products],$A39, tblMicrosoftUnits[cv_2023]) + SUMIF(tblAppleUnits[Products],$A39, tblAppleUnits[cv_2023]) + SUMIF(tblAlibabaUnits[Products],$A39, tblAlibabaUnits[cv_2023]) + SUMIF(tblHuaweiUnits[Products],$A39, tblHuaweiUnits[cv_2023]) + SUMIF(tblTencentUnits[Products],$A39, tblTencentUnits[cv_2023]) + SUMIF(tblBaiduUnits[Products],$A39, tblBaiduUnits[cv_2023]) + SUMIF(tblByteDanceUnits[Products],$A39, tblByteDanceUnits[cv_2023]) + SUMIF(tblCloudAOUnits[Products],$A39, tblCloudAOUnits[cv_2023])</f>
        <v>0</v>
      </c>
      <c r="H39" s="8">
        <f xml:space="preserve"> SUMIF(tblGoogleUnits[Products],$A39, tblGoogleUnits[cv_2024]) + SUMIF(tblMetaUnits[Products],$A39, tblMetaUnits[cv_2024]) + SUMIF(tblAmazonUnits[Products],$A39, tblAmazonUnits[cv_2024]) + SUMIF(tblMicrosoftUnits[Products],$A39, tblMicrosoftUnits[cv_2024]) + SUMIF(tblAppleUnits[Products],$A39, tblAppleUnits[cv_2024]) + SUMIF(tblAlibabaUnits[Products],$A39, tblAlibabaUnits[cv_2024]) + SUMIF(tblHuaweiUnits[Products],$A39, tblHuaweiUnits[cv_2024]) + SUMIF(tblTencentUnits[Products],$A39, tblTencentUnits[cv_2024]) + SUMIF(tblBaiduUnits[Products],$A39, tblBaiduUnits[cv_2024]) + SUMIF(tblByteDanceUnits[Products],$A39, tblByteDanceUnits[cv_2024]) + SUMIF(tblCloudAOUnits[Products],$A39, tblCloudAOUnits[cv_2024])</f>
        <v>0</v>
      </c>
      <c r="I39" s="8">
        <f xml:space="preserve"> SUMIF(tblGoogleUnits[Products],$A39, tblGoogleUnits[cv_2025]) + SUMIF(tblMetaUnits[Products],$A39, tblMetaUnits[cv_2025]) + SUMIF(tblAmazonUnits[Products],$A39, tblAmazonUnits[cv_2025]) + SUMIF(tblMicrosoftUnits[Products],$A39, tblMicrosoftUnits[cv_2025]) + SUMIF(tblAppleUnits[Products],$A39, tblAppleUnits[cv_2025]) + SUMIF(tblAlibabaUnits[Products],$A39, tblAlibabaUnits[cv_2025]) + SUMIF(tblHuaweiUnits[Products],$A39, tblHuaweiUnits[cv_2025]) + SUMIF(tblTencentUnits[Products],$A39, tblTencentUnits[cv_2025]) + SUMIF(tblBaiduUnits[Products],$A39, tblBaiduUnits[cv_2025]) + SUMIF(tblByteDanceUnits[Products],$A39, tblByteDanceUnits[cv_2025]) + SUMIF(tblCloudAOUnits[Products],$A39, tblCloudAOUnits[cv_2025])</f>
        <v>0</v>
      </c>
      <c r="J39" s="8">
        <f xml:space="preserve"> SUMIF(tblGoogleUnits[Products],$A39, tblGoogleUnits[cv_2026]) + SUMIF(tblMetaUnits[Products],$A39, tblMetaUnits[cv_2026]) + SUMIF(tblAmazonUnits[Products],$A39, tblAmazonUnits[cv_2026]) + SUMIF(tblMicrosoftUnits[Products],$A39, tblMicrosoftUnits[cv_2026]) + SUMIF(tblAppleUnits[Products],$A39, tblAppleUnits[cv_2026]) + SUMIF(tblAlibabaUnits[Products],$A39, tblAlibabaUnits[cv_2026]) + SUMIF(tblHuaweiUnits[Products],$A39, tblHuaweiUnits[cv_2026]) + SUMIF(tblTencentUnits[Products],$A39, tblTencentUnits[cv_2026]) + SUMIF(tblBaiduUnits[Products],$A39, tblBaiduUnits[cv_2026]) + SUMIF(tblByteDanceUnits[Products],$A39, tblByteDanceUnits[cv_2026]) + SUMIF(tblCloudAOUnits[Products],$A39, tblCloudAOUnits[cv_2026])</f>
        <v>0</v>
      </c>
      <c r="K39" s="8">
        <f xml:space="preserve"> SUMIF(tblGoogleUnits[Products],$A39, tblGoogleUnits[cv_2027]) + SUMIF(tblMetaUnits[Products],$A39, tblMetaUnits[cv_2027]) + SUMIF(tblAmazonUnits[Products],$A39, tblAmazonUnits[cv_2027]) + SUMIF(tblMicrosoftUnits[Products],$A39, tblMicrosoftUnits[cv_2027]) + SUMIF(tblAppleUnits[Products],$A39, tblAppleUnits[cv_2027]) + SUMIF(tblAlibabaUnits[Products],$A39, tblAlibabaUnits[cv_2027]) + SUMIF(tblHuaweiUnits[Products],$A39, tblHuaweiUnits[cv_2027]) + SUMIF(tblTencentUnits[Products],$A39, tblTencentUnits[cv_2027]) + SUMIF(tblBaiduUnits[Products],$A39, tblBaiduUnits[cv_2027]) + SUMIF(tblByteDanceUnits[Products],$A39, tblByteDanceUnits[cv_2027]) + SUMIF(tblCloudAOUnits[Products],$A39, tblCloudAOUnits[cv_2027])</f>
        <v>0</v>
      </c>
      <c r="L39" s="8">
        <f xml:space="preserve"> SUMIF(tblGoogleUnits[Products],$A39, tblGoogleUnits[cv_2028]) + SUMIF(tblMetaUnits[Products],$A39, tblMetaUnits[cv_2028]) + SUMIF(tblAmazonUnits[Products],$A39, tblAmazonUnits[cv_2028]) + SUMIF(tblMicrosoftUnits[Products],$A39, tblMicrosoftUnits[cv_2028]) + SUMIF(tblAppleUnits[Products],$A39, tblAppleUnits[cv_2028]) + SUMIF(tblAlibabaUnits[Products],$A39, tblAlibabaUnits[cv_2028]) + SUMIF(tblHuaweiUnits[Products],$A39, tblHuaweiUnits[cv_2028]) + SUMIF(tblTencentUnits[Products],$A39, tblTencentUnits[cv_2028]) + SUMIF(tblBaiduUnits[Products],$A39, tblBaiduUnits[cv_2028]) + SUMIF(tblByteDanceUnits[Products],$A39, tblByteDanceUnits[cv_2028]) + SUMIF(tblCloudAOUnits[Products],$A39, tblCloudAOUnits[cv_2028])</f>
        <v>0</v>
      </c>
      <c r="M39" s="122">
        <f>10^-6*B39*INDEX(TotalMarket!$M$26:$W$125,MATCH($A39,$A$11:$A$132,0),MATCH(M$10,$M$10:$W$10))</f>
        <v>0</v>
      </c>
      <c r="N39" s="122">
        <f>10^-6*C39*INDEX(TotalMarket!$M$26:$W$125,MATCH($A39,$A$11:$A$132,0),MATCH(N$10,$M$10:$W$10))</f>
        <v>0</v>
      </c>
      <c r="O39" s="122">
        <f>10^-6*D39*INDEX(TotalMarket!$M$26:$W$125,MATCH($A39,$A$11:$A$132,0),MATCH(O$10,$M$10:$W$10))</f>
        <v>0</v>
      </c>
      <c r="P39" s="122">
        <f>10^-6*E39*INDEX(TotalMarket!$M$26:$W$125,MATCH($A39,$A$11:$A$132,0),MATCH(P$10,$M$10:$W$10))</f>
        <v>0</v>
      </c>
      <c r="Q39" s="122">
        <f>10^-6*F39*INDEX(TotalMarket!$M$26:$W$125,MATCH($A39,$A$11:$A$132,0),MATCH(Q$10,$M$10:$W$10))</f>
        <v>0</v>
      </c>
      <c r="R39" s="122">
        <f>10^-6*G39*INDEX(TotalMarket!$M$26:$W$125,MATCH($A39,$A$11:$A$132,0),MATCH(R$10,$M$10:$W$10))</f>
        <v>0</v>
      </c>
      <c r="S39" s="122">
        <f>10^-6*H39*INDEX(TotalMarket!$M$26:$W$125,MATCH($A39,$A$11:$A$132,0),MATCH(S$10,$M$10:$W$10))</f>
        <v>0</v>
      </c>
      <c r="T39" s="122">
        <f>10^-6*I39*INDEX(TotalMarket!$M$26:$W$125,MATCH($A39,$A$11:$A$132,0),MATCH(T$10,$M$10:$W$10))</f>
        <v>0</v>
      </c>
      <c r="U39" s="122">
        <f>10^-6*J39*INDEX(TotalMarket!$M$26:$W$125,MATCH($A39,$A$11:$A$132,0),MATCH(U$10,$M$10:$W$10))</f>
        <v>0</v>
      </c>
      <c r="V39" s="122">
        <f>10^-6*K39*INDEX(TotalMarket!$M$26:$W$125,MATCH($A39,$A$11:$A$132,0),MATCH(V$10,$M$10:$W$10))</f>
        <v>0</v>
      </c>
      <c r="W39" s="122">
        <f>10^-6*L39*INDEX(TotalMarket!$M$26:$W$125,MATCH($A39,$A$11:$A$132,0),MATCH(W$10,$M$10:$W$10))</f>
        <v>0</v>
      </c>
      <c r="X39" s="1">
        <f>VLOOKUP(A39,Products!$A$29:$F$110,6,FALSE)</f>
        <v>50</v>
      </c>
    </row>
    <row r="40" spans="1:24">
      <c r="A40" s="15" t="s">
        <v>175</v>
      </c>
      <c r="B40" s="8">
        <f xml:space="preserve"> SUMIF(tblGoogleUnits[Products],$A40, tblGoogleUnits[cv_2018]) + SUMIF(tblMetaUnits[Products],$A40, tblMetaUnits[cv_2018]) + SUMIF(tblAmazonUnits[Products],$A40, tblAmazonUnits[cv_2018]) + SUMIF(tblMicrosoftUnits[Products],$A40, tblMicrosoftUnits[cv_2018]) + SUMIF(tblAppleUnits[Products],$A40, tblAppleUnits[cv_2018]) + SUMIF(tblAlibabaUnits[Products],$A40, tblAlibabaUnits[cv_2018]) + SUMIF(tblHuaweiUnits[Products],$A40, tblHuaweiUnits[cv_2018]) + SUMIF(tblTencentUnits[Products],$A40, tblTencentUnits[cv_2018]) + SUMIF(tblBaiduUnits[Products],$A40, tblBaiduUnits[cv_2018]) + SUMIF(tblByteDanceUnits[Products],$A40, tblByteDanceUnits[cv_2018]) + SUMIF(tblCloudAOUnits[Products],$A40, tblCloudAOUnits[cv_2018])</f>
        <v>0</v>
      </c>
      <c r="C40" s="8">
        <f xml:space="preserve"> SUMIF(tblGoogleUnits[Products],$A40, tblGoogleUnits[cv_2019]) + SUMIF(tblMetaUnits[Products],$A40, tblMetaUnits[cv_2019]) + SUMIF(tblAmazonUnits[Products],$A40, tblAmazonUnits[cv_2019]) + SUMIF(tblMicrosoftUnits[Products],$A40, tblMicrosoftUnits[cv_2019]) + SUMIF(tblAppleUnits[Products],$A40, tblAppleUnits[cv_2019]) + SUMIF(tblAlibabaUnits[Products],$A40, tblAlibabaUnits[cv_2019]) + SUMIF(tblHuaweiUnits[Products],$A40, tblHuaweiUnits[cv_2019]) + SUMIF(tblTencentUnits[Products],$A40, tblTencentUnits[cv_2019]) + SUMIF(tblBaiduUnits[Products],$A40, tblBaiduUnits[cv_2019]) + SUMIF(tblByteDanceUnits[Products],$A40, tblByteDanceUnits[cv_2019]) + SUMIF(tblCloudAOUnits[Products],$A40, tblCloudAOUnits[cv_2019])</f>
        <v>0</v>
      </c>
      <c r="D40" s="8">
        <f xml:space="preserve"> SUMIF(tblGoogleUnits[Products],$A40, tblGoogleUnits[cv_2020]) + SUMIF(tblMetaUnits[Products],$A40, tblMetaUnits[cv_2020]) + SUMIF(tblAmazonUnits[Products],$A40, tblAmazonUnits[cv_2020]) + SUMIF(tblMicrosoftUnits[Products],$A40, tblMicrosoftUnits[cv_2020]) + SUMIF(tblAppleUnits[Products],$A40, tblAppleUnits[cv_2020]) + SUMIF(tblAlibabaUnits[Products],$A40, tblAlibabaUnits[cv_2020]) + SUMIF(tblHuaweiUnits[Products],$A40, tblHuaweiUnits[cv_2020]) + SUMIF(tblTencentUnits[Products],$A40, tblTencentUnits[cv_2020]) + SUMIF(tblBaiduUnits[Products],$A40, tblBaiduUnits[cv_2020]) + SUMIF(tblByteDanceUnits[Products],$A40, tblByteDanceUnits[cv_2020]) + SUMIF(tblCloudAOUnits[Products],$A40, tblCloudAOUnits[cv_2020])</f>
        <v>0</v>
      </c>
      <c r="E40" s="8">
        <f xml:space="preserve"> SUMIF(tblGoogleUnits[Products],$A40, tblGoogleUnits[cv_2021]) + SUMIF(tblMetaUnits[Products],$A40, tblMetaUnits[cv_2021]) + SUMIF(tblAmazonUnits[Products],$A40, tblAmazonUnits[cv_2021]) + SUMIF(tblMicrosoftUnits[Products],$A40, tblMicrosoftUnits[cv_2021]) + SUMIF(tblAppleUnits[Products],$A40, tblAppleUnits[cv_2021]) + SUMIF(tblAlibabaUnits[Products],$A40, tblAlibabaUnits[cv_2021]) + SUMIF(tblHuaweiUnits[Products],$A40, tblHuaweiUnits[cv_2021]) + SUMIF(tblTencentUnits[Products],$A40, tblTencentUnits[cv_2021]) + SUMIF(tblBaiduUnits[Products],$A40, tblBaiduUnits[cv_2021]) + SUMIF(tblByteDanceUnits[Products],$A40, tblByteDanceUnits[cv_2021]) + SUMIF(tblCloudAOUnits[Products],$A40, tblCloudAOUnits[cv_2021])</f>
        <v>0</v>
      </c>
      <c r="F40" s="8">
        <f xml:space="preserve"> SUMIF(tblGoogleUnits[Products],$A40, tblGoogleUnits[cv_2022]) + SUMIF(tblMetaUnits[Products],$A40, tblMetaUnits[cv_2022]) + SUMIF(tblAmazonUnits[Products],$A40, tblAmazonUnits[cv_2022]) + SUMIF(tblMicrosoftUnits[Products],$A40, tblMicrosoftUnits[cv_2022]) + SUMIF(tblAppleUnits[Products],$A40, tblAppleUnits[cv_2022]) + SUMIF(tblAlibabaUnits[Products],$A40, tblAlibabaUnits[cv_2022]) + SUMIF(tblHuaweiUnits[Products],$A40, tblHuaweiUnits[cv_2022]) + SUMIF(tblTencentUnits[Products],$A40, tblTencentUnits[cv_2022]) + SUMIF(tblBaiduUnits[Products],$A40, tblBaiduUnits[cv_2022]) + SUMIF(tblByteDanceUnits[Products],$A40, tblByteDanceUnits[cv_2022]) + SUMIF(tblCloudAOUnits[Products],$A40, tblCloudAOUnits[cv_2022])</f>
        <v>0</v>
      </c>
      <c r="G40" s="8">
        <f xml:space="preserve"> SUMIF(tblGoogleUnits[Products],$A40, tblGoogleUnits[cv_2023]) + SUMIF(tblMetaUnits[Products],$A40, tblMetaUnits[cv_2023]) + SUMIF(tblAmazonUnits[Products],$A40, tblAmazonUnits[cv_2023]) + SUMIF(tblMicrosoftUnits[Products],$A40, tblMicrosoftUnits[cv_2023]) + SUMIF(tblAppleUnits[Products],$A40, tblAppleUnits[cv_2023]) + SUMIF(tblAlibabaUnits[Products],$A40, tblAlibabaUnits[cv_2023]) + SUMIF(tblHuaweiUnits[Products],$A40, tblHuaweiUnits[cv_2023]) + SUMIF(tblTencentUnits[Products],$A40, tblTencentUnits[cv_2023]) + SUMIF(tblBaiduUnits[Products],$A40, tblBaiduUnits[cv_2023]) + SUMIF(tblByteDanceUnits[Products],$A40, tblByteDanceUnits[cv_2023]) + SUMIF(tblCloudAOUnits[Products],$A40, tblCloudAOUnits[cv_2023])</f>
        <v>0</v>
      </c>
      <c r="H40" s="8">
        <f xml:space="preserve"> SUMIF(tblGoogleUnits[Products],$A40, tblGoogleUnits[cv_2024]) + SUMIF(tblMetaUnits[Products],$A40, tblMetaUnits[cv_2024]) + SUMIF(tblAmazonUnits[Products],$A40, tblAmazonUnits[cv_2024]) + SUMIF(tblMicrosoftUnits[Products],$A40, tblMicrosoftUnits[cv_2024]) + SUMIF(tblAppleUnits[Products],$A40, tblAppleUnits[cv_2024]) + SUMIF(tblAlibabaUnits[Products],$A40, tblAlibabaUnits[cv_2024]) + SUMIF(tblHuaweiUnits[Products],$A40, tblHuaweiUnits[cv_2024]) + SUMIF(tblTencentUnits[Products],$A40, tblTencentUnits[cv_2024]) + SUMIF(tblBaiduUnits[Products],$A40, tblBaiduUnits[cv_2024]) + SUMIF(tblByteDanceUnits[Products],$A40, tblByteDanceUnits[cv_2024]) + SUMIF(tblCloudAOUnits[Products],$A40, tblCloudAOUnits[cv_2024])</f>
        <v>0</v>
      </c>
      <c r="I40" s="8">
        <f xml:space="preserve"> SUMIF(tblGoogleUnits[Products],$A40, tblGoogleUnits[cv_2025]) + SUMIF(tblMetaUnits[Products],$A40, tblMetaUnits[cv_2025]) + SUMIF(tblAmazonUnits[Products],$A40, tblAmazonUnits[cv_2025]) + SUMIF(tblMicrosoftUnits[Products],$A40, tblMicrosoftUnits[cv_2025]) + SUMIF(tblAppleUnits[Products],$A40, tblAppleUnits[cv_2025]) + SUMIF(tblAlibabaUnits[Products],$A40, tblAlibabaUnits[cv_2025]) + SUMIF(tblHuaweiUnits[Products],$A40, tblHuaweiUnits[cv_2025]) + SUMIF(tblTencentUnits[Products],$A40, tblTencentUnits[cv_2025]) + SUMIF(tblBaiduUnits[Products],$A40, tblBaiduUnits[cv_2025]) + SUMIF(tblByteDanceUnits[Products],$A40, tblByteDanceUnits[cv_2025]) + SUMIF(tblCloudAOUnits[Products],$A40, tblCloudAOUnits[cv_2025])</f>
        <v>0</v>
      </c>
      <c r="J40" s="8">
        <f xml:space="preserve"> SUMIF(tblGoogleUnits[Products],$A40, tblGoogleUnits[cv_2026]) + SUMIF(tblMetaUnits[Products],$A40, tblMetaUnits[cv_2026]) + SUMIF(tblAmazonUnits[Products],$A40, tblAmazonUnits[cv_2026]) + SUMIF(tblMicrosoftUnits[Products],$A40, tblMicrosoftUnits[cv_2026]) + SUMIF(tblAppleUnits[Products],$A40, tblAppleUnits[cv_2026]) + SUMIF(tblAlibabaUnits[Products],$A40, tblAlibabaUnits[cv_2026]) + SUMIF(tblHuaweiUnits[Products],$A40, tblHuaweiUnits[cv_2026]) + SUMIF(tblTencentUnits[Products],$A40, tblTencentUnits[cv_2026]) + SUMIF(tblBaiduUnits[Products],$A40, tblBaiduUnits[cv_2026]) + SUMIF(tblByteDanceUnits[Products],$A40, tblByteDanceUnits[cv_2026]) + SUMIF(tblCloudAOUnits[Products],$A40, tblCloudAOUnits[cv_2026])</f>
        <v>0</v>
      </c>
      <c r="K40" s="8">
        <f xml:space="preserve"> SUMIF(tblGoogleUnits[Products],$A40, tblGoogleUnits[cv_2027]) + SUMIF(tblMetaUnits[Products],$A40, tblMetaUnits[cv_2027]) + SUMIF(tblAmazonUnits[Products],$A40, tblAmazonUnits[cv_2027]) + SUMIF(tblMicrosoftUnits[Products],$A40, tblMicrosoftUnits[cv_2027]) + SUMIF(tblAppleUnits[Products],$A40, tblAppleUnits[cv_2027]) + SUMIF(tblAlibabaUnits[Products],$A40, tblAlibabaUnits[cv_2027]) + SUMIF(tblHuaweiUnits[Products],$A40, tblHuaweiUnits[cv_2027]) + SUMIF(tblTencentUnits[Products],$A40, tblTencentUnits[cv_2027]) + SUMIF(tblBaiduUnits[Products],$A40, tblBaiduUnits[cv_2027]) + SUMIF(tblByteDanceUnits[Products],$A40, tblByteDanceUnits[cv_2027]) + SUMIF(tblCloudAOUnits[Products],$A40, tblCloudAOUnits[cv_2027])</f>
        <v>0</v>
      </c>
      <c r="L40" s="8">
        <f xml:space="preserve"> SUMIF(tblGoogleUnits[Products],$A40, tblGoogleUnits[cv_2028]) + SUMIF(tblMetaUnits[Products],$A40, tblMetaUnits[cv_2028]) + SUMIF(tblAmazonUnits[Products],$A40, tblAmazonUnits[cv_2028]) + SUMIF(tblMicrosoftUnits[Products],$A40, tblMicrosoftUnits[cv_2028]) + SUMIF(tblAppleUnits[Products],$A40, tblAppleUnits[cv_2028]) + SUMIF(tblAlibabaUnits[Products],$A40, tblAlibabaUnits[cv_2028]) + SUMIF(tblHuaweiUnits[Products],$A40, tblHuaweiUnits[cv_2028]) + SUMIF(tblTencentUnits[Products],$A40, tblTencentUnits[cv_2028]) + SUMIF(tblBaiduUnits[Products],$A40, tblBaiduUnits[cv_2028]) + SUMIF(tblByteDanceUnits[Products],$A40, tblByteDanceUnits[cv_2028]) + SUMIF(tblCloudAOUnits[Products],$A40, tblCloudAOUnits[cv_2028])</f>
        <v>0</v>
      </c>
      <c r="M40" s="122">
        <f>10^-6*B40*INDEX(TotalMarket!$M$26:$W$125,MATCH($A40,$A$11:$A$132,0),MATCH(M$10,$M$10:$W$10))</f>
        <v>0</v>
      </c>
      <c r="N40" s="122">
        <f>10^-6*C40*INDEX(TotalMarket!$M$26:$W$125,MATCH($A40,$A$11:$A$132,0),MATCH(N$10,$M$10:$W$10))</f>
        <v>0</v>
      </c>
      <c r="O40" s="122">
        <f>10^-6*D40*INDEX(TotalMarket!$M$26:$W$125,MATCH($A40,$A$11:$A$132,0),MATCH(O$10,$M$10:$W$10))</f>
        <v>0</v>
      </c>
      <c r="P40" s="122">
        <f>10^-6*E40*INDEX(TotalMarket!$M$26:$W$125,MATCH($A40,$A$11:$A$132,0),MATCH(P$10,$M$10:$W$10))</f>
        <v>0</v>
      </c>
      <c r="Q40" s="122">
        <f>10^-6*F40*INDEX(TotalMarket!$M$26:$W$125,MATCH($A40,$A$11:$A$132,0),MATCH(Q$10,$M$10:$W$10))</f>
        <v>0</v>
      </c>
      <c r="R40" s="122">
        <f>10^-6*G40*INDEX(TotalMarket!$M$26:$W$125,MATCH($A40,$A$11:$A$132,0),MATCH(R$10,$M$10:$W$10))</f>
        <v>0</v>
      </c>
      <c r="S40" s="122">
        <f>10^-6*H40*INDEX(TotalMarket!$M$26:$W$125,MATCH($A40,$A$11:$A$132,0),MATCH(S$10,$M$10:$W$10))</f>
        <v>0</v>
      </c>
      <c r="T40" s="122">
        <f>10^-6*I40*INDEX(TotalMarket!$M$26:$W$125,MATCH($A40,$A$11:$A$132,0),MATCH(T$10,$M$10:$W$10))</f>
        <v>0</v>
      </c>
      <c r="U40" s="122">
        <f>10^-6*J40*INDEX(TotalMarket!$M$26:$W$125,MATCH($A40,$A$11:$A$132,0),MATCH(U$10,$M$10:$W$10))</f>
        <v>0</v>
      </c>
      <c r="V40" s="122">
        <f>10^-6*K40*INDEX(TotalMarket!$M$26:$W$125,MATCH($A40,$A$11:$A$132,0),MATCH(V$10,$M$10:$W$10))</f>
        <v>0</v>
      </c>
      <c r="W40" s="122">
        <f>10^-6*L40*INDEX(TotalMarket!$M$26:$W$125,MATCH($A40,$A$11:$A$132,0),MATCH(W$10,$M$10:$W$10))</f>
        <v>0</v>
      </c>
      <c r="X40" s="1">
        <f>VLOOKUP(A40,Products!$A$29:$F$110,6,FALSE)</f>
        <v>50</v>
      </c>
    </row>
    <row r="41" spans="1:24">
      <c r="A41" s="15" t="s">
        <v>176</v>
      </c>
      <c r="B41" s="8">
        <f xml:space="preserve"> SUMIF(tblGoogleUnits[Products],$A41, tblGoogleUnits[cv_2018]) + SUMIF(tblMetaUnits[Products],$A41, tblMetaUnits[cv_2018]) + SUMIF(tblAmazonUnits[Products],$A41, tblAmazonUnits[cv_2018]) + SUMIF(tblMicrosoftUnits[Products],$A41, tblMicrosoftUnits[cv_2018]) + SUMIF(tblAppleUnits[Products],$A41, tblAppleUnits[cv_2018]) + SUMIF(tblAlibabaUnits[Products],$A41, tblAlibabaUnits[cv_2018]) + SUMIF(tblHuaweiUnits[Products],$A41, tblHuaweiUnits[cv_2018]) + SUMIF(tblTencentUnits[Products],$A41, tblTencentUnits[cv_2018]) + SUMIF(tblBaiduUnits[Products],$A41, tblBaiduUnits[cv_2018]) + SUMIF(tblByteDanceUnits[Products],$A41, tblByteDanceUnits[cv_2018]) + SUMIF(tblCloudAOUnits[Products],$A41, tblCloudAOUnits[cv_2018])</f>
        <v>0</v>
      </c>
      <c r="C41" s="8">
        <f xml:space="preserve"> SUMIF(tblGoogleUnits[Products],$A41, tblGoogleUnits[cv_2019]) + SUMIF(tblMetaUnits[Products],$A41, tblMetaUnits[cv_2019]) + SUMIF(tblAmazonUnits[Products],$A41, tblAmazonUnits[cv_2019]) + SUMIF(tblMicrosoftUnits[Products],$A41, tblMicrosoftUnits[cv_2019]) + SUMIF(tblAppleUnits[Products],$A41, tblAppleUnits[cv_2019]) + SUMIF(tblAlibabaUnits[Products],$A41, tblAlibabaUnits[cv_2019]) + SUMIF(tblHuaweiUnits[Products],$A41, tblHuaweiUnits[cv_2019]) + SUMIF(tblTencentUnits[Products],$A41, tblTencentUnits[cv_2019]) + SUMIF(tblBaiduUnits[Products],$A41, tblBaiduUnits[cv_2019]) + SUMIF(tblByteDanceUnits[Products],$A41, tblByteDanceUnits[cv_2019]) + SUMIF(tblCloudAOUnits[Products],$A41, tblCloudAOUnits[cv_2019])</f>
        <v>0</v>
      </c>
      <c r="D41" s="8">
        <f xml:space="preserve"> SUMIF(tblGoogleUnits[Products],$A41, tblGoogleUnits[cv_2020]) + SUMIF(tblMetaUnits[Products],$A41, tblMetaUnits[cv_2020]) + SUMIF(tblAmazonUnits[Products],$A41, tblAmazonUnits[cv_2020]) + SUMIF(tblMicrosoftUnits[Products],$A41, tblMicrosoftUnits[cv_2020]) + SUMIF(tblAppleUnits[Products],$A41, tblAppleUnits[cv_2020]) + SUMIF(tblAlibabaUnits[Products],$A41, tblAlibabaUnits[cv_2020]) + SUMIF(tblHuaweiUnits[Products],$A41, tblHuaweiUnits[cv_2020]) + SUMIF(tblTencentUnits[Products],$A41, tblTencentUnits[cv_2020]) + SUMIF(tblBaiduUnits[Products],$A41, tblBaiduUnits[cv_2020]) + SUMIF(tblByteDanceUnits[Products],$A41, tblByteDanceUnits[cv_2020]) + SUMIF(tblCloudAOUnits[Products],$A41, tblCloudAOUnits[cv_2020])</f>
        <v>0</v>
      </c>
      <c r="E41" s="8">
        <f xml:space="preserve"> SUMIF(tblGoogleUnits[Products],$A41, tblGoogleUnits[cv_2021]) + SUMIF(tblMetaUnits[Products],$A41, tblMetaUnits[cv_2021]) + SUMIF(tblAmazonUnits[Products],$A41, tblAmazonUnits[cv_2021]) + SUMIF(tblMicrosoftUnits[Products],$A41, tblMicrosoftUnits[cv_2021]) + SUMIF(tblAppleUnits[Products],$A41, tblAppleUnits[cv_2021]) + SUMIF(tblAlibabaUnits[Products],$A41, tblAlibabaUnits[cv_2021]) + SUMIF(tblHuaweiUnits[Products],$A41, tblHuaweiUnits[cv_2021]) + SUMIF(tblTencentUnits[Products],$A41, tblTencentUnits[cv_2021]) + SUMIF(tblBaiduUnits[Products],$A41, tblBaiduUnits[cv_2021]) + SUMIF(tblByteDanceUnits[Products],$A41, tblByteDanceUnits[cv_2021]) + SUMIF(tblCloudAOUnits[Products],$A41, tblCloudAOUnits[cv_2021])</f>
        <v>0</v>
      </c>
      <c r="F41" s="8">
        <f xml:space="preserve"> SUMIF(tblGoogleUnits[Products],$A41, tblGoogleUnits[cv_2022]) + SUMIF(tblMetaUnits[Products],$A41, tblMetaUnits[cv_2022]) + SUMIF(tblAmazonUnits[Products],$A41, tblAmazonUnits[cv_2022]) + SUMIF(tblMicrosoftUnits[Products],$A41, tblMicrosoftUnits[cv_2022]) + SUMIF(tblAppleUnits[Products],$A41, tblAppleUnits[cv_2022]) + SUMIF(tblAlibabaUnits[Products],$A41, tblAlibabaUnits[cv_2022]) + SUMIF(tblHuaweiUnits[Products],$A41, tblHuaweiUnits[cv_2022]) + SUMIF(tblTencentUnits[Products],$A41, tblTencentUnits[cv_2022]) + SUMIF(tblBaiduUnits[Products],$A41, tblBaiduUnits[cv_2022]) + SUMIF(tblByteDanceUnits[Products],$A41, tblByteDanceUnits[cv_2022]) + SUMIF(tblCloudAOUnits[Products],$A41, tblCloudAOUnits[cv_2022])</f>
        <v>0</v>
      </c>
      <c r="G41" s="8">
        <f xml:space="preserve"> SUMIF(tblGoogleUnits[Products],$A41, tblGoogleUnits[cv_2023]) + SUMIF(tblMetaUnits[Products],$A41, tblMetaUnits[cv_2023]) + SUMIF(tblAmazonUnits[Products],$A41, tblAmazonUnits[cv_2023]) + SUMIF(tblMicrosoftUnits[Products],$A41, tblMicrosoftUnits[cv_2023]) + SUMIF(tblAppleUnits[Products],$A41, tblAppleUnits[cv_2023]) + SUMIF(tblAlibabaUnits[Products],$A41, tblAlibabaUnits[cv_2023]) + SUMIF(tblHuaweiUnits[Products],$A41, tblHuaweiUnits[cv_2023]) + SUMIF(tblTencentUnits[Products],$A41, tblTencentUnits[cv_2023]) + SUMIF(tblBaiduUnits[Products],$A41, tblBaiduUnits[cv_2023]) + SUMIF(tblByteDanceUnits[Products],$A41, tblByteDanceUnits[cv_2023]) + SUMIF(tblCloudAOUnits[Products],$A41, tblCloudAOUnits[cv_2023])</f>
        <v>0</v>
      </c>
      <c r="H41" s="8">
        <f xml:space="preserve"> SUMIF(tblGoogleUnits[Products],$A41, tblGoogleUnits[cv_2024]) + SUMIF(tblMetaUnits[Products],$A41, tblMetaUnits[cv_2024]) + SUMIF(tblAmazonUnits[Products],$A41, tblAmazonUnits[cv_2024]) + SUMIF(tblMicrosoftUnits[Products],$A41, tblMicrosoftUnits[cv_2024]) + SUMIF(tblAppleUnits[Products],$A41, tblAppleUnits[cv_2024]) + SUMIF(tblAlibabaUnits[Products],$A41, tblAlibabaUnits[cv_2024]) + SUMIF(tblHuaweiUnits[Products],$A41, tblHuaweiUnits[cv_2024]) + SUMIF(tblTencentUnits[Products],$A41, tblTencentUnits[cv_2024]) + SUMIF(tblBaiduUnits[Products],$A41, tblBaiduUnits[cv_2024]) + SUMIF(tblByteDanceUnits[Products],$A41, tblByteDanceUnits[cv_2024]) + SUMIF(tblCloudAOUnits[Products],$A41, tblCloudAOUnits[cv_2024])</f>
        <v>0</v>
      </c>
      <c r="I41" s="8">
        <f xml:space="preserve"> SUMIF(tblGoogleUnits[Products],$A41, tblGoogleUnits[cv_2025]) + SUMIF(tblMetaUnits[Products],$A41, tblMetaUnits[cv_2025]) + SUMIF(tblAmazonUnits[Products],$A41, tblAmazonUnits[cv_2025]) + SUMIF(tblMicrosoftUnits[Products],$A41, tblMicrosoftUnits[cv_2025]) + SUMIF(tblAppleUnits[Products],$A41, tblAppleUnits[cv_2025]) + SUMIF(tblAlibabaUnits[Products],$A41, tblAlibabaUnits[cv_2025]) + SUMIF(tblHuaweiUnits[Products],$A41, tblHuaweiUnits[cv_2025]) + SUMIF(tblTencentUnits[Products],$A41, tblTencentUnits[cv_2025]) + SUMIF(tblBaiduUnits[Products],$A41, tblBaiduUnits[cv_2025]) + SUMIF(tblByteDanceUnits[Products],$A41, tblByteDanceUnits[cv_2025]) + SUMIF(tblCloudAOUnits[Products],$A41, tblCloudAOUnits[cv_2025])</f>
        <v>0</v>
      </c>
      <c r="J41" s="8">
        <f xml:space="preserve"> SUMIF(tblGoogleUnits[Products],$A41, tblGoogleUnits[cv_2026]) + SUMIF(tblMetaUnits[Products],$A41, tblMetaUnits[cv_2026]) + SUMIF(tblAmazonUnits[Products],$A41, tblAmazonUnits[cv_2026]) + SUMIF(tblMicrosoftUnits[Products],$A41, tblMicrosoftUnits[cv_2026]) + SUMIF(tblAppleUnits[Products],$A41, tblAppleUnits[cv_2026]) + SUMIF(tblAlibabaUnits[Products],$A41, tblAlibabaUnits[cv_2026]) + SUMIF(tblHuaweiUnits[Products],$A41, tblHuaweiUnits[cv_2026]) + SUMIF(tblTencentUnits[Products],$A41, tblTencentUnits[cv_2026]) + SUMIF(tblBaiduUnits[Products],$A41, tblBaiduUnits[cv_2026]) + SUMIF(tblByteDanceUnits[Products],$A41, tblByteDanceUnits[cv_2026]) + SUMIF(tblCloudAOUnits[Products],$A41, tblCloudAOUnits[cv_2026])</f>
        <v>0</v>
      </c>
      <c r="K41" s="8">
        <f xml:space="preserve"> SUMIF(tblGoogleUnits[Products],$A41, tblGoogleUnits[cv_2027]) + SUMIF(tblMetaUnits[Products],$A41, tblMetaUnits[cv_2027]) + SUMIF(tblAmazonUnits[Products],$A41, tblAmazonUnits[cv_2027]) + SUMIF(tblMicrosoftUnits[Products],$A41, tblMicrosoftUnits[cv_2027]) + SUMIF(tblAppleUnits[Products],$A41, tblAppleUnits[cv_2027]) + SUMIF(tblAlibabaUnits[Products],$A41, tblAlibabaUnits[cv_2027]) + SUMIF(tblHuaweiUnits[Products],$A41, tblHuaweiUnits[cv_2027]) + SUMIF(tblTencentUnits[Products],$A41, tblTencentUnits[cv_2027]) + SUMIF(tblBaiduUnits[Products],$A41, tblBaiduUnits[cv_2027]) + SUMIF(tblByteDanceUnits[Products],$A41, tblByteDanceUnits[cv_2027]) + SUMIF(tblCloudAOUnits[Products],$A41, tblCloudAOUnits[cv_2027])</f>
        <v>0</v>
      </c>
      <c r="L41" s="8">
        <f xml:space="preserve"> SUMIF(tblGoogleUnits[Products],$A41, tblGoogleUnits[cv_2028]) + SUMIF(tblMetaUnits[Products],$A41, tblMetaUnits[cv_2028]) + SUMIF(tblAmazonUnits[Products],$A41, tblAmazonUnits[cv_2028]) + SUMIF(tblMicrosoftUnits[Products],$A41, tblMicrosoftUnits[cv_2028]) + SUMIF(tblAppleUnits[Products],$A41, tblAppleUnits[cv_2028]) + SUMIF(tblAlibabaUnits[Products],$A41, tblAlibabaUnits[cv_2028]) + SUMIF(tblHuaweiUnits[Products],$A41, tblHuaweiUnits[cv_2028]) + SUMIF(tblTencentUnits[Products],$A41, tblTencentUnits[cv_2028]) + SUMIF(tblBaiduUnits[Products],$A41, tblBaiduUnits[cv_2028]) + SUMIF(tblByteDanceUnits[Products],$A41, tblByteDanceUnits[cv_2028]) + SUMIF(tblCloudAOUnits[Products],$A41, tblCloudAOUnits[cv_2028])</f>
        <v>0</v>
      </c>
      <c r="M41" s="122">
        <f>10^-6*B41*INDEX(TotalMarket!$M$26:$W$125,MATCH($A41,$A$11:$A$132,0),MATCH(M$10,$M$10:$W$10))</f>
        <v>0</v>
      </c>
      <c r="N41" s="122">
        <f>10^-6*C41*INDEX(TotalMarket!$M$26:$W$125,MATCH($A41,$A$11:$A$132,0),MATCH(N$10,$M$10:$W$10))</f>
        <v>0</v>
      </c>
      <c r="O41" s="122">
        <f>10^-6*D41*INDEX(TotalMarket!$M$26:$W$125,MATCH($A41,$A$11:$A$132,0),MATCH(O$10,$M$10:$W$10))</f>
        <v>0</v>
      </c>
      <c r="P41" s="122">
        <f>10^-6*E41*INDEX(TotalMarket!$M$26:$W$125,MATCH($A41,$A$11:$A$132,0),MATCH(P$10,$M$10:$W$10))</f>
        <v>0</v>
      </c>
      <c r="Q41" s="122">
        <f>10^-6*F41*INDEX(TotalMarket!$M$26:$W$125,MATCH($A41,$A$11:$A$132,0),MATCH(Q$10,$M$10:$W$10))</f>
        <v>0</v>
      </c>
      <c r="R41" s="122">
        <f>10^-6*G41*INDEX(TotalMarket!$M$26:$W$125,MATCH($A41,$A$11:$A$132,0),MATCH(R$10,$M$10:$W$10))</f>
        <v>0</v>
      </c>
      <c r="S41" s="122">
        <f>10^-6*H41*INDEX(TotalMarket!$M$26:$W$125,MATCH($A41,$A$11:$A$132,0),MATCH(S$10,$M$10:$W$10))</f>
        <v>0</v>
      </c>
      <c r="T41" s="122">
        <f>10^-6*I41*INDEX(TotalMarket!$M$26:$W$125,MATCH($A41,$A$11:$A$132,0),MATCH(T$10,$M$10:$W$10))</f>
        <v>0</v>
      </c>
      <c r="U41" s="122">
        <f>10^-6*J41*INDEX(TotalMarket!$M$26:$W$125,MATCH($A41,$A$11:$A$132,0),MATCH(U$10,$M$10:$W$10))</f>
        <v>0</v>
      </c>
      <c r="V41" s="122">
        <f>10^-6*K41*INDEX(TotalMarket!$M$26:$W$125,MATCH($A41,$A$11:$A$132,0),MATCH(V$10,$M$10:$W$10))</f>
        <v>0</v>
      </c>
      <c r="W41" s="122">
        <f>10^-6*L41*INDEX(TotalMarket!$M$26:$W$125,MATCH($A41,$A$11:$A$132,0),MATCH(W$10,$M$10:$W$10))</f>
        <v>0</v>
      </c>
      <c r="X41" s="1">
        <f>VLOOKUP(A41,Products!$A$29:$F$110,6,FALSE)</f>
        <v>50</v>
      </c>
    </row>
    <row r="42" spans="1:24">
      <c r="A42" s="15" t="s">
        <v>177</v>
      </c>
      <c r="B42" s="8">
        <f xml:space="preserve"> SUMIF(tblGoogleUnits[Products],$A42, tblGoogleUnits[cv_2018]) + SUMIF(tblMetaUnits[Products],$A42, tblMetaUnits[cv_2018]) + SUMIF(tblAmazonUnits[Products],$A42, tblAmazonUnits[cv_2018]) + SUMIF(tblMicrosoftUnits[Products],$A42, tblMicrosoftUnits[cv_2018]) + SUMIF(tblAppleUnits[Products],$A42, tblAppleUnits[cv_2018]) + SUMIF(tblAlibabaUnits[Products],$A42, tblAlibabaUnits[cv_2018]) + SUMIF(tblHuaweiUnits[Products],$A42, tblHuaweiUnits[cv_2018]) + SUMIF(tblTencentUnits[Products],$A42, tblTencentUnits[cv_2018]) + SUMIF(tblBaiduUnits[Products],$A42, tblBaiduUnits[cv_2018]) + SUMIF(tblByteDanceUnits[Products],$A42, tblByteDanceUnits[cv_2018]) + SUMIF(tblCloudAOUnits[Products],$A42, tblCloudAOUnits[cv_2018])</f>
        <v>0</v>
      </c>
      <c r="C42" s="8">
        <f xml:space="preserve"> SUMIF(tblGoogleUnits[Products],$A42, tblGoogleUnits[cv_2019]) + SUMIF(tblMetaUnits[Products],$A42, tblMetaUnits[cv_2019]) + SUMIF(tblAmazonUnits[Products],$A42, tblAmazonUnits[cv_2019]) + SUMIF(tblMicrosoftUnits[Products],$A42, tblMicrosoftUnits[cv_2019]) + SUMIF(tblAppleUnits[Products],$A42, tblAppleUnits[cv_2019]) + SUMIF(tblAlibabaUnits[Products],$A42, tblAlibabaUnits[cv_2019]) + SUMIF(tblHuaweiUnits[Products],$A42, tblHuaweiUnits[cv_2019]) + SUMIF(tblTencentUnits[Products],$A42, tblTencentUnits[cv_2019]) + SUMIF(tblBaiduUnits[Products],$A42, tblBaiduUnits[cv_2019]) + SUMIF(tblByteDanceUnits[Products],$A42, tblByteDanceUnits[cv_2019]) + SUMIF(tblCloudAOUnits[Products],$A42, tblCloudAOUnits[cv_2019])</f>
        <v>0</v>
      </c>
      <c r="D42" s="8">
        <f xml:space="preserve"> SUMIF(tblGoogleUnits[Products],$A42, tblGoogleUnits[cv_2020]) + SUMIF(tblMetaUnits[Products],$A42, tblMetaUnits[cv_2020]) + SUMIF(tblAmazonUnits[Products],$A42, tblAmazonUnits[cv_2020]) + SUMIF(tblMicrosoftUnits[Products],$A42, tblMicrosoftUnits[cv_2020]) + SUMIF(tblAppleUnits[Products],$A42, tblAppleUnits[cv_2020]) + SUMIF(tblAlibabaUnits[Products],$A42, tblAlibabaUnits[cv_2020]) + SUMIF(tblHuaweiUnits[Products],$A42, tblHuaweiUnits[cv_2020]) + SUMIF(tblTencentUnits[Products],$A42, tblTencentUnits[cv_2020]) + SUMIF(tblBaiduUnits[Products],$A42, tblBaiduUnits[cv_2020]) + SUMIF(tblByteDanceUnits[Products],$A42, tblByteDanceUnits[cv_2020]) + SUMIF(tblCloudAOUnits[Products],$A42, tblCloudAOUnits[cv_2020])</f>
        <v>0</v>
      </c>
      <c r="E42" s="8">
        <f xml:space="preserve"> SUMIF(tblGoogleUnits[Products],$A42, tblGoogleUnits[cv_2021]) + SUMIF(tblMetaUnits[Products],$A42, tblMetaUnits[cv_2021]) + SUMIF(tblAmazonUnits[Products],$A42, tblAmazonUnits[cv_2021]) + SUMIF(tblMicrosoftUnits[Products],$A42, tblMicrosoftUnits[cv_2021]) + SUMIF(tblAppleUnits[Products],$A42, tblAppleUnits[cv_2021]) + SUMIF(tblAlibabaUnits[Products],$A42, tblAlibabaUnits[cv_2021]) + SUMIF(tblHuaweiUnits[Products],$A42, tblHuaweiUnits[cv_2021]) + SUMIF(tblTencentUnits[Products],$A42, tblTencentUnits[cv_2021]) + SUMIF(tblBaiduUnits[Products],$A42, tblBaiduUnits[cv_2021]) + SUMIF(tblByteDanceUnits[Products],$A42, tblByteDanceUnits[cv_2021]) + SUMIF(tblCloudAOUnits[Products],$A42, tblCloudAOUnits[cv_2021])</f>
        <v>0</v>
      </c>
      <c r="F42" s="8">
        <f xml:space="preserve"> SUMIF(tblGoogleUnits[Products],$A42, tblGoogleUnits[cv_2022]) + SUMIF(tblMetaUnits[Products],$A42, tblMetaUnits[cv_2022]) + SUMIF(tblAmazonUnits[Products],$A42, tblAmazonUnits[cv_2022]) + SUMIF(tblMicrosoftUnits[Products],$A42, tblMicrosoftUnits[cv_2022]) + SUMIF(tblAppleUnits[Products],$A42, tblAppleUnits[cv_2022]) + SUMIF(tblAlibabaUnits[Products],$A42, tblAlibabaUnits[cv_2022]) + SUMIF(tblHuaweiUnits[Products],$A42, tblHuaweiUnits[cv_2022]) + SUMIF(tblTencentUnits[Products],$A42, tblTencentUnits[cv_2022]) + SUMIF(tblBaiduUnits[Products],$A42, tblBaiduUnits[cv_2022]) + SUMIF(tblByteDanceUnits[Products],$A42, tblByteDanceUnits[cv_2022]) + SUMIF(tblCloudAOUnits[Products],$A42, tblCloudAOUnits[cv_2022])</f>
        <v>0</v>
      </c>
      <c r="G42" s="8">
        <f xml:space="preserve"> SUMIF(tblGoogleUnits[Products],$A42, tblGoogleUnits[cv_2023]) + SUMIF(tblMetaUnits[Products],$A42, tblMetaUnits[cv_2023]) + SUMIF(tblAmazonUnits[Products],$A42, tblAmazonUnits[cv_2023]) + SUMIF(tblMicrosoftUnits[Products],$A42, tblMicrosoftUnits[cv_2023]) + SUMIF(tblAppleUnits[Products],$A42, tblAppleUnits[cv_2023]) + SUMIF(tblAlibabaUnits[Products],$A42, tblAlibabaUnits[cv_2023]) + SUMIF(tblHuaweiUnits[Products],$A42, tblHuaweiUnits[cv_2023]) + SUMIF(tblTencentUnits[Products],$A42, tblTencentUnits[cv_2023]) + SUMIF(tblBaiduUnits[Products],$A42, tblBaiduUnits[cv_2023]) + SUMIF(tblByteDanceUnits[Products],$A42, tblByteDanceUnits[cv_2023]) + SUMIF(tblCloudAOUnits[Products],$A42, tblCloudAOUnits[cv_2023])</f>
        <v>0</v>
      </c>
      <c r="H42" s="8">
        <f xml:space="preserve"> SUMIF(tblGoogleUnits[Products],$A42, tblGoogleUnits[cv_2024]) + SUMIF(tblMetaUnits[Products],$A42, tblMetaUnits[cv_2024]) + SUMIF(tblAmazonUnits[Products],$A42, tblAmazonUnits[cv_2024]) + SUMIF(tblMicrosoftUnits[Products],$A42, tblMicrosoftUnits[cv_2024]) + SUMIF(tblAppleUnits[Products],$A42, tblAppleUnits[cv_2024]) + SUMIF(tblAlibabaUnits[Products],$A42, tblAlibabaUnits[cv_2024]) + SUMIF(tblHuaweiUnits[Products],$A42, tblHuaweiUnits[cv_2024]) + SUMIF(tblTencentUnits[Products],$A42, tblTencentUnits[cv_2024]) + SUMIF(tblBaiduUnits[Products],$A42, tblBaiduUnits[cv_2024]) + SUMIF(tblByteDanceUnits[Products],$A42, tblByteDanceUnits[cv_2024]) + SUMIF(tblCloudAOUnits[Products],$A42, tblCloudAOUnits[cv_2024])</f>
        <v>0</v>
      </c>
      <c r="I42" s="8">
        <f xml:space="preserve"> SUMIF(tblGoogleUnits[Products],$A42, tblGoogleUnits[cv_2025]) + SUMIF(tblMetaUnits[Products],$A42, tblMetaUnits[cv_2025]) + SUMIF(tblAmazonUnits[Products],$A42, tblAmazonUnits[cv_2025]) + SUMIF(tblMicrosoftUnits[Products],$A42, tblMicrosoftUnits[cv_2025]) + SUMIF(tblAppleUnits[Products],$A42, tblAppleUnits[cv_2025]) + SUMIF(tblAlibabaUnits[Products],$A42, tblAlibabaUnits[cv_2025]) + SUMIF(tblHuaweiUnits[Products],$A42, tblHuaweiUnits[cv_2025]) + SUMIF(tblTencentUnits[Products],$A42, tblTencentUnits[cv_2025]) + SUMIF(tblBaiduUnits[Products],$A42, tblBaiduUnits[cv_2025]) + SUMIF(tblByteDanceUnits[Products],$A42, tblByteDanceUnits[cv_2025]) + SUMIF(tblCloudAOUnits[Products],$A42, tblCloudAOUnits[cv_2025])</f>
        <v>0</v>
      </c>
      <c r="J42" s="8">
        <f xml:space="preserve"> SUMIF(tblGoogleUnits[Products],$A42, tblGoogleUnits[cv_2026]) + SUMIF(tblMetaUnits[Products],$A42, tblMetaUnits[cv_2026]) + SUMIF(tblAmazonUnits[Products],$A42, tblAmazonUnits[cv_2026]) + SUMIF(tblMicrosoftUnits[Products],$A42, tblMicrosoftUnits[cv_2026]) + SUMIF(tblAppleUnits[Products],$A42, tblAppleUnits[cv_2026]) + SUMIF(tblAlibabaUnits[Products],$A42, tblAlibabaUnits[cv_2026]) + SUMIF(tblHuaweiUnits[Products],$A42, tblHuaweiUnits[cv_2026]) + SUMIF(tblTencentUnits[Products],$A42, tblTencentUnits[cv_2026]) + SUMIF(tblBaiduUnits[Products],$A42, tblBaiduUnits[cv_2026]) + SUMIF(tblByteDanceUnits[Products],$A42, tblByteDanceUnits[cv_2026]) + SUMIF(tblCloudAOUnits[Products],$A42, tblCloudAOUnits[cv_2026])</f>
        <v>0</v>
      </c>
      <c r="K42" s="8">
        <f xml:space="preserve"> SUMIF(tblGoogleUnits[Products],$A42, tblGoogleUnits[cv_2027]) + SUMIF(tblMetaUnits[Products],$A42, tblMetaUnits[cv_2027]) + SUMIF(tblAmazonUnits[Products],$A42, tblAmazonUnits[cv_2027]) + SUMIF(tblMicrosoftUnits[Products],$A42, tblMicrosoftUnits[cv_2027]) + SUMIF(tblAppleUnits[Products],$A42, tblAppleUnits[cv_2027]) + SUMIF(tblAlibabaUnits[Products],$A42, tblAlibabaUnits[cv_2027]) + SUMIF(tblHuaweiUnits[Products],$A42, tblHuaweiUnits[cv_2027]) + SUMIF(tblTencentUnits[Products],$A42, tblTencentUnits[cv_2027]) + SUMIF(tblBaiduUnits[Products],$A42, tblBaiduUnits[cv_2027]) + SUMIF(tblByteDanceUnits[Products],$A42, tblByteDanceUnits[cv_2027]) + SUMIF(tblCloudAOUnits[Products],$A42, tblCloudAOUnits[cv_2027])</f>
        <v>0</v>
      </c>
      <c r="L42" s="8">
        <f xml:space="preserve"> SUMIF(tblGoogleUnits[Products],$A42, tblGoogleUnits[cv_2028]) + SUMIF(tblMetaUnits[Products],$A42, tblMetaUnits[cv_2028]) + SUMIF(tblAmazonUnits[Products],$A42, tblAmazonUnits[cv_2028]) + SUMIF(tblMicrosoftUnits[Products],$A42, tblMicrosoftUnits[cv_2028]) + SUMIF(tblAppleUnits[Products],$A42, tblAppleUnits[cv_2028]) + SUMIF(tblAlibabaUnits[Products],$A42, tblAlibabaUnits[cv_2028]) + SUMIF(tblHuaweiUnits[Products],$A42, tblHuaweiUnits[cv_2028]) + SUMIF(tblTencentUnits[Products],$A42, tblTencentUnits[cv_2028]) + SUMIF(tblBaiduUnits[Products],$A42, tblBaiduUnits[cv_2028]) + SUMIF(tblByteDanceUnits[Products],$A42, tblByteDanceUnits[cv_2028]) + SUMIF(tblCloudAOUnits[Products],$A42, tblCloudAOUnits[cv_2028])</f>
        <v>0</v>
      </c>
      <c r="M42" s="122">
        <f>10^-6*B42*INDEX(TotalMarket!$M$26:$W$125,MATCH($A42,$A$11:$A$132,0),MATCH(M$10,$M$10:$W$10))</f>
        <v>0</v>
      </c>
      <c r="N42" s="122">
        <f>10^-6*C42*INDEX(TotalMarket!$M$26:$W$125,MATCH($A42,$A$11:$A$132,0),MATCH(N$10,$M$10:$W$10))</f>
        <v>0</v>
      </c>
      <c r="O42" s="122">
        <f>10^-6*D42*INDEX(TotalMarket!$M$26:$W$125,MATCH($A42,$A$11:$A$132,0),MATCH(O$10,$M$10:$W$10))</f>
        <v>0</v>
      </c>
      <c r="P42" s="122">
        <f>10^-6*E42*INDEX(TotalMarket!$M$26:$W$125,MATCH($A42,$A$11:$A$132,0),MATCH(P$10,$M$10:$W$10))</f>
        <v>0</v>
      </c>
      <c r="Q42" s="122">
        <f>10^-6*F42*INDEX(TotalMarket!$M$26:$W$125,MATCH($A42,$A$11:$A$132,0),MATCH(Q$10,$M$10:$W$10))</f>
        <v>0</v>
      </c>
      <c r="R42" s="122">
        <f>10^-6*G42*INDEX(TotalMarket!$M$26:$W$125,MATCH($A42,$A$11:$A$132,0),MATCH(R$10,$M$10:$W$10))</f>
        <v>0</v>
      </c>
      <c r="S42" s="122">
        <f>10^-6*H42*INDEX(TotalMarket!$M$26:$W$125,MATCH($A42,$A$11:$A$132,0),MATCH(S$10,$M$10:$W$10))</f>
        <v>0</v>
      </c>
      <c r="T42" s="122">
        <f>10^-6*I42*INDEX(TotalMarket!$M$26:$W$125,MATCH($A42,$A$11:$A$132,0),MATCH(T$10,$M$10:$W$10))</f>
        <v>0</v>
      </c>
      <c r="U42" s="122">
        <f>10^-6*J42*INDEX(TotalMarket!$M$26:$W$125,MATCH($A42,$A$11:$A$132,0),MATCH(U$10,$M$10:$W$10))</f>
        <v>0</v>
      </c>
      <c r="V42" s="122">
        <f>10^-6*K42*INDEX(TotalMarket!$M$26:$W$125,MATCH($A42,$A$11:$A$132,0),MATCH(V$10,$M$10:$W$10))</f>
        <v>0</v>
      </c>
      <c r="W42" s="122">
        <f>10^-6*L42*INDEX(TotalMarket!$M$26:$W$125,MATCH($A42,$A$11:$A$132,0),MATCH(W$10,$M$10:$W$10))</f>
        <v>0</v>
      </c>
      <c r="X42" s="1">
        <f>VLOOKUP(A42,Products!$A$29:$F$110,6,FALSE)</f>
        <v>50</v>
      </c>
    </row>
    <row r="43" spans="1:24">
      <c r="A43" s="15" t="s">
        <v>178</v>
      </c>
      <c r="B43" s="8">
        <f xml:space="preserve"> SUMIF(tblGoogleUnits[Products],$A43, tblGoogleUnits[cv_2018]) + SUMIF(tblMetaUnits[Products],$A43, tblMetaUnits[cv_2018]) + SUMIF(tblAmazonUnits[Products],$A43, tblAmazonUnits[cv_2018]) + SUMIF(tblMicrosoftUnits[Products],$A43, tblMicrosoftUnits[cv_2018]) + SUMIF(tblAppleUnits[Products],$A43, tblAppleUnits[cv_2018]) + SUMIF(tblAlibabaUnits[Products],$A43, tblAlibabaUnits[cv_2018]) + SUMIF(tblHuaweiUnits[Products],$A43, tblHuaweiUnits[cv_2018]) + SUMIF(tblTencentUnits[Products],$A43, tblTencentUnits[cv_2018]) + SUMIF(tblBaiduUnits[Products],$A43, tblBaiduUnits[cv_2018]) + SUMIF(tblByteDanceUnits[Products],$A43, tblByteDanceUnits[cv_2018]) + SUMIF(tblCloudAOUnits[Products],$A43, tblCloudAOUnits[cv_2018])</f>
        <v>0</v>
      </c>
      <c r="C43" s="8">
        <f xml:space="preserve"> SUMIF(tblGoogleUnits[Products],$A43, tblGoogleUnits[cv_2019]) + SUMIF(tblMetaUnits[Products],$A43, tblMetaUnits[cv_2019]) + SUMIF(tblAmazonUnits[Products],$A43, tblAmazonUnits[cv_2019]) + SUMIF(tblMicrosoftUnits[Products],$A43, tblMicrosoftUnits[cv_2019]) + SUMIF(tblAppleUnits[Products],$A43, tblAppleUnits[cv_2019]) + SUMIF(tblAlibabaUnits[Products],$A43, tblAlibabaUnits[cv_2019]) + SUMIF(tblHuaweiUnits[Products],$A43, tblHuaweiUnits[cv_2019]) + SUMIF(tblTencentUnits[Products],$A43, tblTencentUnits[cv_2019]) + SUMIF(tblBaiduUnits[Products],$A43, tblBaiduUnits[cv_2019]) + SUMIF(tblByteDanceUnits[Products],$A43, tblByteDanceUnits[cv_2019]) + SUMIF(tblCloudAOUnits[Products],$A43, tblCloudAOUnits[cv_2019])</f>
        <v>0</v>
      </c>
      <c r="D43" s="8">
        <f xml:space="preserve"> SUMIF(tblGoogleUnits[Products],$A43, tblGoogleUnits[cv_2020]) + SUMIF(tblMetaUnits[Products],$A43, tblMetaUnits[cv_2020]) + SUMIF(tblAmazonUnits[Products],$A43, tblAmazonUnits[cv_2020]) + SUMIF(tblMicrosoftUnits[Products],$A43, tblMicrosoftUnits[cv_2020]) + SUMIF(tblAppleUnits[Products],$A43, tblAppleUnits[cv_2020]) + SUMIF(tblAlibabaUnits[Products],$A43, tblAlibabaUnits[cv_2020]) + SUMIF(tblHuaweiUnits[Products],$A43, tblHuaweiUnits[cv_2020]) + SUMIF(tblTencentUnits[Products],$A43, tblTencentUnits[cv_2020]) + SUMIF(tblBaiduUnits[Products],$A43, tblBaiduUnits[cv_2020]) + SUMIF(tblByteDanceUnits[Products],$A43, tblByteDanceUnits[cv_2020]) + SUMIF(tblCloudAOUnits[Products],$A43, tblCloudAOUnits[cv_2020])</f>
        <v>0</v>
      </c>
      <c r="E43" s="8">
        <f xml:space="preserve"> SUMIF(tblGoogleUnits[Products],$A43, tblGoogleUnits[cv_2021]) + SUMIF(tblMetaUnits[Products],$A43, tblMetaUnits[cv_2021]) + SUMIF(tblAmazonUnits[Products],$A43, tblAmazonUnits[cv_2021]) + SUMIF(tblMicrosoftUnits[Products],$A43, tblMicrosoftUnits[cv_2021]) + SUMIF(tblAppleUnits[Products],$A43, tblAppleUnits[cv_2021]) + SUMIF(tblAlibabaUnits[Products],$A43, tblAlibabaUnits[cv_2021]) + SUMIF(tblHuaweiUnits[Products],$A43, tblHuaweiUnits[cv_2021]) + SUMIF(tblTencentUnits[Products],$A43, tblTencentUnits[cv_2021]) + SUMIF(tblBaiduUnits[Products],$A43, tblBaiduUnits[cv_2021]) + SUMIF(tblByteDanceUnits[Products],$A43, tblByteDanceUnits[cv_2021]) + SUMIF(tblCloudAOUnits[Products],$A43, tblCloudAOUnits[cv_2021])</f>
        <v>0</v>
      </c>
      <c r="F43" s="8">
        <f xml:space="preserve"> SUMIF(tblGoogleUnits[Products],$A43, tblGoogleUnits[cv_2022]) + SUMIF(tblMetaUnits[Products],$A43, tblMetaUnits[cv_2022]) + SUMIF(tblAmazonUnits[Products],$A43, tblAmazonUnits[cv_2022]) + SUMIF(tblMicrosoftUnits[Products],$A43, tblMicrosoftUnits[cv_2022]) + SUMIF(tblAppleUnits[Products],$A43, tblAppleUnits[cv_2022]) + SUMIF(tblAlibabaUnits[Products],$A43, tblAlibabaUnits[cv_2022]) + SUMIF(tblHuaweiUnits[Products],$A43, tblHuaweiUnits[cv_2022]) + SUMIF(tblTencentUnits[Products],$A43, tblTencentUnits[cv_2022]) + SUMIF(tblBaiduUnits[Products],$A43, tblBaiduUnits[cv_2022]) + SUMIF(tblByteDanceUnits[Products],$A43, tblByteDanceUnits[cv_2022]) + SUMIF(tblCloudAOUnits[Products],$A43, tblCloudAOUnits[cv_2022])</f>
        <v>0</v>
      </c>
      <c r="G43" s="8">
        <f xml:space="preserve"> SUMIF(tblGoogleUnits[Products],$A43, tblGoogleUnits[cv_2023]) + SUMIF(tblMetaUnits[Products],$A43, tblMetaUnits[cv_2023]) + SUMIF(tblAmazonUnits[Products],$A43, tblAmazonUnits[cv_2023]) + SUMIF(tblMicrosoftUnits[Products],$A43, tblMicrosoftUnits[cv_2023]) + SUMIF(tblAppleUnits[Products],$A43, tblAppleUnits[cv_2023]) + SUMIF(tblAlibabaUnits[Products],$A43, tblAlibabaUnits[cv_2023]) + SUMIF(tblHuaweiUnits[Products],$A43, tblHuaweiUnits[cv_2023]) + SUMIF(tblTencentUnits[Products],$A43, tblTencentUnits[cv_2023]) + SUMIF(tblBaiduUnits[Products],$A43, tblBaiduUnits[cv_2023]) + SUMIF(tblByteDanceUnits[Products],$A43, tblByteDanceUnits[cv_2023]) + SUMIF(tblCloudAOUnits[Products],$A43, tblCloudAOUnits[cv_2023])</f>
        <v>0</v>
      </c>
      <c r="H43" s="8">
        <f xml:space="preserve"> SUMIF(tblGoogleUnits[Products],$A43, tblGoogleUnits[cv_2024]) + SUMIF(tblMetaUnits[Products],$A43, tblMetaUnits[cv_2024]) + SUMIF(tblAmazonUnits[Products],$A43, tblAmazonUnits[cv_2024]) + SUMIF(tblMicrosoftUnits[Products],$A43, tblMicrosoftUnits[cv_2024]) + SUMIF(tblAppleUnits[Products],$A43, tblAppleUnits[cv_2024]) + SUMIF(tblAlibabaUnits[Products],$A43, tblAlibabaUnits[cv_2024]) + SUMIF(tblHuaweiUnits[Products],$A43, tblHuaweiUnits[cv_2024]) + SUMIF(tblTencentUnits[Products],$A43, tblTencentUnits[cv_2024]) + SUMIF(tblBaiduUnits[Products],$A43, tblBaiduUnits[cv_2024]) + SUMIF(tblByteDanceUnits[Products],$A43, tblByteDanceUnits[cv_2024]) + SUMIF(tblCloudAOUnits[Products],$A43, tblCloudAOUnits[cv_2024])</f>
        <v>0</v>
      </c>
      <c r="I43" s="8">
        <f xml:space="preserve"> SUMIF(tblGoogleUnits[Products],$A43, tblGoogleUnits[cv_2025]) + SUMIF(tblMetaUnits[Products],$A43, tblMetaUnits[cv_2025]) + SUMIF(tblAmazonUnits[Products],$A43, tblAmazonUnits[cv_2025]) + SUMIF(tblMicrosoftUnits[Products],$A43, tblMicrosoftUnits[cv_2025]) + SUMIF(tblAppleUnits[Products],$A43, tblAppleUnits[cv_2025]) + SUMIF(tblAlibabaUnits[Products],$A43, tblAlibabaUnits[cv_2025]) + SUMIF(tblHuaweiUnits[Products],$A43, tblHuaweiUnits[cv_2025]) + SUMIF(tblTencentUnits[Products],$A43, tblTencentUnits[cv_2025]) + SUMIF(tblBaiduUnits[Products],$A43, tblBaiduUnits[cv_2025]) + SUMIF(tblByteDanceUnits[Products],$A43, tblByteDanceUnits[cv_2025]) + SUMIF(tblCloudAOUnits[Products],$A43, tblCloudAOUnits[cv_2025])</f>
        <v>0</v>
      </c>
      <c r="J43" s="8">
        <f xml:space="preserve"> SUMIF(tblGoogleUnits[Products],$A43, tblGoogleUnits[cv_2026]) + SUMIF(tblMetaUnits[Products],$A43, tblMetaUnits[cv_2026]) + SUMIF(tblAmazonUnits[Products],$A43, tblAmazonUnits[cv_2026]) + SUMIF(tblMicrosoftUnits[Products],$A43, tblMicrosoftUnits[cv_2026]) + SUMIF(tblAppleUnits[Products],$A43, tblAppleUnits[cv_2026]) + SUMIF(tblAlibabaUnits[Products],$A43, tblAlibabaUnits[cv_2026]) + SUMIF(tblHuaweiUnits[Products],$A43, tblHuaweiUnits[cv_2026]) + SUMIF(tblTencentUnits[Products],$A43, tblTencentUnits[cv_2026]) + SUMIF(tblBaiduUnits[Products],$A43, tblBaiduUnits[cv_2026]) + SUMIF(tblByteDanceUnits[Products],$A43, tblByteDanceUnits[cv_2026]) + SUMIF(tblCloudAOUnits[Products],$A43, tblCloudAOUnits[cv_2026])</f>
        <v>0</v>
      </c>
      <c r="K43" s="8">
        <f xml:space="preserve"> SUMIF(tblGoogleUnits[Products],$A43, tblGoogleUnits[cv_2027]) + SUMIF(tblMetaUnits[Products],$A43, tblMetaUnits[cv_2027]) + SUMIF(tblAmazonUnits[Products],$A43, tblAmazonUnits[cv_2027]) + SUMIF(tblMicrosoftUnits[Products],$A43, tblMicrosoftUnits[cv_2027]) + SUMIF(tblAppleUnits[Products],$A43, tblAppleUnits[cv_2027]) + SUMIF(tblAlibabaUnits[Products],$A43, tblAlibabaUnits[cv_2027]) + SUMIF(tblHuaweiUnits[Products],$A43, tblHuaweiUnits[cv_2027]) + SUMIF(tblTencentUnits[Products],$A43, tblTencentUnits[cv_2027]) + SUMIF(tblBaiduUnits[Products],$A43, tblBaiduUnits[cv_2027]) + SUMIF(tblByteDanceUnits[Products],$A43, tblByteDanceUnits[cv_2027]) + SUMIF(tblCloudAOUnits[Products],$A43, tblCloudAOUnits[cv_2027])</f>
        <v>0</v>
      </c>
      <c r="L43" s="8">
        <f xml:space="preserve"> SUMIF(tblGoogleUnits[Products],$A43, tblGoogleUnits[cv_2028]) + SUMIF(tblMetaUnits[Products],$A43, tblMetaUnits[cv_2028]) + SUMIF(tblAmazonUnits[Products],$A43, tblAmazonUnits[cv_2028]) + SUMIF(tblMicrosoftUnits[Products],$A43, tblMicrosoftUnits[cv_2028]) + SUMIF(tblAppleUnits[Products],$A43, tblAppleUnits[cv_2028]) + SUMIF(tblAlibabaUnits[Products],$A43, tblAlibabaUnits[cv_2028]) + SUMIF(tblHuaweiUnits[Products],$A43, tblHuaweiUnits[cv_2028]) + SUMIF(tblTencentUnits[Products],$A43, tblTencentUnits[cv_2028]) + SUMIF(tblBaiduUnits[Products],$A43, tblBaiduUnits[cv_2028]) + SUMIF(tblByteDanceUnits[Products],$A43, tblByteDanceUnits[cv_2028]) + SUMIF(tblCloudAOUnits[Products],$A43, tblCloudAOUnits[cv_2028])</f>
        <v>0</v>
      </c>
      <c r="M43" s="122">
        <f>10^-6*B43*INDEX(TotalMarket!$M$26:$W$125,MATCH($A43,$A$11:$A$132,0),MATCH(M$10,$M$10:$W$10))</f>
        <v>0</v>
      </c>
      <c r="N43" s="122">
        <f>10^-6*C43*INDEX(TotalMarket!$M$26:$W$125,MATCH($A43,$A$11:$A$132,0),MATCH(N$10,$M$10:$W$10))</f>
        <v>0</v>
      </c>
      <c r="O43" s="122">
        <f>10^-6*D43*INDEX(TotalMarket!$M$26:$W$125,MATCH($A43,$A$11:$A$132,0),MATCH(O$10,$M$10:$W$10))</f>
        <v>0</v>
      </c>
      <c r="P43" s="122">
        <f>10^-6*E43*INDEX(TotalMarket!$M$26:$W$125,MATCH($A43,$A$11:$A$132,0),MATCH(P$10,$M$10:$W$10))</f>
        <v>0</v>
      </c>
      <c r="Q43" s="122">
        <f>10^-6*F43*INDEX(TotalMarket!$M$26:$W$125,MATCH($A43,$A$11:$A$132,0),MATCH(Q$10,$M$10:$W$10))</f>
        <v>0</v>
      </c>
      <c r="R43" s="122">
        <f>10^-6*G43*INDEX(TotalMarket!$M$26:$W$125,MATCH($A43,$A$11:$A$132,0),MATCH(R$10,$M$10:$W$10))</f>
        <v>0</v>
      </c>
      <c r="S43" s="122">
        <f>10^-6*H43*INDEX(TotalMarket!$M$26:$W$125,MATCH($A43,$A$11:$A$132,0),MATCH(S$10,$M$10:$W$10))</f>
        <v>0</v>
      </c>
      <c r="T43" s="122">
        <f>10^-6*I43*INDEX(TotalMarket!$M$26:$W$125,MATCH($A43,$A$11:$A$132,0),MATCH(T$10,$M$10:$W$10))</f>
        <v>0</v>
      </c>
      <c r="U43" s="122">
        <f>10^-6*J43*INDEX(TotalMarket!$M$26:$W$125,MATCH($A43,$A$11:$A$132,0),MATCH(U$10,$M$10:$W$10))</f>
        <v>0</v>
      </c>
      <c r="V43" s="122">
        <f>10^-6*K43*INDEX(TotalMarket!$M$26:$W$125,MATCH($A43,$A$11:$A$132,0),MATCH(V$10,$M$10:$W$10))</f>
        <v>0</v>
      </c>
      <c r="W43" s="122">
        <f>10^-6*L43*INDEX(TotalMarket!$M$26:$W$125,MATCH($A43,$A$11:$A$132,0),MATCH(W$10,$M$10:$W$10))</f>
        <v>0</v>
      </c>
      <c r="X43" s="1">
        <f>VLOOKUP(A43,Products!$A$29:$F$110,6,FALSE)</f>
        <v>100</v>
      </c>
    </row>
    <row r="44" spans="1:24">
      <c r="A44" s="15" t="s">
        <v>179</v>
      </c>
      <c r="B44" s="8">
        <f xml:space="preserve"> SUMIF(tblGoogleUnits[Products],$A44, tblGoogleUnits[cv_2018]) + SUMIF(tblMetaUnits[Products],$A44, tblMetaUnits[cv_2018]) + SUMIF(tblAmazonUnits[Products],$A44, tblAmazonUnits[cv_2018]) + SUMIF(tblMicrosoftUnits[Products],$A44, tblMicrosoftUnits[cv_2018]) + SUMIF(tblAppleUnits[Products],$A44, tblAppleUnits[cv_2018]) + SUMIF(tblAlibabaUnits[Products],$A44, tblAlibabaUnits[cv_2018]) + SUMIF(tblHuaweiUnits[Products],$A44, tblHuaweiUnits[cv_2018]) + SUMIF(tblTencentUnits[Products],$A44, tblTencentUnits[cv_2018]) + SUMIF(tblBaiduUnits[Products],$A44, tblBaiduUnits[cv_2018]) + SUMIF(tblByteDanceUnits[Products],$A44, tblByteDanceUnits[cv_2018]) + SUMIF(tblCloudAOUnits[Products],$A44, tblCloudAOUnits[cv_2018])</f>
        <v>0</v>
      </c>
      <c r="C44" s="8">
        <f xml:space="preserve"> SUMIF(tblGoogleUnits[Products],$A44, tblGoogleUnits[cv_2019]) + SUMIF(tblMetaUnits[Products],$A44, tblMetaUnits[cv_2019]) + SUMIF(tblAmazonUnits[Products],$A44, tblAmazonUnits[cv_2019]) + SUMIF(tblMicrosoftUnits[Products],$A44, tblMicrosoftUnits[cv_2019]) + SUMIF(tblAppleUnits[Products],$A44, tblAppleUnits[cv_2019]) + SUMIF(tblAlibabaUnits[Products],$A44, tblAlibabaUnits[cv_2019]) + SUMIF(tblHuaweiUnits[Products],$A44, tblHuaweiUnits[cv_2019]) + SUMIF(tblTencentUnits[Products],$A44, tblTencentUnits[cv_2019]) + SUMIF(tblBaiduUnits[Products],$A44, tblBaiduUnits[cv_2019]) + SUMIF(tblByteDanceUnits[Products],$A44, tblByteDanceUnits[cv_2019]) + SUMIF(tblCloudAOUnits[Products],$A44, tblCloudAOUnits[cv_2019])</f>
        <v>0</v>
      </c>
      <c r="D44" s="8">
        <f xml:space="preserve"> SUMIF(tblGoogleUnits[Products],$A44, tblGoogleUnits[cv_2020]) + SUMIF(tblMetaUnits[Products],$A44, tblMetaUnits[cv_2020]) + SUMIF(tblAmazonUnits[Products],$A44, tblAmazonUnits[cv_2020]) + SUMIF(tblMicrosoftUnits[Products],$A44, tblMicrosoftUnits[cv_2020]) + SUMIF(tblAppleUnits[Products],$A44, tblAppleUnits[cv_2020]) + SUMIF(tblAlibabaUnits[Products],$A44, tblAlibabaUnits[cv_2020]) + SUMIF(tblHuaweiUnits[Products],$A44, tblHuaweiUnits[cv_2020]) + SUMIF(tblTencentUnits[Products],$A44, tblTencentUnits[cv_2020]) + SUMIF(tblBaiduUnits[Products],$A44, tblBaiduUnits[cv_2020]) + SUMIF(tblByteDanceUnits[Products],$A44, tblByteDanceUnits[cv_2020]) + SUMIF(tblCloudAOUnits[Products],$A44, tblCloudAOUnits[cv_2020])</f>
        <v>0</v>
      </c>
      <c r="E44" s="8">
        <f xml:space="preserve"> SUMIF(tblGoogleUnits[Products],$A44, tblGoogleUnits[cv_2021]) + SUMIF(tblMetaUnits[Products],$A44, tblMetaUnits[cv_2021]) + SUMIF(tblAmazonUnits[Products],$A44, tblAmazonUnits[cv_2021]) + SUMIF(tblMicrosoftUnits[Products],$A44, tblMicrosoftUnits[cv_2021]) + SUMIF(tblAppleUnits[Products],$A44, tblAppleUnits[cv_2021]) + SUMIF(tblAlibabaUnits[Products],$A44, tblAlibabaUnits[cv_2021]) + SUMIF(tblHuaweiUnits[Products],$A44, tblHuaweiUnits[cv_2021]) + SUMIF(tblTencentUnits[Products],$A44, tblTencentUnits[cv_2021]) + SUMIF(tblBaiduUnits[Products],$A44, tblBaiduUnits[cv_2021]) + SUMIF(tblByteDanceUnits[Products],$A44, tblByteDanceUnits[cv_2021]) + SUMIF(tblCloudAOUnits[Products],$A44, tblCloudAOUnits[cv_2021])</f>
        <v>0</v>
      </c>
      <c r="F44" s="8">
        <f xml:space="preserve"> SUMIF(tblGoogleUnits[Products],$A44, tblGoogleUnits[cv_2022]) + SUMIF(tblMetaUnits[Products],$A44, tblMetaUnits[cv_2022]) + SUMIF(tblAmazonUnits[Products],$A44, tblAmazonUnits[cv_2022]) + SUMIF(tblMicrosoftUnits[Products],$A44, tblMicrosoftUnits[cv_2022]) + SUMIF(tblAppleUnits[Products],$A44, tblAppleUnits[cv_2022]) + SUMIF(tblAlibabaUnits[Products],$A44, tblAlibabaUnits[cv_2022]) + SUMIF(tblHuaweiUnits[Products],$A44, tblHuaweiUnits[cv_2022]) + SUMIF(tblTencentUnits[Products],$A44, tblTencentUnits[cv_2022]) + SUMIF(tblBaiduUnits[Products],$A44, tblBaiduUnits[cv_2022]) + SUMIF(tblByteDanceUnits[Products],$A44, tblByteDanceUnits[cv_2022]) + SUMIF(tblCloudAOUnits[Products],$A44, tblCloudAOUnits[cv_2022])</f>
        <v>0</v>
      </c>
      <c r="G44" s="8">
        <f xml:space="preserve"> SUMIF(tblGoogleUnits[Products],$A44, tblGoogleUnits[cv_2023]) + SUMIF(tblMetaUnits[Products],$A44, tblMetaUnits[cv_2023]) + SUMIF(tblAmazonUnits[Products],$A44, tblAmazonUnits[cv_2023]) + SUMIF(tblMicrosoftUnits[Products],$A44, tblMicrosoftUnits[cv_2023]) + SUMIF(tblAppleUnits[Products],$A44, tblAppleUnits[cv_2023]) + SUMIF(tblAlibabaUnits[Products],$A44, tblAlibabaUnits[cv_2023]) + SUMIF(tblHuaweiUnits[Products],$A44, tblHuaweiUnits[cv_2023]) + SUMIF(tblTencentUnits[Products],$A44, tblTencentUnits[cv_2023]) + SUMIF(tblBaiduUnits[Products],$A44, tblBaiduUnits[cv_2023]) + SUMIF(tblByteDanceUnits[Products],$A44, tblByteDanceUnits[cv_2023]) + SUMIF(tblCloudAOUnits[Products],$A44, tblCloudAOUnits[cv_2023])</f>
        <v>0</v>
      </c>
      <c r="H44" s="8">
        <f xml:space="preserve"> SUMIF(tblGoogleUnits[Products],$A44, tblGoogleUnits[cv_2024]) + SUMIF(tblMetaUnits[Products],$A44, tblMetaUnits[cv_2024]) + SUMIF(tblAmazonUnits[Products],$A44, tblAmazonUnits[cv_2024]) + SUMIF(tblMicrosoftUnits[Products],$A44, tblMicrosoftUnits[cv_2024]) + SUMIF(tblAppleUnits[Products],$A44, tblAppleUnits[cv_2024]) + SUMIF(tblAlibabaUnits[Products],$A44, tblAlibabaUnits[cv_2024]) + SUMIF(tblHuaweiUnits[Products],$A44, tblHuaweiUnits[cv_2024]) + SUMIF(tblTencentUnits[Products],$A44, tblTencentUnits[cv_2024]) + SUMIF(tblBaiduUnits[Products],$A44, tblBaiduUnits[cv_2024]) + SUMIF(tblByteDanceUnits[Products],$A44, tblByteDanceUnits[cv_2024]) + SUMIF(tblCloudAOUnits[Products],$A44, tblCloudAOUnits[cv_2024])</f>
        <v>0</v>
      </c>
      <c r="I44" s="8">
        <f xml:space="preserve"> SUMIF(tblGoogleUnits[Products],$A44, tblGoogleUnits[cv_2025]) + SUMIF(tblMetaUnits[Products],$A44, tblMetaUnits[cv_2025]) + SUMIF(tblAmazonUnits[Products],$A44, tblAmazonUnits[cv_2025]) + SUMIF(tblMicrosoftUnits[Products],$A44, tblMicrosoftUnits[cv_2025]) + SUMIF(tblAppleUnits[Products],$A44, tblAppleUnits[cv_2025]) + SUMIF(tblAlibabaUnits[Products],$A44, tblAlibabaUnits[cv_2025]) + SUMIF(tblHuaweiUnits[Products],$A44, tblHuaweiUnits[cv_2025]) + SUMIF(tblTencentUnits[Products],$A44, tblTencentUnits[cv_2025]) + SUMIF(tblBaiduUnits[Products],$A44, tblBaiduUnits[cv_2025]) + SUMIF(tblByteDanceUnits[Products],$A44, tblByteDanceUnits[cv_2025]) + SUMIF(tblCloudAOUnits[Products],$A44, tblCloudAOUnits[cv_2025])</f>
        <v>0</v>
      </c>
      <c r="J44" s="8">
        <f xml:space="preserve"> SUMIF(tblGoogleUnits[Products],$A44, tblGoogleUnits[cv_2026]) + SUMIF(tblMetaUnits[Products],$A44, tblMetaUnits[cv_2026]) + SUMIF(tblAmazonUnits[Products],$A44, tblAmazonUnits[cv_2026]) + SUMIF(tblMicrosoftUnits[Products],$A44, tblMicrosoftUnits[cv_2026]) + SUMIF(tblAppleUnits[Products],$A44, tblAppleUnits[cv_2026]) + SUMIF(tblAlibabaUnits[Products],$A44, tblAlibabaUnits[cv_2026]) + SUMIF(tblHuaweiUnits[Products],$A44, tblHuaweiUnits[cv_2026]) + SUMIF(tblTencentUnits[Products],$A44, tblTencentUnits[cv_2026]) + SUMIF(tblBaiduUnits[Products],$A44, tblBaiduUnits[cv_2026]) + SUMIF(tblByteDanceUnits[Products],$A44, tblByteDanceUnits[cv_2026]) + SUMIF(tblCloudAOUnits[Products],$A44, tblCloudAOUnits[cv_2026])</f>
        <v>0</v>
      </c>
      <c r="K44" s="8">
        <f xml:space="preserve"> SUMIF(tblGoogleUnits[Products],$A44, tblGoogleUnits[cv_2027]) + SUMIF(tblMetaUnits[Products],$A44, tblMetaUnits[cv_2027]) + SUMIF(tblAmazonUnits[Products],$A44, tblAmazonUnits[cv_2027]) + SUMIF(tblMicrosoftUnits[Products],$A44, tblMicrosoftUnits[cv_2027]) + SUMIF(tblAppleUnits[Products],$A44, tblAppleUnits[cv_2027]) + SUMIF(tblAlibabaUnits[Products],$A44, tblAlibabaUnits[cv_2027]) + SUMIF(tblHuaweiUnits[Products],$A44, tblHuaweiUnits[cv_2027]) + SUMIF(tblTencentUnits[Products],$A44, tblTencentUnits[cv_2027]) + SUMIF(tblBaiduUnits[Products],$A44, tblBaiduUnits[cv_2027]) + SUMIF(tblByteDanceUnits[Products],$A44, tblByteDanceUnits[cv_2027]) + SUMIF(tblCloudAOUnits[Products],$A44, tblCloudAOUnits[cv_2027])</f>
        <v>0</v>
      </c>
      <c r="L44" s="8">
        <f xml:space="preserve"> SUMIF(tblGoogleUnits[Products],$A44, tblGoogleUnits[cv_2028]) + SUMIF(tblMetaUnits[Products],$A44, tblMetaUnits[cv_2028]) + SUMIF(tblAmazonUnits[Products],$A44, tblAmazonUnits[cv_2028]) + SUMIF(tblMicrosoftUnits[Products],$A44, tblMicrosoftUnits[cv_2028]) + SUMIF(tblAppleUnits[Products],$A44, tblAppleUnits[cv_2028]) + SUMIF(tblAlibabaUnits[Products],$A44, tblAlibabaUnits[cv_2028]) + SUMIF(tblHuaweiUnits[Products],$A44, tblHuaweiUnits[cv_2028]) + SUMIF(tblTencentUnits[Products],$A44, tblTencentUnits[cv_2028]) + SUMIF(tblBaiduUnits[Products],$A44, tblBaiduUnits[cv_2028]) + SUMIF(tblByteDanceUnits[Products],$A44, tblByteDanceUnits[cv_2028]) + SUMIF(tblCloudAOUnits[Products],$A44, tblCloudAOUnits[cv_2028])</f>
        <v>0</v>
      </c>
      <c r="M44" s="122">
        <f>10^-6*B44*INDEX(TotalMarket!$M$26:$W$125,MATCH($A44,$A$11:$A$132,0),MATCH(M$10,$M$10:$W$10))</f>
        <v>0</v>
      </c>
      <c r="N44" s="122">
        <f>10^-6*C44*INDEX(TotalMarket!$M$26:$W$125,MATCH($A44,$A$11:$A$132,0),MATCH(N$10,$M$10:$W$10))</f>
        <v>0</v>
      </c>
      <c r="O44" s="122">
        <f>10^-6*D44*INDEX(TotalMarket!$M$26:$W$125,MATCH($A44,$A$11:$A$132,0),MATCH(O$10,$M$10:$W$10))</f>
        <v>0</v>
      </c>
      <c r="P44" s="122">
        <f>10^-6*E44*INDEX(TotalMarket!$M$26:$W$125,MATCH($A44,$A$11:$A$132,0),MATCH(P$10,$M$10:$W$10))</f>
        <v>0</v>
      </c>
      <c r="Q44" s="122">
        <f>10^-6*F44*INDEX(TotalMarket!$M$26:$W$125,MATCH($A44,$A$11:$A$132,0),MATCH(Q$10,$M$10:$W$10))</f>
        <v>0</v>
      </c>
      <c r="R44" s="122">
        <f>10^-6*G44*INDEX(TotalMarket!$M$26:$W$125,MATCH($A44,$A$11:$A$132,0),MATCH(R$10,$M$10:$W$10))</f>
        <v>0</v>
      </c>
      <c r="S44" s="122">
        <f>10^-6*H44*INDEX(TotalMarket!$M$26:$W$125,MATCH($A44,$A$11:$A$132,0),MATCH(S$10,$M$10:$W$10))</f>
        <v>0</v>
      </c>
      <c r="T44" s="122">
        <f>10^-6*I44*INDEX(TotalMarket!$M$26:$W$125,MATCH($A44,$A$11:$A$132,0),MATCH(T$10,$M$10:$W$10))</f>
        <v>0</v>
      </c>
      <c r="U44" s="122">
        <f>10^-6*J44*INDEX(TotalMarket!$M$26:$W$125,MATCH($A44,$A$11:$A$132,0),MATCH(U$10,$M$10:$W$10))</f>
        <v>0</v>
      </c>
      <c r="V44" s="122">
        <f>10^-6*K44*INDEX(TotalMarket!$M$26:$W$125,MATCH($A44,$A$11:$A$132,0),MATCH(V$10,$M$10:$W$10))</f>
        <v>0</v>
      </c>
      <c r="W44" s="122">
        <f>10^-6*L44*INDEX(TotalMarket!$M$26:$W$125,MATCH($A44,$A$11:$A$132,0),MATCH(W$10,$M$10:$W$10))</f>
        <v>0</v>
      </c>
      <c r="X44" s="1">
        <f>VLOOKUP(A44,Products!$A$29:$F$110,6,FALSE)</f>
        <v>100</v>
      </c>
    </row>
    <row r="45" spans="1:24">
      <c r="A45" s="15" t="s">
        <v>3</v>
      </c>
      <c r="B45" s="8">
        <f xml:space="preserve"> SUMIF(tblGoogleUnits[Products],$A45, tblGoogleUnits[cv_2018]) + SUMIF(tblMetaUnits[Products],$A45, tblMetaUnits[cv_2018]) + SUMIF(tblAmazonUnits[Products],$A45, tblAmazonUnits[cv_2018]) + SUMIF(tblMicrosoftUnits[Products],$A45, tblMicrosoftUnits[cv_2018]) + SUMIF(tblAppleUnits[Products],$A45, tblAppleUnits[cv_2018]) + SUMIF(tblAlibabaUnits[Products],$A45, tblAlibabaUnits[cv_2018]) + SUMIF(tblHuaweiUnits[Products],$A45, tblHuaweiUnits[cv_2018]) + SUMIF(tblTencentUnits[Products],$A45, tblTencentUnits[cv_2018]) + SUMIF(tblBaiduUnits[Products],$A45, tblBaiduUnits[cv_2018]) + SUMIF(tblByteDanceUnits[Products],$A45, tblByteDanceUnits[cv_2018]) + SUMIF(tblCloudAOUnits[Products],$A45, tblCloudAOUnits[cv_2018])</f>
        <v>1724235.3</v>
      </c>
      <c r="C45" s="8">
        <f xml:space="preserve"> SUMIF(tblGoogleUnits[Products],$A45, tblGoogleUnits[cv_2019]) + SUMIF(tblMetaUnits[Products],$A45, tblMetaUnits[cv_2019]) + SUMIF(tblAmazonUnits[Products],$A45, tblAmazonUnits[cv_2019]) + SUMIF(tblMicrosoftUnits[Products],$A45, tblMicrosoftUnits[cv_2019]) + SUMIF(tblAppleUnits[Products],$A45, tblAppleUnits[cv_2019]) + SUMIF(tblAlibabaUnits[Products],$A45, tblAlibabaUnits[cv_2019]) + SUMIF(tblHuaweiUnits[Products],$A45, tblHuaweiUnits[cv_2019]) + SUMIF(tblTencentUnits[Products],$A45, tblTencentUnits[cv_2019]) + SUMIF(tblBaiduUnits[Products],$A45, tblBaiduUnits[cv_2019]) + SUMIF(tblByteDanceUnits[Products],$A45, tblByteDanceUnits[cv_2019]) + SUMIF(tblCloudAOUnits[Products],$A45, tblCloudAOUnits[cv_2019])</f>
        <v>1741119.6</v>
      </c>
      <c r="D45" s="8">
        <f xml:space="preserve"> SUMIF(tblGoogleUnits[Products],$A45, tblGoogleUnits[cv_2020]) + SUMIF(tblMetaUnits[Products],$A45, tblMetaUnits[cv_2020]) + SUMIF(tblAmazonUnits[Products],$A45, tblAmazonUnits[cv_2020]) + SUMIF(tblMicrosoftUnits[Products],$A45, tblMicrosoftUnits[cv_2020]) + SUMIF(tblAppleUnits[Products],$A45, tblAppleUnits[cv_2020]) + SUMIF(tblAlibabaUnits[Products],$A45, tblAlibabaUnits[cv_2020]) + SUMIF(tblHuaweiUnits[Products],$A45, tblHuaweiUnits[cv_2020]) + SUMIF(tblTencentUnits[Products],$A45, tblTencentUnits[cv_2020]) + SUMIF(tblBaiduUnits[Products],$A45, tblBaiduUnits[cv_2020]) + SUMIF(tblByteDanceUnits[Products],$A45, tblByteDanceUnits[cv_2020]) + SUMIF(tblCloudAOUnits[Products],$A45, tblCloudAOUnits[cv_2020])</f>
        <v>0</v>
      </c>
      <c r="E45" s="8">
        <f xml:space="preserve"> SUMIF(tblGoogleUnits[Products],$A45, tblGoogleUnits[cv_2021]) + SUMIF(tblMetaUnits[Products],$A45, tblMetaUnits[cv_2021]) + SUMIF(tblAmazonUnits[Products],$A45, tblAmazonUnits[cv_2021]) + SUMIF(tblMicrosoftUnits[Products],$A45, tblMicrosoftUnits[cv_2021]) + SUMIF(tblAppleUnits[Products],$A45, tblAppleUnits[cv_2021]) + SUMIF(tblAlibabaUnits[Products],$A45, tblAlibabaUnits[cv_2021]) + SUMIF(tblHuaweiUnits[Products],$A45, tblHuaweiUnits[cv_2021]) + SUMIF(tblTencentUnits[Products],$A45, tblTencentUnits[cv_2021]) + SUMIF(tblBaiduUnits[Products],$A45, tblBaiduUnits[cv_2021]) + SUMIF(tblByteDanceUnits[Products],$A45, tblByteDanceUnits[cv_2021]) + SUMIF(tblCloudAOUnits[Products],$A45, tblCloudAOUnits[cv_2021])</f>
        <v>0</v>
      </c>
      <c r="F45" s="8">
        <f xml:space="preserve"> SUMIF(tblGoogleUnits[Products],$A45, tblGoogleUnits[cv_2022]) + SUMIF(tblMetaUnits[Products],$A45, tblMetaUnits[cv_2022]) + SUMIF(tblAmazonUnits[Products],$A45, tblAmazonUnits[cv_2022]) + SUMIF(tblMicrosoftUnits[Products],$A45, tblMicrosoftUnits[cv_2022]) + SUMIF(tblAppleUnits[Products],$A45, tblAppleUnits[cv_2022]) + SUMIF(tblAlibabaUnits[Products],$A45, tblAlibabaUnits[cv_2022]) + SUMIF(tblHuaweiUnits[Products],$A45, tblHuaweiUnits[cv_2022]) + SUMIF(tblTencentUnits[Products],$A45, tblTencentUnits[cv_2022]) + SUMIF(tblBaiduUnits[Products],$A45, tblBaiduUnits[cv_2022]) + SUMIF(tblByteDanceUnits[Products],$A45, tblByteDanceUnits[cv_2022]) + SUMIF(tblCloudAOUnits[Products],$A45, tblCloudAOUnits[cv_2022])</f>
        <v>0</v>
      </c>
      <c r="G45" s="8">
        <f xml:space="preserve"> SUMIF(tblGoogleUnits[Products],$A45, tblGoogleUnits[cv_2023]) + SUMIF(tblMetaUnits[Products],$A45, tblMetaUnits[cv_2023]) + SUMIF(tblAmazonUnits[Products],$A45, tblAmazonUnits[cv_2023]) + SUMIF(tblMicrosoftUnits[Products],$A45, tblMicrosoftUnits[cv_2023]) + SUMIF(tblAppleUnits[Products],$A45, tblAppleUnits[cv_2023]) + SUMIF(tblAlibabaUnits[Products],$A45, tblAlibabaUnits[cv_2023]) + SUMIF(tblHuaweiUnits[Products],$A45, tblHuaweiUnits[cv_2023]) + SUMIF(tblTencentUnits[Products],$A45, tblTencentUnits[cv_2023]) + SUMIF(tblBaiduUnits[Products],$A45, tblBaiduUnits[cv_2023]) + SUMIF(tblByteDanceUnits[Products],$A45, tblByteDanceUnits[cv_2023]) + SUMIF(tblCloudAOUnits[Products],$A45, tblCloudAOUnits[cv_2023])</f>
        <v>0</v>
      </c>
      <c r="H45" s="8">
        <f xml:space="preserve"> SUMIF(tblGoogleUnits[Products],$A45, tblGoogleUnits[cv_2024]) + SUMIF(tblMetaUnits[Products],$A45, tblMetaUnits[cv_2024]) + SUMIF(tblAmazonUnits[Products],$A45, tblAmazonUnits[cv_2024]) + SUMIF(tblMicrosoftUnits[Products],$A45, tblMicrosoftUnits[cv_2024]) + SUMIF(tblAppleUnits[Products],$A45, tblAppleUnits[cv_2024]) + SUMIF(tblAlibabaUnits[Products],$A45, tblAlibabaUnits[cv_2024]) + SUMIF(tblHuaweiUnits[Products],$A45, tblHuaweiUnits[cv_2024]) + SUMIF(tblTencentUnits[Products],$A45, tblTencentUnits[cv_2024]) + SUMIF(tblBaiduUnits[Products],$A45, tblBaiduUnits[cv_2024]) + SUMIF(tblByteDanceUnits[Products],$A45, tblByteDanceUnits[cv_2024]) + SUMIF(tblCloudAOUnits[Products],$A45, tblCloudAOUnits[cv_2024])</f>
        <v>0</v>
      </c>
      <c r="I45" s="8">
        <f xml:space="preserve"> SUMIF(tblGoogleUnits[Products],$A45, tblGoogleUnits[cv_2025]) + SUMIF(tblMetaUnits[Products],$A45, tblMetaUnits[cv_2025]) + SUMIF(tblAmazonUnits[Products],$A45, tblAmazonUnits[cv_2025]) + SUMIF(tblMicrosoftUnits[Products],$A45, tblMicrosoftUnits[cv_2025]) + SUMIF(tblAppleUnits[Products],$A45, tblAppleUnits[cv_2025]) + SUMIF(tblAlibabaUnits[Products],$A45, tblAlibabaUnits[cv_2025]) + SUMIF(tblHuaweiUnits[Products],$A45, tblHuaweiUnits[cv_2025]) + SUMIF(tblTencentUnits[Products],$A45, tblTencentUnits[cv_2025]) + SUMIF(tblBaiduUnits[Products],$A45, tblBaiduUnits[cv_2025]) + SUMIF(tblByteDanceUnits[Products],$A45, tblByteDanceUnits[cv_2025]) + SUMIF(tblCloudAOUnits[Products],$A45, tblCloudAOUnits[cv_2025])</f>
        <v>0</v>
      </c>
      <c r="J45" s="8">
        <f xml:space="preserve"> SUMIF(tblGoogleUnits[Products],$A45, tblGoogleUnits[cv_2026]) + SUMIF(tblMetaUnits[Products],$A45, tblMetaUnits[cv_2026]) + SUMIF(tblAmazonUnits[Products],$A45, tblAmazonUnits[cv_2026]) + SUMIF(tblMicrosoftUnits[Products],$A45, tblMicrosoftUnits[cv_2026]) + SUMIF(tblAppleUnits[Products],$A45, tblAppleUnits[cv_2026]) + SUMIF(tblAlibabaUnits[Products],$A45, tblAlibabaUnits[cv_2026]) + SUMIF(tblHuaweiUnits[Products],$A45, tblHuaweiUnits[cv_2026]) + SUMIF(tblTencentUnits[Products],$A45, tblTencentUnits[cv_2026]) + SUMIF(tblBaiduUnits[Products],$A45, tblBaiduUnits[cv_2026]) + SUMIF(tblByteDanceUnits[Products],$A45, tblByteDanceUnits[cv_2026]) + SUMIF(tblCloudAOUnits[Products],$A45, tblCloudAOUnits[cv_2026])</f>
        <v>0</v>
      </c>
      <c r="K45" s="8">
        <f xml:space="preserve"> SUMIF(tblGoogleUnits[Products],$A45, tblGoogleUnits[cv_2027]) + SUMIF(tblMetaUnits[Products],$A45, tblMetaUnits[cv_2027]) + SUMIF(tblAmazonUnits[Products],$A45, tblAmazonUnits[cv_2027]) + SUMIF(tblMicrosoftUnits[Products],$A45, tblMicrosoftUnits[cv_2027]) + SUMIF(tblAppleUnits[Products],$A45, tblAppleUnits[cv_2027]) + SUMIF(tblAlibabaUnits[Products],$A45, tblAlibabaUnits[cv_2027]) + SUMIF(tblHuaweiUnits[Products],$A45, tblHuaweiUnits[cv_2027]) + SUMIF(tblTencentUnits[Products],$A45, tblTencentUnits[cv_2027]) + SUMIF(tblBaiduUnits[Products],$A45, tblBaiduUnits[cv_2027]) + SUMIF(tblByteDanceUnits[Products],$A45, tblByteDanceUnits[cv_2027]) + SUMIF(tblCloudAOUnits[Products],$A45, tblCloudAOUnits[cv_2027])</f>
        <v>0</v>
      </c>
      <c r="L45" s="8">
        <f xml:space="preserve"> SUMIF(tblGoogleUnits[Products],$A45, tblGoogleUnits[cv_2028]) + SUMIF(tblMetaUnits[Products],$A45, tblMetaUnits[cv_2028]) + SUMIF(tblAmazonUnits[Products],$A45, tblAmazonUnits[cv_2028]) + SUMIF(tblMicrosoftUnits[Products],$A45, tblMicrosoftUnits[cv_2028]) + SUMIF(tblAppleUnits[Products],$A45, tblAppleUnits[cv_2028]) + SUMIF(tblAlibabaUnits[Products],$A45, tblAlibabaUnits[cv_2028]) + SUMIF(tblHuaweiUnits[Products],$A45, tblHuaweiUnits[cv_2028]) + SUMIF(tblTencentUnits[Products],$A45, tblTencentUnits[cv_2028]) + SUMIF(tblBaiduUnits[Products],$A45, tblBaiduUnits[cv_2028]) + SUMIF(tblByteDanceUnits[Products],$A45, tblByteDanceUnits[cv_2028]) + SUMIF(tblCloudAOUnits[Products],$A45, tblCloudAOUnits[cv_2028])</f>
        <v>0</v>
      </c>
      <c r="M45" s="122">
        <f>10^-6*B45*INDEX(TotalMarket!$M$26:$W$125,MATCH($A45,$A$11:$A$132,0),MATCH(M$10,$M$10:$W$10))</f>
        <v>195.78145218020458</v>
      </c>
      <c r="N45" s="122">
        <f>10^-6*C45*INDEX(TotalMarket!$M$26:$W$125,MATCH($A45,$A$11:$A$132,0),MATCH(N$10,$M$10:$W$10))</f>
        <v>147.97883641142857</v>
      </c>
      <c r="O45" s="122">
        <f>10^-6*D45*INDEX(TotalMarket!$M$26:$W$125,MATCH($A45,$A$11:$A$132,0),MATCH(O$10,$M$10:$W$10))</f>
        <v>0</v>
      </c>
      <c r="P45" s="122">
        <f>10^-6*E45*INDEX(TotalMarket!$M$26:$W$125,MATCH($A45,$A$11:$A$132,0),MATCH(P$10,$M$10:$W$10))</f>
        <v>0</v>
      </c>
      <c r="Q45" s="122">
        <f>10^-6*F45*INDEX(TotalMarket!$M$26:$W$125,MATCH($A45,$A$11:$A$132,0),MATCH(Q$10,$M$10:$W$10))</f>
        <v>0</v>
      </c>
      <c r="R45" s="122">
        <f>10^-6*G45*INDEX(TotalMarket!$M$26:$W$125,MATCH($A45,$A$11:$A$132,0),MATCH(R$10,$M$10:$W$10))</f>
        <v>0</v>
      </c>
      <c r="S45" s="122">
        <f>10^-6*H45*INDEX(TotalMarket!$M$26:$W$125,MATCH($A45,$A$11:$A$132,0),MATCH(S$10,$M$10:$W$10))</f>
        <v>0</v>
      </c>
      <c r="T45" s="122">
        <f>10^-6*I45*INDEX(TotalMarket!$M$26:$W$125,MATCH($A45,$A$11:$A$132,0),MATCH(T$10,$M$10:$W$10))</f>
        <v>0</v>
      </c>
      <c r="U45" s="122">
        <f>10^-6*J45*INDEX(TotalMarket!$M$26:$W$125,MATCH($A45,$A$11:$A$132,0),MATCH(U$10,$M$10:$W$10))</f>
        <v>0</v>
      </c>
      <c r="V45" s="122">
        <f>10^-6*K45*INDEX(TotalMarket!$M$26:$W$125,MATCH($A45,$A$11:$A$132,0),MATCH(V$10,$M$10:$W$10))</f>
        <v>0</v>
      </c>
      <c r="W45" s="122">
        <f>10^-6*L45*INDEX(TotalMarket!$M$26:$W$125,MATCH($A45,$A$11:$A$132,0),MATCH(W$10,$M$10:$W$10))</f>
        <v>0</v>
      </c>
      <c r="X45" s="1">
        <f>VLOOKUP(A45,Products!$A$29:$F$110,6,FALSE)</f>
        <v>100</v>
      </c>
    </row>
    <row r="46" spans="1:24">
      <c r="A46" s="15" t="s">
        <v>180</v>
      </c>
      <c r="B46" s="8">
        <f xml:space="preserve"> SUMIF(tblGoogleUnits[Products],$A46, tblGoogleUnits[cv_2018]) + SUMIF(tblMetaUnits[Products],$A46, tblMetaUnits[cv_2018]) + SUMIF(tblAmazonUnits[Products],$A46, tblAmazonUnits[cv_2018]) + SUMIF(tblMicrosoftUnits[Products],$A46, tblMicrosoftUnits[cv_2018]) + SUMIF(tblAppleUnits[Products],$A46, tblAppleUnits[cv_2018]) + SUMIF(tblAlibabaUnits[Products],$A46, tblAlibabaUnits[cv_2018]) + SUMIF(tblHuaweiUnits[Products],$A46, tblHuaweiUnits[cv_2018]) + SUMIF(tblTencentUnits[Products],$A46, tblTencentUnits[cv_2018]) + SUMIF(tblBaiduUnits[Products],$A46, tblBaiduUnits[cv_2018]) + SUMIF(tblByteDanceUnits[Products],$A46, tblByteDanceUnits[cv_2018]) + SUMIF(tblCloudAOUnits[Products],$A46, tblCloudAOUnits[cv_2018])</f>
        <v>0</v>
      </c>
      <c r="C46" s="8">
        <f xml:space="preserve"> SUMIF(tblGoogleUnits[Products],$A46, tblGoogleUnits[cv_2019]) + SUMIF(tblMetaUnits[Products],$A46, tblMetaUnits[cv_2019]) + SUMIF(tblAmazonUnits[Products],$A46, tblAmazonUnits[cv_2019]) + SUMIF(tblMicrosoftUnits[Products],$A46, tblMicrosoftUnits[cv_2019]) + SUMIF(tblAppleUnits[Products],$A46, tblAppleUnits[cv_2019]) + SUMIF(tblAlibabaUnits[Products],$A46, tblAlibabaUnits[cv_2019]) + SUMIF(tblHuaweiUnits[Products],$A46, tblHuaweiUnits[cv_2019]) + SUMIF(tblTencentUnits[Products],$A46, tblTencentUnits[cv_2019]) + SUMIF(tblBaiduUnits[Products],$A46, tblBaiduUnits[cv_2019]) + SUMIF(tblByteDanceUnits[Products],$A46, tblByteDanceUnits[cv_2019]) + SUMIF(tblCloudAOUnits[Products],$A46, tblCloudAOUnits[cv_2019])</f>
        <v>5000</v>
      </c>
      <c r="D46" s="8">
        <f xml:space="preserve"> SUMIF(tblGoogleUnits[Products],$A46, tblGoogleUnits[cv_2020]) + SUMIF(tblMetaUnits[Products],$A46, tblMetaUnits[cv_2020]) + SUMIF(tblAmazonUnits[Products],$A46, tblAmazonUnits[cv_2020]) + SUMIF(tblMicrosoftUnits[Products],$A46, tblMicrosoftUnits[cv_2020]) + SUMIF(tblAppleUnits[Products],$A46, tblAppleUnits[cv_2020]) + SUMIF(tblAlibabaUnits[Products],$A46, tblAlibabaUnits[cv_2020]) + SUMIF(tblHuaweiUnits[Products],$A46, tblHuaweiUnits[cv_2020]) + SUMIF(tblTencentUnits[Products],$A46, tblTencentUnits[cv_2020]) + SUMIF(tblBaiduUnits[Products],$A46, tblBaiduUnits[cv_2020]) + SUMIF(tblByteDanceUnits[Products],$A46, tblByteDanceUnits[cv_2020]) + SUMIF(tblCloudAOUnits[Products],$A46, tblCloudAOUnits[cv_2020])</f>
        <v>0</v>
      </c>
      <c r="E46" s="8">
        <f xml:space="preserve"> SUMIF(tblGoogleUnits[Products],$A46, tblGoogleUnits[cv_2021]) + SUMIF(tblMetaUnits[Products],$A46, tblMetaUnits[cv_2021]) + SUMIF(tblAmazonUnits[Products],$A46, tblAmazonUnits[cv_2021]) + SUMIF(tblMicrosoftUnits[Products],$A46, tblMicrosoftUnits[cv_2021]) + SUMIF(tblAppleUnits[Products],$A46, tblAppleUnits[cv_2021]) + SUMIF(tblAlibabaUnits[Products],$A46, tblAlibabaUnits[cv_2021]) + SUMIF(tblHuaweiUnits[Products],$A46, tblHuaweiUnits[cv_2021]) + SUMIF(tblTencentUnits[Products],$A46, tblTencentUnits[cv_2021]) + SUMIF(tblBaiduUnits[Products],$A46, tblBaiduUnits[cv_2021]) + SUMIF(tblByteDanceUnits[Products],$A46, tblByteDanceUnits[cv_2021]) + SUMIF(tblCloudAOUnits[Products],$A46, tblCloudAOUnits[cv_2021])</f>
        <v>0</v>
      </c>
      <c r="F46" s="8">
        <f xml:space="preserve"> SUMIF(tblGoogleUnits[Products],$A46, tblGoogleUnits[cv_2022]) + SUMIF(tblMetaUnits[Products],$A46, tblMetaUnits[cv_2022]) + SUMIF(tblAmazonUnits[Products],$A46, tblAmazonUnits[cv_2022]) + SUMIF(tblMicrosoftUnits[Products],$A46, tblMicrosoftUnits[cv_2022]) + SUMIF(tblAppleUnits[Products],$A46, tblAppleUnits[cv_2022]) + SUMIF(tblAlibabaUnits[Products],$A46, tblAlibabaUnits[cv_2022]) + SUMIF(tblHuaweiUnits[Products],$A46, tblHuaweiUnits[cv_2022]) + SUMIF(tblTencentUnits[Products],$A46, tblTencentUnits[cv_2022]) + SUMIF(tblBaiduUnits[Products],$A46, tblBaiduUnits[cv_2022]) + SUMIF(tblByteDanceUnits[Products],$A46, tblByteDanceUnits[cv_2022]) + SUMIF(tblCloudAOUnits[Products],$A46, tblCloudAOUnits[cv_2022])</f>
        <v>0</v>
      </c>
      <c r="G46" s="8">
        <f xml:space="preserve"> SUMIF(tblGoogleUnits[Products],$A46, tblGoogleUnits[cv_2023]) + SUMIF(tblMetaUnits[Products],$A46, tblMetaUnits[cv_2023]) + SUMIF(tblAmazonUnits[Products],$A46, tblAmazonUnits[cv_2023]) + SUMIF(tblMicrosoftUnits[Products],$A46, tblMicrosoftUnits[cv_2023]) + SUMIF(tblAppleUnits[Products],$A46, tblAppleUnits[cv_2023]) + SUMIF(tblAlibabaUnits[Products],$A46, tblAlibabaUnits[cv_2023]) + SUMIF(tblHuaweiUnits[Products],$A46, tblHuaweiUnits[cv_2023]) + SUMIF(tblTencentUnits[Products],$A46, tblTencentUnits[cv_2023]) + SUMIF(tblBaiduUnits[Products],$A46, tblBaiduUnits[cv_2023]) + SUMIF(tblByteDanceUnits[Products],$A46, tblByteDanceUnits[cv_2023]) + SUMIF(tblCloudAOUnits[Products],$A46, tblCloudAOUnits[cv_2023])</f>
        <v>0</v>
      </c>
      <c r="H46" s="8">
        <f xml:space="preserve"> SUMIF(tblGoogleUnits[Products],$A46, tblGoogleUnits[cv_2024]) + SUMIF(tblMetaUnits[Products],$A46, tblMetaUnits[cv_2024]) + SUMIF(tblAmazonUnits[Products],$A46, tblAmazonUnits[cv_2024]) + SUMIF(tblMicrosoftUnits[Products],$A46, tblMicrosoftUnits[cv_2024]) + SUMIF(tblAppleUnits[Products],$A46, tblAppleUnits[cv_2024]) + SUMIF(tblAlibabaUnits[Products],$A46, tblAlibabaUnits[cv_2024]) + SUMIF(tblHuaweiUnits[Products],$A46, tblHuaweiUnits[cv_2024]) + SUMIF(tblTencentUnits[Products],$A46, tblTencentUnits[cv_2024]) + SUMIF(tblBaiduUnits[Products],$A46, tblBaiduUnits[cv_2024]) + SUMIF(tblByteDanceUnits[Products],$A46, tblByteDanceUnits[cv_2024]) + SUMIF(tblCloudAOUnits[Products],$A46, tblCloudAOUnits[cv_2024])</f>
        <v>0</v>
      </c>
      <c r="I46" s="8">
        <f xml:space="preserve"> SUMIF(tblGoogleUnits[Products],$A46, tblGoogleUnits[cv_2025]) + SUMIF(tblMetaUnits[Products],$A46, tblMetaUnits[cv_2025]) + SUMIF(tblAmazonUnits[Products],$A46, tblAmazonUnits[cv_2025]) + SUMIF(tblMicrosoftUnits[Products],$A46, tblMicrosoftUnits[cv_2025]) + SUMIF(tblAppleUnits[Products],$A46, tblAppleUnits[cv_2025]) + SUMIF(tblAlibabaUnits[Products],$A46, tblAlibabaUnits[cv_2025]) + SUMIF(tblHuaweiUnits[Products],$A46, tblHuaweiUnits[cv_2025]) + SUMIF(tblTencentUnits[Products],$A46, tblTencentUnits[cv_2025]) + SUMIF(tblBaiduUnits[Products],$A46, tblBaiduUnits[cv_2025]) + SUMIF(tblByteDanceUnits[Products],$A46, tblByteDanceUnits[cv_2025]) + SUMIF(tblCloudAOUnits[Products],$A46, tblCloudAOUnits[cv_2025])</f>
        <v>0</v>
      </c>
      <c r="J46" s="8">
        <f xml:space="preserve"> SUMIF(tblGoogleUnits[Products],$A46, tblGoogleUnits[cv_2026]) + SUMIF(tblMetaUnits[Products],$A46, tblMetaUnits[cv_2026]) + SUMIF(tblAmazonUnits[Products],$A46, tblAmazonUnits[cv_2026]) + SUMIF(tblMicrosoftUnits[Products],$A46, tblMicrosoftUnits[cv_2026]) + SUMIF(tblAppleUnits[Products],$A46, tblAppleUnits[cv_2026]) + SUMIF(tblAlibabaUnits[Products],$A46, tblAlibabaUnits[cv_2026]) + SUMIF(tblHuaweiUnits[Products],$A46, tblHuaweiUnits[cv_2026]) + SUMIF(tblTencentUnits[Products],$A46, tblTencentUnits[cv_2026]) + SUMIF(tblBaiduUnits[Products],$A46, tblBaiduUnits[cv_2026]) + SUMIF(tblByteDanceUnits[Products],$A46, tblByteDanceUnits[cv_2026]) + SUMIF(tblCloudAOUnits[Products],$A46, tblCloudAOUnits[cv_2026])</f>
        <v>0</v>
      </c>
      <c r="K46" s="8">
        <f xml:space="preserve"> SUMIF(tblGoogleUnits[Products],$A46, tblGoogleUnits[cv_2027]) + SUMIF(tblMetaUnits[Products],$A46, tblMetaUnits[cv_2027]) + SUMIF(tblAmazonUnits[Products],$A46, tblAmazonUnits[cv_2027]) + SUMIF(tblMicrosoftUnits[Products],$A46, tblMicrosoftUnits[cv_2027]) + SUMIF(tblAppleUnits[Products],$A46, tblAppleUnits[cv_2027]) + SUMIF(tblAlibabaUnits[Products],$A46, tblAlibabaUnits[cv_2027]) + SUMIF(tblHuaweiUnits[Products],$A46, tblHuaweiUnits[cv_2027]) + SUMIF(tblTencentUnits[Products],$A46, tblTencentUnits[cv_2027]) + SUMIF(tblBaiduUnits[Products],$A46, tblBaiduUnits[cv_2027]) + SUMIF(tblByteDanceUnits[Products],$A46, tblByteDanceUnits[cv_2027]) + SUMIF(tblCloudAOUnits[Products],$A46, tblCloudAOUnits[cv_2027])</f>
        <v>0</v>
      </c>
      <c r="L46" s="8">
        <f xml:space="preserve"> SUMIF(tblGoogleUnits[Products],$A46, tblGoogleUnits[cv_2028]) + SUMIF(tblMetaUnits[Products],$A46, tblMetaUnits[cv_2028]) + SUMIF(tblAmazonUnits[Products],$A46, tblAmazonUnits[cv_2028]) + SUMIF(tblMicrosoftUnits[Products],$A46, tblMicrosoftUnits[cv_2028]) + SUMIF(tblAppleUnits[Products],$A46, tblAppleUnits[cv_2028]) + SUMIF(tblAlibabaUnits[Products],$A46, tblAlibabaUnits[cv_2028]) + SUMIF(tblHuaweiUnits[Products],$A46, tblHuaweiUnits[cv_2028]) + SUMIF(tblTencentUnits[Products],$A46, tblTencentUnits[cv_2028]) + SUMIF(tblBaiduUnits[Products],$A46, tblBaiduUnits[cv_2028]) + SUMIF(tblByteDanceUnits[Products],$A46, tblByteDanceUnits[cv_2028]) + SUMIF(tblCloudAOUnits[Products],$A46, tblCloudAOUnits[cv_2028])</f>
        <v>0</v>
      </c>
      <c r="M46" s="122">
        <f>10^-6*B46*INDEX(TotalMarket!$M$26:$W$125,MATCH($A46,$A$11:$A$132,0),MATCH(M$10,$M$10:$W$10))</f>
        <v>0</v>
      </c>
      <c r="N46" s="122">
        <f>10^-6*C46*INDEX(TotalMarket!$M$26:$W$125,MATCH($A46,$A$11:$A$132,0),MATCH(N$10,$M$10:$W$10))</f>
        <v>1.2</v>
      </c>
      <c r="O46" s="122">
        <f>10^-6*D46*INDEX(TotalMarket!$M$26:$W$125,MATCH($A46,$A$11:$A$132,0),MATCH(O$10,$M$10:$W$10))</f>
        <v>0</v>
      </c>
      <c r="P46" s="122">
        <f>10^-6*E46*INDEX(TotalMarket!$M$26:$W$125,MATCH($A46,$A$11:$A$132,0),MATCH(P$10,$M$10:$W$10))</f>
        <v>0</v>
      </c>
      <c r="Q46" s="122">
        <f>10^-6*F46*INDEX(TotalMarket!$M$26:$W$125,MATCH($A46,$A$11:$A$132,0),MATCH(Q$10,$M$10:$W$10))</f>
        <v>0</v>
      </c>
      <c r="R46" s="122">
        <f>10^-6*G46*INDEX(TotalMarket!$M$26:$W$125,MATCH($A46,$A$11:$A$132,0),MATCH(R$10,$M$10:$W$10))</f>
        <v>0</v>
      </c>
      <c r="S46" s="122">
        <f>10^-6*H46*INDEX(TotalMarket!$M$26:$W$125,MATCH($A46,$A$11:$A$132,0),MATCH(S$10,$M$10:$W$10))</f>
        <v>0</v>
      </c>
      <c r="T46" s="122">
        <f>10^-6*I46*INDEX(TotalMarket!$M$26:$W$125,MATCH($A46,$A$11:$A$132,0),MATCH(T$10,$M$10:$W$10))</f>
        <v>0</v>
      </c>
      <c r="U46" s="122">
        <f>10^-6*J46*INDEX(TotalMarket!$M$26:$W$125,MATCH($A46,$A$11:$A$132,0),MATCH(U$10,$M$10:$W$10))</f>
        <v>0</v>
      </c>
      <c r="V46" s="122">
        <f>10^-6*K46*INDEX(TotalMarket!$M$26:$W$125,MATCH($A46,$A$11:$A$132,0),MATCH(V$10,$M$10:$W$10))</f>
        <v>0</v>
      </c>
      <c r="W46" s="122">
        <f>10^-6*L46*INDEX(TotalMarket!$M$26:$W$125,MATCH($A46,$A$11:$A$132,0),MATCH(W$10,$M$10:$W$10))</f>
        <v>0</v>
      </c>
      <c r="X46" s="1">
        <f>VLOOKUP(A46,Products!$A$29:$F$110,6,FALSE)</f>
        <v>100</v>
      </c>
    </row>
    <row r="47" spans="1:24">
      <c r="A47" s="15" t="s">
        <v>181</v>
      </c>
      <c r="B47" s="8">
        <f xml:space="preserve"> SUMIF(tblGoogleUnits[Products],$A47, tblGoogleUnits[cv_2018]) + SUMIF(tblMetaUnits[Products],$A47, tblMetaUnits[cv_2018]) + SUMIF(tblAmazonUnits[Products],$A47, tblAmazonUnits[cv_2018]) + SUMIF(tblMicrosoftUnits[Products],$A47, tblMicrosoftUnits[cv_2018]) + SUMIF(tblAppleUnits[Products],$A47, tblAppleUnits[cv_2018]) + SUMIF(tblAlibabaUnits[Products],$A47, tblAlibabaUnits[cv_2018]) + SUMIF(tblHuaweiUnits[Products],$A47, tblHuaweiUnits[cv_2018]) + SUMIF(tblTencentUnits[Products],$A47, tblTencentUnits[cv_2018]) + SUMIF(tblBaiduUnits[Products],$A47, tblBaiduUnits[cv_2018]) + SUMIF(tblByteDanceUnits[Products],$A47, tblByteDanceUnits[cv_2018]) + SUMIF(tblCloudAOUnits[Products],$A47, tblCloudAOUnits[cv_2018])</f>
        <v>0</v>
      </c>
      <c r="C47" s="8">
        <f xml:space="preserve"> SUMIF(tblGoogleUnits[Products],$A47, tblGoogleUnits[cv_2019]) + SUMIF(tblMetaUnits[Products],$A47, tblMetaUnits[cv_2019]) + SUMIF(tblAmazonUnits[Products],$A47, tblAmazonUnits[cv_2019]) + SUMIF(tblMicrosoftUnits[Products],$A47, tblMicrosoftUnits[cv_2019]) + SUMIF(tblAppleUnits[Products],$A47, tblAppleUnits[cv_2019]) + SUMIF(tblAlibabaUnits[Products],$A47, tblAlibabaUnits[cv_2019]) + SUMIF(tblHuaweiUnits[Products],$A47, tblHuaweiUnits[cv_2019]) + SUMIF(tblTencentUnits[Products],$A47, tblTencentUnits[cv_2019]) + SUMIF(tblBaiduUnits[Products],$A47, tblBaiduUnits[cv_2019]) + SUMIF(tblByteDanceUnits[Products],$A47, tblByteDanceUnits[cv_2019]) + SUMIF(tblCloudAOUnits[Products],$A47, tblCloudAOUnits[cv_2019])</f>
        <v>0</v>
      </c>
      <c r="D47" s="8">
        <f xml:space="preserve"> SUMIF(tblGoogleUnits[Products],$A47, tblGoogleUnits[cv_2020]) + SUMIF(tblMetaUnits[Products],$A47, tblMetaUnits[cv_2020]) + SUMIF(tblAmazonUnits[Products],$A47, tblAmazonUnits[cv_2020]) + SUMIF(tblMicrosoftUnits[Products],$A47, tblMicrosoftUnits[cv_2020]) + SUMIF(tblAppleUnits[Products],$A47, tblAppleUnits[cv_2020]) + SUMIF(tblAlibabaUnits[Products],$A47, tblAlibabaUnits[cv_2020]) + SUMIF(tblHuaweiUnits[Products],$A47, tblHuaweiUnits[cv_2020]) + SUMIF(tblTencentUnits[Products],$A47, tblTencentUnits[cv_2020]) + SUMIF(tblBaiduUnits[Products],$A47, tblBaiduUnits[cv_2020]) + SUMIF(tblByteDanceUnits[Products],$A47, tblByteDanceUnits[cv_2020]) + SUMIF(tblCloudAOUnits[Products],$A47, tblCloudAOUnits[cv_2020])</f>
        <v>0</v>
      </c>
      <c r="E47" s="8">
        <f xml:space="preserve"> SUMIF(tblGoogleUnits[Products],$A47, tblGoogleUnits[cv_2021]) + SUMIF(tblMetaUnits[Products],$A47, tblMetaUnits[cv_2021]) + SUMIF(tblAmazonUnits[Products],$A47, tblAmazonUnits[cv_2021]) + SUMIF(tblMicrosoftUnits[Products],$A47, tblMicrosoftUnits[cv_2021]) + SUMIF(tblAppleUnits[Products],$A47, tblAppleUnits[cv_2021]) + SUMIF(tblAlibabaUnits[Products],$A47, tblAlibabaUnits[cv_2021]) + SUMIF(tblHuaweiUnits[Products],$A47, tblHuaweiUnits[cv_2021]) + SUMIF(tblTencentUnits[Products],$A47, tblTencentUnits[cv_2021]) + SUMIF(tblBaiduUnits[Products],$A47, tblBaiduUnits[cv_2021]) + SUMIF(tblByteDanceUnits[Products],$A47, tblByteDanceUnits[cv_2021]) + SUMIF(tblCloudAOUnits[Products],$A47, tblCloudAOUnits[cv_2021])</f>
        <v>0</v>
      </c>
      <c r="F47" s="8">
        <f xml:space="preserve"> SUMIF(tblGoogleUnits[Products],$A47, tblGoogleUnits[cv_2022]) + SUMIF(tblMetaUnits[Products],$A47, tblMetaUnits[cv_2022]) + SUMIF(tblAmazonUnits[Products],$A47, tblAmazonUnits[cv_2022]) + SUMIF(tblMicrosoftUnits[Products],$A47, tblMicrosoftUnits[cv_2022]) + SUMIF(tblAppleUnits[Products],$A47, tblAppleUnits[cv_2022]) + SUMIF(tblAlibabaUnits[Products],$A47, tblAlibabaUnits[cv_2022]) + SUMIF(tblHuaweiUnits[Products],$A47, tblHuaweiUnits[cv_2022]) + SUMIF(tblTencentUnits[Products],$A47, tblTencentUnits[cv_2022]) + SUMIF(tblBaiduUnits[Products],$A47, tblBaiduUnits[cv_2022]) + SUMIF(tblByteDanceUnits[Products],$A47, tblByteDanceUnits[cv_2022]) + SUMIF(tblCloudAOUnits[Products],$A47, tblCloudAOUnits[cv_2022])</f>
        <v>0</v>
      </c>
      <c r="G47" s="8">
        <f xml:space="preserve"> SUMIF(tblGoogleUnits[Products],$A47, tblGoogleUnits[cv_2023]) + SUMIF(tblMetaUnits[Products],$A47, tblMetaUnits[cv_2023]) + SUMIF(tblAmazonUnits[Products],$A47, tblAmazonUnits[cv_2023]) + SUMIF(tblMicrosoftUnits[Products],$A47, tblMicrosoftUnits[cv_2023]) + SUMIF(tblAppleUnits[Products],$A47, tblAppleUnits[cv_2023]) + SUMIF(tblAlibabaUnits[Products],$A47, tblAlibabaUnits[cv_2023]) + SUMIF(tblHuaweiUnits[Products],$A47, tblHuaweiUnits[cv_2023]) + SUMIF(tblTencentUnits[Products],$A47, tblTencentUnits[cv_2023]) + SUMIF(tblBaiduUnits[Products],$A47, tblBaiduUnits[cv_2023]) + SUMIF(tblByteDanceUnits[Products],$A47, tblByteDanceUnits[cv_2023]) + SUMIF(tblCloudAOUnits[Products],$A47, tblCloudAOUnits[cv_2023])</f>
        <v>0</v>
      </c>
      <c r="H47" s="8">
        <f xml:space="preserve"> SUMIF(tblGoogleUnits[Products],$A47, tblGoogleUnits[cv_2024]) + SUMIF(tblMetaUnits[Products],$A47, tblMetaUnits[cv_2024]) + SUMIF(tblAmazonUnits[Products],$A47, tblAmazonUnits[cv_2024]) + SUMIF(tblMicrosoftUnits[Products],$A47, tblMicrosoftUnits[cv_2024]) + SUMIF(tblAppleUnits[Products],$A47, tblAppleUnits[cv_2024]) + SUMIF(tblAlibabaUnits[Products],$A47, tblAlibabaUnits[cv_2024]) + SUMIF(tblHuaweiUnits[Products],$A47, tblHuaweiUnits[cv_2024]) + SUMIF(tblTencentUnits[Products],$A47, tblTencentUnits[cv_2024]) + SUMIF(tblBaiduUnits[Products],$A47, tblBaiduUnits[cv_2024]) + SUMIF(tblByteDanceUnits[Products],$A47, tblByteDanceUnits[cv_2024]) + SUMIF(tblCloudAOUnits[Products],$A47, tblCloudAOUnits[cv_2024])</f>
        <v>0</v>
      </c>
      <c r="I47" s="8">
        <f xml:space="preserve"> SUMIF(tblGoogleUnits[Products],$A47, tblGoogleUnits[cv_2025]) + SUMIF(tblMetaUnits[Products],$A47, tblMetaUnits[cv_2025]) + SUMIF(tblAmazonUnits[Products],$A47, tblAmazonUnits[cv_2025]) + SUMIF(tblMicrosoftUnits[Products],$A47, tblMicrosoftUnits[cv_2025]) + SUMIF(tblAppleUnits[Products],$A47, tblAppleUnits[cv_2025]) + SUMIF(tblAlibabaUnits[Products],$A47, tblAlibabaUnits[cv_2025]) + SUMIF(tblHuaweiUnits[Products],$A47, tblHuaweiUnits[cv_2025]) + SUMIF(tblTencentUnits[Products],$A47, tblTencentUnits[cv_2025]) + SUMIF(tblBaiduUnits[Products],$A47, tblBaiduUnits[cv_2025]) + SUMIF(tblByteDanceUnits[Products],$A47, tblByteDanceUnits[cv_2025]) + SUMIF(tblCloudAOUnits[Products],$A47, tblCloudAOUnits[cv_2025])</f>
        <v>0</v>
      </c>
      <c r="J47" s="8">
        <f xml:space="preserve"> SUMIF(tblGoogleUnits[Products],$A47, tblGoogleUnits[cv_2026]) + SUMIF(tblMetaUnits[Products],$A47, tblMetaUnits[cv_2026]) + SUMIF(tblAmazonUnits[Products],$A47, tblAmazonUnits[cv_2026]) + SUMIF(tblMicrosoftUnits[Products],$A47, tblMicrosoftUnits[cv_2026]) + SUMIF(tblAppleUnits[Products],$A47, tblAppleUnits[cv_2026]) + SUMIF(tblAlibabaUnits[Products],$A47, tblAlibabaUnits[cv_2026]) + SUMIF(tblHuaweiUnits[Products],$A47, tblHuaweiUnits[cv_2026]) + SUMIF(tblTencentUnits[Products],$A47, tblTencentUnits[cv_2026]) + SUMIF(tblBaiduUnits[Products],$A47, tblBaiduUnits[cv_2026]) + SUMIF(tblByteDanceUnits[Products],$A47, tblByteDanceUnits[cv_2026]) + SUMIF(tblCloudAOUnits[Products],$A47, tblCloudAOUnits[cv_2026])</f>
        <v>0</v>
      </c>
      <c r="K47" s="8">
        <f xml:space="preserve"> SUMIF(tblGoogleUnits[Products],$A47, tblGoogleUnits[cv_2027]) + SUMIF(tblMetaUnits[Products],$A47, tblMetaUnits[cv_2027]) + SUMIF(tblAmazonUnits[Products],$A47, tblAmazonUnits[cv_2027]) + SUMIF(tblMicrosoftUnits[Products],$A47, tblMicrosoftUnits[cv_2027]) + SUMIF(tblAppleUnits[Products],$A47, tblAppleUnits[cv_2027]) + SUMIF(tblAlibabaUnits[Products],$A47, tblAlibabaUnits[cv_2027]) + SUMIF(tblHuaweiUnits[Products],$A47, tblHuaweiUnits[cv_2027]) + SUMIF(tblTencentUnits[Products],$A47, tblTencentUnits[cv_2027]) + SUMIF(tblBaiduUnits[Products],$A47, tblBaiduUnits[cv_2027]) + SUMIF(tblByteDanceUnits[Products],$A47, tblByteDanceUnits[cv_2027]) + SUMIF(tblCloudAOUnits[Products],$A47, tblCloudAOUnits[cv_2027])</f>
        <v>0</v>
      </c>
      <c r="L47" s="8">
        <f xml:space="preserve"> SUMIF(tblGoogleUnits[Products],$A47, tblGoogleUnits[cv_2028]) + SUMIF(tblMetaUnits[Products],$A47, tblMetaUnits[cv_2028]) + SUMIF(tblAmazonUnits[Products],$A47, tblAmazonUnits[cv_2028]) + SUMIF(tblMicrosoftUnits[Products],$A47, tblMicrosoftUnits[cv_2028]) + SUMIF(tblAppleUnits[Products],$A47, tblAppleUnits[cv_2028]) + SUMIF(tblAlibabaUnits[Products],$A47, tblAlibabaUnits[cv_2028]) + SUMIF(tblHuaweiUnits[Products],$A47, tblHuaweiUnits[cv_2028]) + SUMIF(tblTencentUnits[Products],$A47, tblTencentUnits[cv_2028]) + SUMIF(tblBaiduUnits[Products],$A47, tblBaiduUnits[cv_2028]) + SUMIF(tblByteDanceUnits[Products],$A47, tblByteDanceUnits[cv_2028]) + SUMIF(tblCloudAOUnits[Products],$A47, tblCloudAOUnits[cv_2028])</f>
        <v>0</v>
      </c>
      <c r="M47" s="122">
        <f>10^-6*B47*INDEX(TotalMarket!$M$26:$W$125,MATCH($A47,$A$11:$A$132,0),MATCH(M$10,$M$10:$W$10))</f>
        <v>0</v>
      </c>
      <c r="N47" s="122">
        <f>10^-6*C47*INDEX(TotalMarket!$M$26:$W$125,MATCH($A47,$A$11:$A$132,0),MATCH(N$10,$M$10:$W$10))</f>
        <v>0</v>
      </c>
      <c r="O47" s="122">
        <f>10^-6*D47*INDEX(TotalMarket!$M$26:$W$125,MATCH($A47,$A$11:$A$132,0),MATCH(O$10,$M$10:$W$10))</f>
        <v>0</v>
      </c>
      <c r="P47" s="122">
        <f>10^-6*E47*INDEX(TotalMarket!$M$26:$W$125,MATCH($A47,$A$11:$A$132,0),MATCH(P$10,$M$10:$W$10))</f>
        <v>0</v>
      </c>
      <c r="Q47" s="122">
        <f>10^-6*F47*INDEX(TotalMarket!$M$26:$W$125,MATCH($A47,$A$11:$A$132,0),MATCH(Q$10,$M$10:$W$10))</f>
        <v>0</v>
      </c>
      <c r="R47" s="122">
        <f>10^-6*G47*INDEX(TotalMarket!$M$26:$W$125,MATCH($A47,$A$11:$A$132,0),MATCH(R$10,$M$10:$W$10))</f>
        <v>0</v>
      </c>
      <c r="S47" s="122">
        <f>10^-6*H47*INDEX(TotalMarket!$M$26:$W$125,MATCH($A47,$A$11:$A$132,0),MATCH(S$10,$M$10:$W$10))</f>
        <v>0</v>
      </c>
      <c r="T47" s="122">
        <f>10^-6*I47*INDEX(TotalMarket!$M$26:$W$125,MATCH($A47,$A$11:$A$132,0),MATCH(T$10,$M$10:$W$10))</f>
        <v>0</v>
      </c>
      <c r="U47" s="122">
        <f>10^-6*J47*INDEX(TotalMarket!$M$26:$W$125,MATCH($A47,$A$11:$A$132,0),MATCH(U$10,$M$10:$W$10))</f>
        <v>0</v>
      </c>
      <c r="V47" s="122">
        <f>10^-6*K47*INDEX(TotalMarket!$M$26:$W$125,MATCH($A47,$A$11:$A$132,0),MATCH(V$10,$M$10:$W$10))</f>
        <v>0</v>
      </c>
      <c r="W47" s="122">
        <f>10^-6*L47*INDEX(TotalMarket!$M$26:$W$125,MATCH($A47,$A$11:$A$132,0),MATCH(W$10,$M$10:$W$10))</f>
        <v>0</v>
      </c>
      <c r="X47" s="1">
        <f>VLOOKUP(A47,Products!$A$29:$F$110,6,FALSE)</f>
        <v>100</v>
      </c>
    </row>
    <row r="48" spans="1:24">
      <c r="A48" s="15" t="s">
        <v>4</v>
      </c>
      <c r="B48" s="8">
        <f xml:space="preserve"> SUMIF(tblGoogleUnits[Products],$A48, tblGoogleUnits[cv_2018]) + SUMIF(tblMetaUnits[Products],$A48, tblMetaUnits[cv_2018]) + SUMIF(tblAmazonUnits[Products],$A48, tblAmazonUnits[cv_2018]) + SUMIF(tblMicrosoftUnits[Products],$A48, tblMicrosoftUnits[cv_2018]) + SUMIF(tblAppleUnits[Products],$A48, tblAppleUnits[cv_2018]) + SUMIF(tblAlibabaUnits[Products],$A48, tblAlibabaUnits[cv_2018]) + SUMIF(tblHuaweiUnits[Products],$A48, tblHuaweiUnits[cv_2018]) + SUMIF(tblTencentUnits[Products],$A48, tblTencentUnits[cv_2018]) + SUMIF(tblBaiduUnits[Products],$A48, tblBaiduUnits[cv_2018]) + SUMIF(tblByteDanceUnits[Products],$A48, tblByteDanceUnits[cv_2018]) + SUMIF(tblCloudAOUnits[Products],$A48, tblCloudAOUnits[cv_2018])</f>
        <v>9000</v>
      </c>
      <c r="C48" s="8">
        <f xml:space="preserve"> SUMIF(tblGoogleUnits[Products],$A48, tblGoogleUnits[cv_2019]) + SUMIF(tblMetaUnits[Products],$A48, tblMetaUnits[cv_2019]) + SUMIF(tblAmazonUnits[Products],$A48, tblAmazonUnits[cv_2019]) + SUMIF(tblMicrosoftUnits[Products],$A48, tblMicrosoftUnits[cv_2019]) + SUMIF(tblAppleUnits[Products],$A48, tblAppleUnits[cv_2019]) + SUMIF(tblAlibabaUnits[Products],$A48, tblAlibabaUnits[cv_2019]) + SUMIF(tblHuaweiUnits[Products],$A48, tblHuaweiUnits[cv_2019]) + SUMIF(tblTencentUnits[Products],$A48, tblTencentUnits[cv_2019]) + SUMIF(tblBaiduUnits[Products],$A48, tblBaiduUnits[cv_2019]) + SUMIF(tblByteDanceUnits[Products],$A48, tblByteDanceUnits[cv_2019]) + SUMIF(tblCloudAOUnits[Products],$A48, tblCloudAOUnits[cv_2019])</f>
        <v>17700</v>
      </c>
      <c r="D48" s="8">
        <f xml:space="preserve"> SUMIF(tblGoogleUnits[Products],$A48, tblGoogleUnits[cv_2020]) + SUMIF(tblMetaUnits[Products],$A48, tblMetaUnits[cv_2020]) + SUMIF(tblAmazonUnits[Products],$A48, tblAmazonUnits[cv_2020]) + SUMIF(tblMicrosoftUnits[Products],$A48, tblMicrosoftUnits[cv_2020]) + SUMIF(tblAppleUnits[Products],$A48, tblAppleUnits[cv_2020]) + SUMIF(tblAlibabaUnits[Products],$A48, tblAlibabaUnits[cv_2020]) + SUMIF(tblHuaweiUnits[Products],$A48, tblHuaweiUnits[cv_2020]) + SUMIF(tblTencentUnits[Products],$A48, tblTencentUnits[cv_2020]) + SUMIF(tblBaiduUnits[Products],$A48, tblBaiduUnits[cv_2020]) + SUMIF(tblByteDanceUnits[Products],$A48, tblByteDanceUnits[cv_2020]) + SUMIF(tblCloudAOUnits[Products],$A48, tblCloudAOUnits[cv_2020])</f>
        <v>0</v>
      </c>
      <c r="E48" s="8">
        <f xml:space="preserve"> SUMIF(tblGoogleUnits[Products],$A48, tblGoogleUnits[cv_2021]) + SUMIF(tblMetaUnits[Products],$A48, tblMetaUnits[cv_2021]) + SUMIF(tblAmazonUnits[Products],$A48, tblAmazonUnits[cv_2021]) + SUMIF(tblMicrosoftUnits[Products],$A48, tblMicrosoftUnits[cv_2021]) + SUMIF(tblAppleUnits[Products],$A48, tblAppleUnits[cv_2021]) + SUMIF(tblAlibabaUnits[Products],$A48, tblAlibabaUnits[cv_2021]) + SUMIF(tblHuaweiUnits[Products],$A48, tblHuaweiUnits[cv_2021]) + SUMIF(tblTencentUnits[Products],$A48, tblTencentUnits[cv_2021]) + SUMIF(tblBaiduUnits[Products],$A48, tblBaiduUnits[cv_2021]) + SUMIF(tblByteDanceUnits[Products],$A48, tblByteDanceUnits[cv_2021]) + SUMIF(tblCloudAOUnits[Products],$A48, tblCloudAOUnits[cv_2021])</f>
        <v>0</v>
      </c>
      <c r="F48" s="8">
        <f xml:space="preserve"> SUMIF(tblGoogleUnits[Products],$A48, tblGoogleUnits[cv_2022]) + SUMIF(tblMetaUnits[Products],$A48, tblMetaUnits[cv_2022]) + SUMIF(tblAmazonUnits[Products],$A48, tblAmazonUnits[cv_2022]) + SUMIF(tblMicrosoftUnits[Products],$A48, tblMicrosoftUnits[cv_2022]) + SUMIF(tblAppleUnits[Products],$A48, tblAppleUnits[cv_2022]) + SUMIF(tblAlibabaUnits[Products],$A48, tblAlibabaUnits[cv_2022]) + SUMIF(tblHuaweiUnits[Products],$A48, tblHuaweiUnits[cv_2022]) + SUMIF(tblTencentUnits[Products],$A48, tblTencentUnits[cv_2022]) + SUMIF(tblBaiduUnits[Products],$A48, tblBaiduUnits[cv_2022]) + SUMIF(tblByteDanceUnits[Products],$A48, tblByteDanceUnits[cv_2022]) + SUMIF(tblCloudAOUnits[Products],$A48, tblCloudAOUnits[cv_2022])</f>
        <v>0</v>
      </c>
      <c r="G48" s="8">
        <f xml:space="preserve"> SUMIF(tblGoogleUnits[Products],$A48, tblGoogleUnits[cv_2023]) + SUMIF(tblMetaUnits[Products],$A48, tblMetaUnits[cv_2023]) + SUMIF(tblAmazonUnits[Products],$A48, tblAmazonUnits[cv_2023]) + SUMIF(tblMicrosoftUnits[Products],$A48, tblMicrosoftUnits[cv_2023]) + SUMIF(tblAppleUnits[Products],$A48, tblAppleUnits[cv_2023]) + SUMIF(tblAlibabaUnits[Products],$A48, tblAlibabaUnits[cv_2023]) + SUMIF(tblHuaweiUnits[Products],$A48, tblHuaweiUnits[cv_2023]) + SUMIF(tblTencentUnits[Products],$A48, tblTencentUnits[cv_2023]) + SUMIF(tblBaiduUnits[Products],$A48, tblBaiduUnits[cv_2023]) + SUMIF(tblByteDanceUnits[Products],$A48, tblByteDanceUnits[cv_2023]) + SUMIF(tblCloudAOUnits[Products],$A48, tblCloudAOUnits[cv_2023])</f>
        <v>0</v>
      </c>
      <c r="H48" s="8">
        <f xml:space="preserve"> SUMIF(tblGoogleUnits[Products],$A48, tblGoogleUnits[cv_2024]) + SUMIF(tblMetaUnits[Products],$A48, tblMetaUnits[cv_2024]) + SUMIF(tblAmazonUnits[Products],$A48, tblAmazonUnits[cv_2024]) + SUMIF(tblMicrosoftUnits[Products],$A48, tblMicrosoftUnits[cv_2024]) + SUMIF(tblAppleUnits[Products],$A48, tblAppleUnits[cv_2024]) + SUMIF(tblAlibabaUnits[Products],$A48, tblAlibabaUnits[cv_2024]) + SUMIF(tblHuaweiUnits[Products],$A48, tblHuaweiUnits[cv_2024]) + SUMIF(tblTencentUnits[Products],$A48, tblTencentUnits[cv_2024]) + SUMIF(tblBaiduUnits[Products],$A48, tblBaiduUnits[cv_2024]) + SUMIF(tblByteDanceUnits[Products],$A48, tblByteDanceUnits[cv_2024]) + SUMIF(tblCloudAOUnits[Products],$A48, tblCloudAOUnits[cv_2024])</f>
        <v>0</v>
      </c>
      <c r="I48" s="8">
        <f xml:space="preserve"> SUMIF(tblGoogleUnits[Products],$A48, tblGoogleUnits[cv_2025]) + SUMIF(tblMetaUnits[Products],$A48, tblMetaUnits[cv_2025]) + SUMIF(tblAmazonUnits[Products],$A48, tblAmazonUnits[cv_2025]) + SUMIF(tblMicrosoftUnits[Products],$A48, tblMicrosoftUnits[cv_2025]) + SUMIF(tblAppleUnits[Products],$A48, tblAppleUnits[cv_2025]) + SUMIF(tblAlibabaUnits[Products],$A48, tblAlibabaUnits[cv_2025]) + SUMIF(tblHuaweiUnits[Products],$A48, tblHuaweiUnits[cv_2025]) + SUMIF(tblTencentUnits[Products],$A48, tblTencentUnits[cv_2025]) + SUMIF(tblBaiduUnits[Products],$A48, tblBaiduUnits[cv_2025]) + SUMIF(tblByteDanceUnits[Products],$A48, tblByteDanceUnits[cv_2025]) + SUMIF(tblCloudAOUnits[Products],$A48, tblCloudAOUnits[cv_2025])</f>
        <v>0</v>
      </c>
      <c r="J48" s="8">
        <f xml:space="preserve"> SUMIF(tblGoogleUnits[Products],$A48, tblGoogleUnits[cv_2026]) + SUMIF(tblMetaUnits[Products],$A48, tblMetaUnits[cv_2026]) + SUMIF(tblAmazonUnits[Products],$A48, tblAmazonUnits[cv_2026]) + SUMIF(tblMicrosoftUnits[Products],$A48, tblMicrosoftUnits[cv_2026]) + SUMIF(tblAppleUnits[Products],$A48, tblAppleUnits[cv_2026]) + SUMIF(tblAlibabaUnits[Products],$A48, tblAlibabaUnits[cv_2026]) + SUMIF(tblHuaweiUnits[Products],$A48, tblHuaweiUnits[cv_2026]) + SUMIF(tblTencentUnits[Products],$A48, tblTencentUnits[cv_2026]) + SUMIF(tblBaiduUnits[Products],$A48, tblBaiduUnits[cv_2026]) + SUMIF(tblByteDanceUnits[Products],$A48, tblByteDanceUnits[cv_2026]) + SUMIF(tblCloudAOUnits[Products],$A48, tblCloudAOUnits[cv_2026])</f>
        <v>0</v>
      </c>
      <c r="K48" s="8">
        <f xml:space="preserve"> SUMIF(tblGoogleUnits[Products],$A48, tblGoogleUnits[cv_2027]) + SUMIF(tblMetaUnits[Products],$A48, tblMetaUnits[cv_2027]) + SUMIF(tblAmazonUnits[Products],$A48, tblAmazonUnits[cv_2027]) + SUMIF(tblMicrosoftUnits[Products],$A48, tblMicrosoftUnits[cv_2027]) + SUMIF(tblAppleUnits[Products],$A48, tblAppleUnits[cv_2027]) + SUMIF(tblAlibabaUnits[Products],$A48, tblAlibabaUnits[cv_2027]) + SUMIF(tblHuaweiUnits[Products],$A48, tblHuaweiUnits[cv_2027]) + SUMIF(tblTencentUnits[Products],$A48, tblTencentUnits[cv_2027]) + SUMIF(tblBaiduUnits[Products],$A48, tblBaiduUnits[cv_2027]) + SUMIF(tblByteDanceUnits[Products],$A48, tblByteDanceUnits[cv_2027]) + SUMIF(tblCloudAOUnits[Products],$A48, tblCloudAOUnits[cv_2027])</f>
        <v>0</v>
      </c>
      <c r="L48" s="8">
        <f xml:space="preserve"> SUMIF(tblGoogleUnits[Products],$A48, tblGoogleUnits[cv_2028]) + SUMIF(tblMetaUnits[Products],$A48, tblMetaUnits[cv_2028]) + SUMIF(tblAmazonUnits[Products],$A48, tblAmazonUnits[cv_2028]) + SUMIF(tblMicrosoftUnits[Products],$A48, tblMicrosoftUnits[cv_2028]) + SUMIF(tblAppleUnits[Products],$A48, tblAppleUnits[cv_2028]) + SUMIF(tblAlibabaUnits[Products],$A48, tblAlibabaUnits[cv_2028]) + SUMIF(tblHuaweiUnits[Products],$A48, tblHuaweiUnits[cv_2028]) + SUMIF(tblTencentUnits[Products],$A48, tblTencentUnits[cv_2028]) + SUMIF(tblBaiduUnits[Products],$A48, tblBaiduUnits[cv_2028]) + SUMIF(tblByteDanceUnits[Products],$A48, tblByteDanceUnits[cv_2028]) + SUMIF(tblCloudAOUnits[Products],$A48, tblCloudAOUnits[cv_2028])</f>
        <v>0</v>
      </c>
      <c r="M48" s="122">
        <f>10^-6*B48*INDEX(TotalMarket!$M$26:$W$125,MATCH($A48,$A$11:$A$132,0),MATCH(M$10,$M$10:$W$10))</f>
        <v>1.5299999999999998</v>
      </c>
      <c r="N48" s="122">
        <f>10^-6*C48*INDEX(TotalMarket!$M$26:$W$125,MATCH($A48,$A$11:$A$132,0),MATCH(N$10,$M$10:$W$10))</f>
        <v>2.2124999999999999</v>
      </c>
      <c r="O48" s="122">
        <f>10^-6*D48*INDEX(TotalMarket!$M$26:$W$125,MATCH($A48,$A$11:$A$132,0),MATCH(O$10,$M$10:$W$10))</f>
        <v>0</v>
      </c>
      <c r="P48" s="122">
        <f>10^-6*E48*INDEX(TotalMarket!$M$26:$W$125,MATCH($A48,$A$11:$A$132,0),MATCH(P$10,$M$10:$W$10))</f>
        <v>0</v>
      </c>
      <c r="Q48" s="122">
        <f>10^-6*F48*INDEX(TotalMarket!$M$26:$W$125,MATCH($A48,$A$11:$A$132,0),MATCH(Q$10,$M$10:$W$10))</f>
        <v>0</v>
      </c>
      <c r="R48" s="122">
        <f>10^-6*G48*INDEX(TotalMarket!$M$26:$W$125,MATCH($A48,$A$11:$A$132,0),MATCH(R$10,$M$10:$W$10))</f>
        <v>0</v>
      </c>
      <c r="S48" s="122">
        <f>10^-6*H48*INDEX(TotalMarket!$M$26:$W$125,MATCH($A48,$A$11:$A$132,0),MATCH(S$10,$M$10:$W$10))</f>
        <v>0</v>
      </c>
      <c r="T48" s="122">
        <f>10^-6*I48*INDEX(TotalMarket!$M$26:$W$125,MATCH($A48,$A$11:$A$132,0),MATCH(T$10,$M$10:$W$10))</f>
        <v>0</v>
      </c>
      <c r="U48" s="122">
        <f>10^-6*J48*INDEX(TotalMarket!$M$26:$W$125,MATCH($A48,$A$11:$A$132,0),MATCH(U$10,$M$10:$W$10))</f>
        <v>0</v>
      </c>
      <c r="V48" s="122">
        <f>10^-6*K48*INDEX(TotalMarket!$M$26:$W$125,MATCH($A48,$A$11:$A$132,0),MATCH(V$10,$M$10:$W$10))</f>
        <v>0</v>
      </c>
      <c r="W48" s="122">
        <f>10^-6*L48*INDEX(TotalMarket!$M$26:$W$125,MATCH($A48,$A$11:$A$132,0),MATCH(W$10,$M$10:$W$10))</f>
        <v>0</v>
      </c>
      <c r="X48" s="1">
        <f>VLOOKUP(A48,Products!$A$29:$F$110,6,FALSE)</f>
        <v>100</v>
      </c>
    </row>
    <row r="49" spans="1:24">
      <c r="A49" s="15" t="s">
        <v>43</v>
      </c>
      <c r="B49" s="8">
        <f xml:space="preserve"> SUMIF(tblGoogleUnits[Products],$A49, tblGoogleUnits[cv_2018]) + SUMIF(tblMetaUnits[Products],$A49, tblMetaUnits[cv_2018]) + SUMIF(tblAmazonUnits[Products],$A49, tblAmazonUnits[cv_2018]) + SUMIF(tblMicrosoftUnits[Products],$A49, tblMicrosoftUnits[cv_2018]) + SUMIF(tblAppleUnits[Products],$A49, tblAppleUnits[cv_2018]) + SUMIF(tblAlibabaUnits[Products],$A49, tblAlibabaUnits[cv_2018]) + SUMIF(tblHuaweiUnits[Products],$A49, tblHuaweiUnits[cv_2018]) + SUMIF(tblTencentUnits[Products],$A49, tblTencentUnits[cv_2018]) + SUMIF(tblBaiduUnits[Products],$A49, tblBaiduUnits[cv_2018]) + SUMIF(tblByteDanceUnits[Products],$A49, tblByteDanceUnits[cv_2018]) + SUMIF(tblCloudAOUnits[Products],$A49, tblCloudAOUnits[cv_2018])</f>
        <v>514311</v>
      </c>
      <c r="C49" s="8">
        <f xml:space="preserve"> SUMIF(tblGoogleUnits[Products],$A49, tblGoogleUnits[cv_2019]) + SUMIF(tblMetaUnits[Products],$A49, tblMetaUnits[cv_2019]) + SUMIF(tblAmazonUnits[Products],$A49, tblAmazonUnits[cv_2019]) + SUMIF(tblMicrosoftUnits[Products],$A49, tblMicrosoftUnits[cv_2019]) + SUMIF(tblAppleUnits[Products],$A49, tblAppleUnits[cv_2019]) + SUMIF(tblAlibabaUnits[Products],$A49, tblAlibabaUnits[cv_2019]) + SUMIF(tblHuaweiUnits[Products],$A49, tblHuaweiUnits[cv_2019]) + SUMIF(tblTencentUnits[Products],$A49, tblTencentUnits[cv_2019]) + SUMIF(tblBaiduUnits[Products],$A49, tblBaiduUnits[cv_2019]) + SUMIF(tblByteDanceUnits[Products],$A49, tblByteDanceUnits[cv_2019]) + SUMIF(tblCloudAOUnits[Products],$A49, tblCloudAOUnits[cv_2019])</f>
        <v>829300</v>
      </c>
      <c r="D49" s="8">
        <f xml:space="preserve"> SUMIF(tblGoogleUnits[Products],$A49, tblGoogleUnits[cv_2020]) + SUMIF(tblMetaUnits[Products],$A49, tblMetaUnits[cv_2020]) + SUMIF(tblAmazonUnits[Products],$A49, tblAmazonUnits[cv_2020]) + SUMIF(tblMicrosoftUnits[Products],$A49, tblMicrosoftUnits[cv_2020]) + SUMIF(tblAppleUnits[Products],$A49, tblAppleUnits[cv_2020]) + SUMIF(tblAlibabaUnits[Products],$A49, tblAlibabaUnits[cv_2020]) + SUMIF(tblHuaweiUnits[Products],$A49, tblHuaweiUnits[cv_2020]) + SUMIF(tblTencentUnits[Products],$A49, tblTencentUnits[cv_2020]) + SUMIF(tblBaiduUnits[Products],$A49, tblBaiduUnits[cv_2020]) + SUMIF(tblByteDanceUnits[Products],$A49, tblByteDanceUnits[cv_2020]) + SUMIF(tblCloudAOUnits[Products],$A49, tblCloudAOUnits[cv_2020])</f>
        <v>0</v>
      </c>
      <c r="E49" s="8">
        <f xml:space="preserve"> SUMIF(tblGoogleUnits[Products],$A49, tblGoogleUnits[cv_2021]) + SUMIF(tblMetaUnits[Products],$A49, tblMetaUnits[cv_2021]) + SUMIF(tblAmazonUnits[Products],$A49, tblAmazonUnits[cv_2021]) + SUMIF(tblMicrosoftUnits[Products],$A49, tblMicrosoftUnits[cv_2021]) + SUMIF(tblAppleUnits[Products],$A49, tblAppleUnits[cv_2021]) + SUMIF(tblAlibabaUnits[Products],$A49, tblAlibabaUnits[cv_2021]) + SUMIF(tblHuaweiUnits[Products],$A49, tblHuaweiUnits[cv_2021]) + SUMIF(tblTencentUnits[Products],$A49, tblTencentUnits[cv_2021]) + SUMIF(tblBaiduUnits[Products],$A49, tblBaiduUnits[cv_2021]) + SUMIF(tblByteDanceUnits[Products],$A49, tblByteDanceUnits[cv_2021]) + SUMIF(tblCloudAOUnits[Products],$A49, tblCloudAOUnits[cv_2021])</f>
        <v>0</v>
      </c>
      <c r="F49" s="8">
        <f xml:space="preserve"> SUMIF(tblGoogleUnits[Products],$A49, tblGoogleUnits[cv_2022]) + SUMIF(tblMetaUnits[Products],$A49, tblMetaUnits[cv_2022]) + SUMIF(tblAmazonUnits[Products],$A49, tblAmazonUnits[cv_2022]) + SUMIF(tblMicrosoftUnits[Products],$A49, tblMicrosoftUnits[cv_2022]) + SUMIF(tblAppleUnits[Products],$A49, tblAppleUnits[cv_2022]) + SUMIF(tblAlibabaUnits[Products],$A49, tblAlibabaUnits[cv_2022]) + SUMIF(tblHuaweiUnits[Products],$A49, tblHuaweiUnits[cv_2022]) + SUMIF(tblTencentUnits[Products],$A49, tblTencentUnits[cv_2022]) + SUMIF(tblBaiduUnits[Products],$A49, tblBaiduUnits[cv_2022]) + SUMIF(tblByteDanceUnits[Products],$A49, tblByteDanceUnits[cv_2022]) + SUMIF(tblCloudAOUnits[Products],$A49, tblCloudAOUnits[cv_2022])</f>
        <v>0</v>
      </c>
      <c r="G49" s="8">
        <f xml:space="preserve"> SUMIF(tblGoogleUnits[Products],$A49, tblGoogleUnits[cv_2023]) + SUMIF(tblMetaUnits[Products],$A49, tblMetaUnits[cv_2023]) + SUMIF(tblAmazonUnits[Products],$A49, tblAmazonUnits[cv_2023]) + SUMIF(tblMicrosoftUnits[Products],$A49, tblMicrosoftUnits[cv_2023]) + SUMIF(tblAppleUnits[Products],$A49, tblAppleUnits[cv_2023]) + SUMIF(tblAlibabaUnits[Products],$A49, tblAlibabaUnits[cv_2023]) + SUMIF(tblHuaweiUnits[Products],$A49, tblHuaweiUnits[cv_2023]) + SUMIF(tblTencentUnits[Products],$A49, tblTencentUnits[cv_2023]) + SUMIF(tblBaiduUnits[Products],$A49, tblBaiduUnits[cv_2023]) + SUMIF(tblByteDanceUnits[Products],$A49, tblByteDanceUnits[cv_2023]) + SUMIF(tblCloudAOUnits[Products],$A49, tblCloudAOUnits[cv_2023])</f>
        <v>0</v>
      </c>
      <c r="H49" s="8">
        <f xml:space="preserve"> SUMIF(tblGoogleUnits[Products],$A49, tblGoogleUnits[cv_2024]) + SUMIF(tblMetaUnits[Products],$A49, tblMetaUnits[cv_2024]) + SUMIF(tblAmazonUnits[Products],$A49, tblAmazonUnits[cv_2024]) + SUMIF(tblMicrosoftUnits[Products],$A49, tblMicrosoftUnits[cv_2024]) + SUMIF(tblAppleUnits[Products],$A49, tblAppleUnits[cv_2024]) + SUMIF(tblAlibabaUnits[Products],$A49, tblAlibabaUnits[cv_2024]) + SUMIF(tblHuaweiUnits[Products],$A49, tblHuaweiUnits[cv_2024]) + SUMIF(tblTencentUnits[Products],$A49, tblTencentUnits[cv_2024]) + SUMIF(tblBaiduUnits[Products],$A49, tblBaiduUnits[cv_2024]) + SUMIF(tblByteDanceUnits[Products],$A49, tblByteDanceUnits[cv_2024]) + SUMIF(tblCloudAOUnits[Products],$A49, tblCloudAOUnits[cv_2024])</f>
        <v>0</v>
      </c>
      <c r="I49" s="8">
        <f xml:space="preserve"> SUMIF(tblGoogleUnits[Products],$A49, tblGoogleUnits[cv_2025]) + SUMIF(tblMetaUnits[Products],$A49, tblMetaUnits[cv_2025]) + SUMIF(tblAmazonUnits[Products],$A49, tblAmazonUnits[cv_2025]) + SUMIF(tblMicrosoftUnits[Products],$A49, tblMicrosoftUnits[cv_2025]) + SUMIF(tblAppleUnits[Products],$A49, tblAppleUnits[cv_2025]) + SUMIF(tblAlibabaUnits[Products],$A49, tblAlibabaUnits[cv_2025]) + SUMIF(tblHuaweiUnits[Products],$A49, tblHuaweiUnits[cv_2025]) + SUMIF(tblTencentUnits[Products],$A49, tblTencentUnits[cv_2025]) + SUMIF(tblBaiduUnits[Products],$A49, tblBaiduUnits[cv_2025]) + SUMIF(tblByteDanceUnits[Products],$A49, tblByteDanceUnits[cv_2025]) + SUMIF(tblCloudAOUnits[Products],$A49, tblCloudAOUnits[cv_2025])</f>
        <v>0</v>
      </c>
      <c r="J49" s="8">
        <f xml:space="preserve"> SUMIF(tblGoogleUnits[Products],$A49, tblGoogleUnits[cv_2026]) + SUMIF(tblMetaUnits[Products],$A49, tblMetaUnits[cv_2026]) + SUMIF(tblAmazonUnits[Products],$A49, tblAmazonUnits[cv_2026]) + SUMIF(tblMicrosoftUnits[Products],$A49, tblMicrosoftUnits[cv_2026]) + SUMIF(tblAppleUnits[Products],$A49, tblAppleUnits[cv_2026]) + SUMIF(tblAlibabaUnits[Products],$A49, tblAlibabaUnits[cv_2026]) + SUMIF(tblHuaweiUnits[Products],$A49, tblHuaweiUnits[cv_2026]) + SUMIF(tblTencentUnits[Products],$A49, tblTencentUnits[cv_2026]) + SUMIF(tblBaiduUnits[Products],$A49, tblBaiduUnits[cv_2026]) + SUMIF(tblByteDanceUnits[Products],$A49, tblByteDanceUnits[cv_2026]) + SUMIF(tblCloudAOUnits[Products],$A49, tblCloudAOUnits[cv_2026])</f>
        <v>0</v>
      </c>
      <c r="K49" s="8">
        <f xml:space="preserve"> SUMIF(tblGoogleUnits[Products],$A49, tblGoogleUnits[cv_2027]) + SUMIF(tblMetaUnits[Products],$A49, tblMetaUnits[cv_2027]) + SUMIF(tblAmazonUnits[Products],$A49, tblAmazonUnits[cv_2027]) + SUMIF(tblMicrosoftUnits[Products],$A49, tblMicrosoftUnits[cv_2027]) + SUMIF(tblAppleUnits[Products],$A49, tblAppleUnits[cv_2027]) + SUMIF(tblAlibabaUnits[Products],$A49, tblAlibabaUnits[cv_2027]) + SUMIF(tblHuaweiUnits[Products],$A49, tblHuaweiUnits[cv_2027]) + SUMIF(tblTencentUnits[Products],$A49, tblTencentUnits[cv_2027]) + SUMIF(tblBaiduUnits[Products],$A49, tblBaiduUnits[cv_2027]) + SUMIF(tblByteDanceUnits[Products],$A49, tblByteDanceUnits[cv_2027]) + SUMIF(tblCloudAOUnits[Products],$A49, tblCloudAOUnits[cv_2027])</f>
        <v>0</v>
      </c>
      <c r="L49" s="8">
        <f xml:space="preserve"> SUMIF(tblGoogleUnits[Products],$A49, tblGoogleUnits[cv_2028]) + SUMIF(tblMetaUnits[Products],$A49, tblMetaUnits[cv_2028]) + SUMIF(tblAmazonUnits[Products],$A49, tblAmazonUnits[cv_2028]) + SUMIF(tblMicrosoftUnits[Products],$A49, tblMicrosoftUnits[cv_2028]) + SUMIF(tblAppleUnits[Products],$A49, tblAppleUnits[cv_2028]) + SUMIF(tblAlibabaUnits[Products],$A49, tblAlibabaUnits[cv_2028]) + SUMIF(tblHuaweiUnits[Products],$A49, tblHuaweiUnits[cv_2028]) + SUMIF(tblTencentUnits[Products],$A49, tblTencentUnits[cv_2028]) + SUMIF(tblBaiduUnits[Products],$A49, tblBaiduUnits[cv_2028]) + SUMIF(tblByteDanceUnits[Products],$A49, tblByteDanceUnits[cv_2028]) + SUMIF(tblCloudAOUnits[Products],$A49, tblCloudAOUnits[cv_2028])</f>
        <v>0</v>
      </c>
      <c r="M49" s="122">
        <f>10^-6*B49*INDEX(TotalMarket!$M$26:$W$125,MATCH($A49,$A$11:$A$132,0),MATCH(M$10,$M$10:$W$10))</f>
        <v>96.700927999999976</v>
      </c>
      <c r="N49" s="122">
        <f>10^-6*C49*INDEX(TotalMarket!$M$26:$W$125,MATCH($A49,$A$11:$A$132,0),MATCH(N$10,$M$10:$W$10))</f>
        <v>132.69237279198524</v>
      </c>
      <c r="O49" s="122">
        <f>10^-6*D49*INDEX(TotalMarket!$M$26:$W$125,MATCH($A49,$A$11:$A$132,0),MATCH(O$10,$M$10:$W$10))</f>
        <v>0</v>
      </c>
      <c r="P49" s="122">
        <f>10^-6*E49*INDEX(TotalMarket!$M$26:$W$125,MATCH($A49,$A$11:$A$132,0),MATCH(P$10,$M$10:$W$10))</f>
        <v>0</v>
      </c>
      <c r="Q49" s="122">
        <f>10^-6*F49*INDEX(TotalMarket!$M$26:$W$125,MATCH($A49,$A$11:$A$132,0),MATCH(Q$10,$M$10:$W$10))</f>
        <v>0</v>
      </c>
      <c r="R49" s="122">
        <f>10^-6*G49*INDEX(TotalMarket!$M$26:$W$125,MATCH($A49,$A$11:$A$132,0),MATCH(R$10,$M$10:$W$10))</f>
        <v>0</v>
      </c>
      <c r="S49" s="122">
        <f>10^-6*H49*INDEX(TotalMarket!$M$26:$W$125,MATCH($A49,$A$11:$A$132,0),MATCH(S$10,$M$10:$W$10))</f>
        <v>0</v>
      </c>
      <c r="T49" s="122">
        <f>10^-6*I49*INDEX(TotalMarket!$M$26:$W$125,MATCH($A49,$A$11:$A$132,0),MATCH(T$10,$M$10:$W$10))</f>
        <v>0</v>
      </c>
      <c r="U49" s="122">
        <f>10^-6*J49*INDEX(TotalMarket!$M$26:$W$125,MATCH($A49,$A$11:$A$132,0),MATCH(U$10,$M$10:$W$10))</f>
        <v>0</v>
      </c>
      <c r="V49" s="122">
        <f>10^-6*K49*INDEX(TotalMarket!$M$26:$W$125,MATCH($A49,$A$11:$A$132,0),MATCH(V$10,$M$10:$W$10))</f>
        <v>0</v>
      </c>
      <c r="W49" s="122">
        <f>10^-6*L49*INDEX(TotalMarket!$M$26:$W$125,MATCH($A49,$A$11:$A$132,0),MATCH(W$10,$M$10:$W$10))</f>
        <v>0</v>
      </c>
      <c r="X49" s="1">
        <f>VLOOKUP(A49,Products!$A$29:$F$110,6,FALSE)</f>
        <v>100</v>
      </c>
    </row>
    <row r="50" spans="1:24">
      <c r="A50" s="15" t="s">
        <v>44</v>
      </c>
      <c r="B50" s="8">
        <f xml:space="preserve"> SUMIF(tblGoogleUnits[Products],$A50, tblGoogleUnits[cv_2018]) + SUMIF(tblMetaUnits[Products],$A50, tblMetaUnits[cv_2018]) + SUMIF(tblAmazonUnits[Products],$A50, tblAmazonUnits[cv_2018]) + SUMIF(tblMicrosoftUnits[Products],$A50, tblMicrosoftUnits[cv_2018]) + SUMIF(tblAppleUnits[Products],$A50, tblAppleUnits[cv_2018]) + SUMIF(tblAlibabaUnits[Products],$A50, tblAlibabaUnits[cv_2018]) + SUMIF(tblHuaweiUnits[Products],$A50, tblHuaweiUnits[cv_2018]) + SUMIF(tblTencentUnits[Products],$A50, tblTencentUnits[cv_2018]) + SUMIF(tblBaiduUnits[Products],$A50, tblBaiduUnits[cv_2018]) + SUMIF(tblByteDanceUnits[Products],$A50, tblByteDanceUnits[cv_2018]) + SUMIF(tblCloudAOUnits[Products],$A50, tblCloudAOUnits[cv_2018])</f>
        <v>0</v>
      </c>
      <c r="C50" s="8">
        <f xml:space="preserve"> SUMIF(tblGoogleUnits[Products],$A50, tblGoogleUnits[cv_2019]) + SUMIF(tblMetaUnits[Products],$A50, tblMetaUnits[cv_2019]) + SUMIF(tblAmazonUnits[Products],$A50, tblAmazonUnits[cv_2019]) + SUMIF(tblMicrosoftUnits[Products],$A50, tblMicrosoftUnits[cv_2019]) + SUMIF(tblAppleUnits[Products],$A50, tblAppleUnits[cv_2019]) + SUMIF(tblAlibabaUnits[Products],$A50, tblAlibabaUnits[cv_2019]) + SUMIF(tblHuaweiUnits[Products],$A50, tblHuaweiUnits[cv_2019]) + SUMIF(tblTencentUnits[Products],$A50, tblTencentUnits[cv_2019]) + SUMIF(tblBaiduUnits[Products],$A50, tblBaiduUnits[cv_2019]) + SUMIF(tblByteDanceUnits[Products],$A50, tblByteDanceUnits[cv_2019]) + SUMIF(tblCloudAOUnits[Products],$A50, tblCloudAOUnits[cv_2019])</f>
        <v>0</v>
      </c>
      <c r="D50" s="8">
        <f xml:space="preserve"> SUMIF(tblGoogleUnits[Products],$A50, tblGoogleUnits[cv_2020]) + SUMIF(tblMetaUnits[Products],$A50, tblMetaUnits[cv_2020]) + SUMIF(tblAmazonUnits[Products],$A50, tblAmazonUnits[cv_2020]) + SUMIF(tblMicrosoftUnits[Products],$A50, tblMicrosoftUnits[cv_2020]) + SUMIF(tblAppleUnits[Products],$A50, tblAppleUnits[cv_2020]) + SUMIF(tblAlibabaUnits[Products],$A50, tblAlibabaUnits[cv_2020]) + SUMIF(tblHuaweiUnits[Products],$A50, tblHuaweiUnits[cv_2020]) + SUMIF(tblTencentUnits[Products],$A50, tblTencentUnits[cv_2020]) + SUMIF(tblBaiduUnits[Products],$A50, tblBaiduUnits[cv_2020]) + SUMIF(tblByteDanceUnits[Products],$A50, tblByteDanceUnits[cv_2020]) + SUMIF(tblCloudAOUnits[Products],$A50, tblCloudAOUnits[cv_2020])</f>
        <v>0</v>
      </c>
      <c r="E50" s="8">
        <f xml:space="preserve"> SUMIF(tblGoogleUnits[Products],$A50, tblGoogleUnits[cv_2021]) + SUMIF(tblMetaUnits[Products],$A50, tblMetaUnits[cv_2021]) + SUMIF(tblAmazonUnits[Products],$A50, tblAmazonUnits[cv_2021]) + SUMIF(tblMicrosoftUnits[Products],$A50, tblMicrosoftUnits[cv_2021]) + SUMIF(tblAppleUnits[Products],$A50, tblAppleUnits[cv_2021]) + SUMIF(tblAlibabaUnits[Products],$A50, tblAlibabaUnits[cv_2021]) + SUMIF(tblHuaweiUnits[Products],$A50, tblHuaweiUnits[cv_2021]) + SUMIF(tblTencentUnits[Products],$A50, tblTencentUnits[cv_2021]) + SUMIF(tblBaiduUnits[Products],$A50, tblBaiduUnits[cv_2021]) + SUMIF(tblByteDanceUnits[Products],$A50, tblByteDanceUnits[cv_2021]) + SUMIF(tblCloudAOUnits[Products],$A50, tblCloudAOUnits[cv_2021])</f>
        <v>0</v>
      </c>
      <c r="F50" s="8">
        <f xml:space="preserve"> SUMIF(tblGoogleUnits[Products],$A50, tblGoogleUnits[cv_2022]) + SUMIF(tblMetaUnits[Products],$A50, tblMetaUnits[cv_2022]) + SUMIF(tblAmazonUnits[Products],$A50, tblAmazonUnits[cv_2022]) + SUMIF(tblMicrosoftUnits[Products],$A50, tblMicrosoftUnits[cv_2022]) + SUMIF(tblAppleUnits[Products],$A50, tblAppleUnits[cv_2022]) + SUMIF(tblAlibabaUnits[Products],$A50, tblAlibabaUnits[cv_2022]) + SUMIF(tblHuaweiUnits[Products],$A50, tblHuaweiUnits[cv_2022]) + SUMIF(tblTencentUnits[Products],$A50, tblTencentUnits[cv_2022]) + SUMIF(tblBaiduUnits[Products],$A50, tblBaiduUnits[cv_2022]) + SUMIF(tblByteDanceUnits[Products],$A50, tblByteDanceUnits[cv_2022]) + SUMIF(tblCloudAOUnits[Products],$A50, tblCloudAOUnits[cv_2022])</f>
        <v>0</v>
      </c>
      <c r="G50" s="8">
        <f xml:space="preserve"> SUMIF(tblGoogleUnits[Products],$A50, tblGoogleUnits[cv_2023]) + SUMIF(tblMetaUnits[Products],$A50, tblMetaUnits[cv_2023]) + SUMIF(tblAmazonUnits[Products],$A50, tblAmazonUnits[cv_2023]) + SUMIF(tblMicrosoftUnits[Products],$A50, tblMicrosoftUnits[cv_2023]) + SUMIF(tblAppleUnits[Products],$A50, tblAppleUnits[cv_2023]) + SUMIF(tblAlibabaUnits[Products],$A50, tblAlibabaUnits[cv_2023]) + SUMIF(tblHuaweiUnits[Products],$A50, tblHuaweiUnits[cv_2023]) + SUMIF(tblTencentUnits[Products],$A50, tblTencentUnits[cv_2023]) + SUMIF(tblBaiduUnits[Products],$A50, tblBaiduUnits[cv_2023]) + SUMIF(tblByteDanceUnits[Products],$A50, tblByteDanceUnits[cv_2023]) + SUMIF(tblCloudAOUnits[Products],$A50, tblCloudAOUnits[cv_2023])</f>
        <v>0</v>
      </c>
      <c r="H50" s="8">
        <f xml:space="preserve"> SUMIF(tblGoogleUnits[Products],$A50, tblGoogleUnits[cv_2024]) + SUMIF(tblMetaUnits[Products],$A50, tblMetaUnits[cv_2024]) + SUMIF(tblAmazonUnits[Products],$A50, tblAmazonUnits[cv_2024]) + SUMIF(tblMicrosoftUnits[Products],$A50, tblMicrosoftUnits[cv_2024]) + SUMIF(tblAppleUnits[Products],$A50, tblAppleUnits[cv_2024]) + SUMIF(tblAlibabaUnits[Products],$A50, tblAlibabaUnits[cv_2024]) + SUMIF(tblHuaweiUnits[Products],$A50, tblHuaweiUnits[cv_2024]) + SUMIF(tblTencentUnits[Products],$A50, tblTencentUnits[cv_2024]) + SUMIF(tblBaiduUnits[Products],$A50, tblBaiduUnits[cv_2024]) + SUMIF(tblByteDanceUnits[Products],$A50, tblByteDanceUnits[cv_2024]) + SUMIF(tblCloudAOUnits[Products],$A50, tblCloudAOUnits[cv_2024])</f>
        <v>0</v>
      </c>
      <c r="I50" s="8">
        <f xml:space="preserve"> SUMIF(tblGoogleUnits[Products],$A50, tblGoogleUnits[cv_2025]) + SUMIF(tblMetaUnits[Products],$A50, tblMetaUnits[cv_2025]) + SUMIF(tblAmazonUnits[Products],$A50, tblAmazonUnits[cv_2025]) + SUMIF(tblMicrosoftUnits[Products],$A50, tblMicrosoftUnits[cv_2025]) + SUMIF(tblAppleUnits[Products],$A50, tblAppleUnits[cv_2025]) + SUMIF(tblAlibabaUnits[Products],$A50, tblAlibabaUnits[cv_2025]) + SUMIF(tblHuaweiUnits[Products],$A50, tblHuaweiUnits[cv_2025]) + SUMIF(tblTencentUnits[Products],$A50, tblTencentUnits[cv_2025]) + SUMIF(tblBaiduUnits[Products],$A50, tblBaiduUnits[cv_2025]) + SUMIF(tblByteDanceUnits[Products],$A50, tblByteDanceUnits[cv_2025]) + SUMIF(tblCloudAOUnits[Products],$A50, tblCloudAOUnits[cv_2025])</f>
        <v>0</v>
      </c>
      <c r="J50" s="8">
        <f xml:space="preserve"> SUMIF(tblGoogleUnits[Products],$A50, tblGoogleUnits[cv_2026]) + SUMIF(tblMetaUnits[Products],$A50, tblMetaUnits[cv_2026]) + SUMIF(tblAmazonUnits[Products],$A50, tblAmazonUnits[cv_2026]) + SUMIF(tblMicrosoftUnits[Products],$A50, tblMicrosoftUnits[cv_2026]) + SUMIF(tblAppleUnits[Products],$A50, tblAppleUnits[cv_2026]) + SUMIF(tblAlibabaUnits[Products],$A50, tblAlibabaUnits[cv_2026]) + SUMIF(tblHuaweiUnits[Products],$A50, tblHuaweiUnits[cv_2026]) + SUMIF(tblTencentUnits[Products],$A50, tblTencentUnits[cv_2026]) + SUMIF(tblBaiduUnits[Products],$A50, tblBaiduUnits[cv_2026]) + SUMIF(tblByteDanceUnits[Products],$A50, tblByteDanceUnits[cv_2026]) + SUMIF(tblCloudAOUnits[Products],$A50, tblCloudAOUnits[cv_2026])</f>
        <v>0</v>
      </c>
      <c r="K50" s="8">
        <f xml:space="preserve"> SUMIF(tblGoogleUnits[Products],$A50, tblGoogleUnits[cv_2027]) + SUMIF(tblMetaUnits[Products],$A50, tblMetaUnits[cv_2027]) + SUMIF(tblAmazonUnits[Products],$A50, tblAmazonUnits[cv_2027]) + SUMIF(tblMicrosoftUnits[Products],$A50, tblMicrosoftUnits[cv_2027]) + SUMIF(tblAppleUnits[Products],$A50, tblAppleUnits[cv_2027]) + SUMIF(tblAlibabaUnits[Products],$A50, tblAlibabaUnits[cv_2027]) + SUMIF(tblHuaweiUnits[Products],$A50, tblHuaweiUnits[cv_2027]) + SUMIF(tblTencentUnits[Products],$A50, tblTencentUnits[cv_2027]) + SUMIF(tblBaiduUnits[Products],$A50, tblBaiduUnits[cv_2027]) + SUMIF(tblByteDanceUnits[Products],$A50, tblByteDanceUnits[cv_2027]) + SUMIF(tblCloudAOUnits[Products],$A50, tblCloudAOUnits[cv_2027])</f>
        <v>0</v>
      </c>
      <c r="L50" s="8">
        <f xml:space="preserve"> SUMIF(tblGoogleUnits[Products],$A50, tblGoogleUnits[cv_2028]) + SUMIF(tblMetaUnits[Products],$A50, tblMetaUnits[cv_2028]) + SUMIF(tblAmazonUnits[Products],$A50, tblAmazonUnits[cv_2028]) + SUMIF(tblMicrosoftUnits[Products],$A50, tblMicrosoftUnits[cv_2028]) + SUMIF(tblAppleUnits[Products],$A50, tblAppleUnits[cv_2028]) + SUMIF(tblAlibabaUnits[Products],$A50, tblAlibabaUnits[cv_2028]) + SUMIF(tblHuaweiUnits[Products],$A50, tblHuaweiUnits[cv_2028]) + SUMIF(tblTencentUnits[Products],$A50, tblTencentUnits[cv_2028]) + SUMIF(tblBaiduUnits[Products],$A50, tblBaiduUnits[cv_2028]) + SUMIF(tblByteDanceUnits[Products],$A50, tblByteDanceUnits[cv_2028]) + SUMIF(tblCloudAOUnits[Products],$A50, tblCloudAOUnits[cv_2028])</f>
        <v>0</v>
      </c>
      <c r="M50" s="122">
        <f>10^-6*B50*INDEX(TotalMarket!$M$26:$W$125,MATCH($A50,$A$11:$A$132,0),MATCH(M$10,$M$10:$W$10))</f>
        <v>0</v>
      </c>
      <c r="N50" s="122">
        <f>10^-6*C50*INDEX(TotalMarket!$M$26:$W$125,MATCH($A50,$A$11:$A$132,0),MATCH(N$10,$M$10:$W$10))</f>
        <v>0</v>
      </c>
      <c r="O50" s="122">
        <f>10^-6*D50*INDEX(TotalMarket!$M$26:$W$125,MATCH($A50,$A$11:$A$132,0),MATCH(O$10,$M$10:$W$10))</f>
        <v>0</v>
      </c>
      <c r="P50" s="122">
        <f>10^-6*E50*INDEX(TotalMarket!$M$26:$W$125,MATCH($A50,$A$11:$A$132,0),MATCH(P$10,$M$10:$W$10))</f>
        <v>0</v>
      </c>
      <c r="Q50" s="122">
        <f>10^-6*F50*INDEX(TotalMarket!$M$26:$W$125,MATCH($A50,$A$11:$A$132,0),MATCH(Q$10,$M$10:$W$10))</f>
        <v>0</v>
      </c>
      <c r="R50" s="122">
        <f>10^-6*G50*INDEX(TotalMarket!$M$26:$W$125,MATCH($A50,$A$11:$A$132,0),MATCH(R$10,$M$10:$W$10))</f>
        <v>0</v>
      </c>
      <c r="S50" s="122">
        <f>10^-6*H50*INDEX(TotalMarket!$M$26:$W$125,MATCH($A50,$A$11:$A$132,0),MATCH(S$10,$M$10:$W$10))</f>
        <v>0</v>
      </c>
      <c r="T50" s="122">
        <f>10^-6*I50*INDEX(TotalMarket!$M$26:$W$125,MATCH($A50,$A$11:$A$132,0),MATCH(T$10,$M$10:$W$10))</f>
        <v>0</v>
      </c>
      <c r="U50" s="122">
        <f>10^-6*J50*INDEX(TotalMarket!$M$26:$W$125,MATCH($A50,$A$11:$A$132,0),MATCH(U$10,$M$10:$W$10))</f>
        <v>0</v>
      </c>
      <c r="V50" s="122">
        <f>10^-6*K50*INDEX(TotalMarket!$M$26:$W$125,MATCH($A50,$A$11:$A$132,0),MATCH(V$10,$M$10:$W$10))</f>
        <v>0</v>
      </c>
      <c r="W50" s="122">
        <f>10^-6*L50*INDEX(TotalMarket!$M$26:$W$125,MATCH($A50,$A$11:$A$132,0),MATCH(W$10,$M$10:$W$10))</f>
        <v>0</v>
      </c>
      <c r="X50" s="1">
        <f>VLOOKUP(A50,Products!$A$29:$F$110,6,FALSE)</f>
        <v>100</v>
      </c>
    </row>
    <row r="51" spans="1:24">
      <c r="A51" s="15" t="s">
        <v>40</v>
      </c>
      <c r="B51" s="8">
        <f xml:space="preserve"> SUMIF(tblGoogleUnits[Products],$A51, tblGoogleUnits[cv_2018]) + SUMIF(tblMetaUnits[Products],$A51, tblMetaUnits[cv_2018]) + SUMIF(tblAmazonUnits[Products],$A51, tblAmazonUnits[cv_2018]) + SUMIF(tblMicrosoftUnits[Products],$A51, tblMicrosoftUnits[cv_2018]) + SUMIF(tblAppleUnits[Products],$A51, tblAppleUnits[cv_2018]) + SUMIF(tblAlibabaUnits[Products],$A51, tblAlibabaUnits[cv_2018]) + SUMIF(tblHuaweiUnits[Products],$A51, tblHuaweiUnits[cv_2018]) + SUMIF(tblTencentUnits[Products],$A51, tblTencentUnits[cv_2018]) + SUMIF(tblBaiduUnits[Products],$A51, tblBaiduUnits[cv_2018]) + SUMIF(tblByteDanceUnits[Products],$A51, tblByteDanceUnits[cv_2018]) + SUMIF(tblCloudAOUnits[Products],$A51, tblCloudAOUnits[cv_2018])</f>
        <v>1100000</v>
      </c>
      <c r="C51" s="8">
        <f xml:space="preserve"> SUMIF(tblGoogleUnits[Products],$A51, tblGoogleUnits[cv_2019]) + SUMIF(tblMetaUnits[Products],$A51, tblMetaUnits[cv_2019]) + SUMIF(tblAmazonUnits[Products],$A51, tblAmazonUnits[cv_2019]) + SUMIF(tblMicrosoftUnits[Products],$A51, tblMicrosoftUnits[cv_2019]) + SUMIF(tblAppleUnits[Products],$A51, tblAppleUnits[cv_2019]) + SUMIF(tblAlibabaUnits[Products],$A51, tblAlibabaUnits[cv_2019]) + SUMIF(tblHuaweiUnits[Products],$A51, tblHuaweiUnits[cv_2019]) + SUMIF(tblTencentUnits[Products],$A51, tblTencentUnits[cv_2019]) + SUMIF(tblBaiduUnits[Products],$A51, tblBaiduUnits[cv_2019]) + SUMIF(tblByteDanceUnits[Products],$A51, tblByteDanceUnits[cv_2019]) + SUMIF(tblCloudAOUnits[Products],$A51, tblCloudAOUnits[cv_2019])</f>
        <v>1700000</v>
      </c>
      <c r="D51" s="8">
        <f xml:space="preserve"> SUMIF(tblGoogleUnits[Products],$A51, tblGoogleUnits[cv_2020]) + SUMIF(tblMetaUnits[Products],$A51, tblMetaUnits[cv_2020]) + SUMIF(tblAmazonUnits[Products],$A51, tblAmazonUnits[cv_2020]) + SUMIF(tblMicrosoftUnits[Products],$A51, tblMicrosoftUnits[cv_2020]) + SUMIF(tblAppleUnits[Products],$A51, tblAppleUnits[cv_2020]) + SUMIF(tblAlibabaUnits[Products],$A51, tblAlibabaUnits[cv_2020]) + SUMIF(tblHuaweiUnits[Products],$A51, tblHuaweiUnits[cv_2020]) + SUMIF(tblTencentUnits[Products],$A51, tblTencentUnits[cv_2020]) + SUMIF(tblBaiduUnits[Products],$A51, tblBaiduUnits[cv_2020]) + SUMIF(tblByteDanceUnits[Products],$A51, tblByteDanceUnits[cv_2020]) + SUMIF(tblCloudAOUnits[Products],$A51, tblCloudAOUnits[cv_2020])</f>
        <v>0</v>
      </c>
      <c r="E51" s="8">
        <f xml:space="preserve"> SUMIF(tblGoogleUnits[Products],$A51, tblGoogleUnits[cv_2021]) + SUMIF(tblMetaUnits[Products],$A51, tblMetaUnits[cv_2021]) + SUMIF(tblAmazonUnits[Products],$A51, tblAmazonUnits[cv_2021]) + SUMIF(tblMicrosoftUnits[Products],$A51, tblMicrosoftUnits[cv_2021]) + SUMIF(tblAppleUnits[Products],$A51, tblAppleUnits[cv_2021]) + SUMIF(tblAlibabaUnits[Products],$A51, tblAlibabaUnits[cv_2021]) + SUMIF(tblHuaweiUnits[Products],$A51, tblHuaweiUnits[cv_2021]) + SUMIF(tblTencentUnits[Products],$A51, tblTencentUnits[cv_2021]) + SUMIF(tblBaiduUnits[Products],$A51, tblBaiduUnits[cv_2021]) + SUMIF(tblByteDanceUnits[Products],$A51, tblByteDanceUnits[cv_2021]) + SUMIF(tblCloudAOUnits[Products],$A51, tblCloudAOUnits[cv_2021])</f>
        <v>0</v>
      </c>
      <c r="F51" s="8">
        <f xml:space="preserve"> SUMIF(tblGoogleUnits[Products],$A51, tblGoogleUnits[cv_2022]) + SUMIF(tblMetaUnits[Products],$A51, tblMetaUnits[cv_2022]) + SUMIF(tblAmazonUnits[Products],$A51, tblAmazonUnits[cv_2022]) + SUMIF(tblMicrosoftUnits[Products],$A51, tblMicrosoftUnits[cv_2022]) + SUMIF(tblAppleUnits[Products],$A51, tblAppleUnits[cv_2022]) + SUMIF(tblAlibabaUnits[Products],$A51, tblAlibabaUnits[cv_2022]) + SUMIF(tblHuaweiUnits[Products],$A51, tblHuaweiUnits[cv_2022]) + SUMIF(tblTencentUnits[Products],$A51, tblTencentUnits[cv_2022]) + SUMIF(tblBaiduUnits[Products],$A51, tblBaiduUnits[cv_2022]) + SUMIF(tblByteDanceUnits[Products],$A51, tblByteDanceUnits[cv_2022]) + SUMIF(tblCloudAOUnits[Products],$A51, tblCloudAOUnits[cv_2022])</f>
        <v>0</v>
      </c>
      <c r="G51" s="8">
        <f xml:space="preserve"> SUMIF(tblGoogleUnits[Products],$A51, tblGoogleUnits[cv_2023]) + SUMIF(tblMetaUnits[Products],$A51, tblMetaUnits[cv_2023]) + SUMIF(tblAmazonUnits[Products],$A51, tblAmazonUnits[cv_2023]) + SUMIF(tblMicrosoftUnits[Products],$A51, tblMicrosoftUnits[cv_2023]) + SUMIF(tblAppleUnits[Products],$A51, tblAppleUnits[cv_2023]) + SUMIF(tblAlibabaUnits[Products],$A51, tblAlibabaUnits[cv_2023]) + SUMIF(tblHuaweiUnits[Products],$A51, tblHuaweiUnits[cv_2023]) + SUMIF(tblTencentUnits[Products],$A51, tblTencentUnits[cv_2023]) + SUMIF(tblBaiduUnits[Products],$A51, tblBaiduUnits[cv_2023]) + SUMIF(tblByteDanceUnits[Products],$A51, tblByteDanceUnits[cv_2023]) + SUMIF(tblCloudAOUnits[Products],$A51, tblCloudAOUnits[cv_2023])</f>
        <v>0</v>
      </c>
      <c r="H51" s="8">
        <f xml:space="preserve"> SUMIF(tblGoogleUnits[Products],$A51, tblGoogleUnits[cv_2024]) + SUMIF(tblMetaUnits[Products],$A51, tblMetaUnits[cv_2024]) + SUMIF(tblAmazonUnits[Products],$A51, tblAmazonUnits[cv_2024]) + SUMIF(tblMicrosoftUnits[Products],$A51, tblMicrosoftUnits[cv_2024]) + SUMIF(tblAppleUnits[Products],$A51, tblAppleUnits[cv_2024]) + SUMIF(tblAlibabaUnits[Products],$A51, tblAlibabaUnits[cv_2024]) + SUMIF(tblHuaweiUnits[Products],$A51, tblHuaweiUnits[cv_2024]) + SUMIF(tblTencentUnits[Products],$A51, tblTencentUnits[cv_2024]) + SUMIF(tblBaiduUnits[Products],$A51, tblBaiduUnits[cv_2024]) + SUMIF(tblByteDanceUnits[Products],$A51, tblByteDanceUnits[cv_2024]) + SUMIF(tblCloudAOUnits[Products],$A51, tblCloudAOUnits[cv_2024])</f>
        <v>0</v>
      </c>
      <c r="I51" s="8">
        <f xml:space="preserve"> SUMIF(tblGoogleUnits[Products],$A51, tblGoogleUnits[cv_2025]) + SUMIF(tblMetaUnits[Products],$A51, tblMetaUnits[cv_2025]) + SUMIF(tblAmazonUnits[Products],$A51, tblAmazonUnits[cv_2025]) + SUMIF(tblMicrosoftUnits[Products],$A51, tblMicrosoftUnits[cv_2025]) + SUMIF(tblAppleUnits[Products],$A51, tblAppleUnits[cv_2025]) + SUMIF(tblAlibabaUnits[Products],$A51, tblAlibabaUnits[cv_2025]) + SUMIF(tblHuaweiUnits[Products],$A51, tblHuaweiUnits[cv_2025]) + SUMIF(tblTencentUnits[Products],$A51, tblTencentUnits[cv_2025]) + SUMIF(tblBaiduUnits[Products],$A51, tblBaiduUnits[cv_2025]) + SUMIF(tblByteDanceUnits[Products],$A51, tblByteDanceUnits[cv_2025]) + SUMIF(tblCloudAOUnits[Products],$A51, tblCloudAOUnits[cv_2025])</f>
        <v>0</v>
      </c>
      <c r="J51" s="8">
        <f xml:space="preserve"> SUMIF(tblGoogleUnits[Products],$A51, tblGoogleUnits[cv_2026]) + SUMIF(tblMetaUnits[Products],$A51, tblMetaUnits[cv_2026]) + SUMIF(tblAmazonUnits[Products],$A51, tblAmazonUnits[cv_2026]) + SUMIF(tblMicrosoftUnits[Products],$A51, tblMicrosoftUnits[cv_2026]) + SUMIF(tblAppleUnits[Products],$A51, tblAppleUnits[cv_2026]) + SUMIF(tblAlibabaUnits[Products],$A51, tblAlibabaUnits[cv_2026]) + SUMIF(tblHuaweiUnits[Products],$A51, tblHuaweiUnits[cv_2026]) + SUMIF(tblTencentUnits[Products],$A51, tblTencentUnits[cv_2026]) + SUMIF(tblBaiduUnits[Products],$A51, tblBaiduUnits[cv_2026]) + SUMIF(tblByteDanceUnits[Products],$A51, tblByteDanceUnits[cv_2026]) + SUMIF(tblCloudAOUnits[Products],$A51, tblCloudAOUnits[cv_2026])</f>
        <v>0</v>
      </c>
      <c r="K51" s="8">
        <f xml:space="preserve"> SUMIF(tblGoogleUnits[Products],$A51, tblGoogleUnits[cv_2027]) + SUMIF(tblMetaUnits[Products],$A51, tblMetaUnits[cv_2027]) + SUMIF(tblAmazonUnits[Products],$A51, tblAmazonUnits[cv_2027]) + SUMIF(tblMicrosoftUnits[Products],$A51, tblMicrosoftUnits[cv_2027]) + SUMIF(tblAppleUnits[Products],$A51, tblAppleUnits[cv_2027]) + SUMIF(tblAlibabaUnits[Products],$A51, tblAlibabaUnits[cv_2027]) + SUMIF(tblHuaweiUnits[Products],$A51, tblHuaweiUnits[cv_2027]) + SUMIF(tblTencentUnits[Products],$A51, tblTencentUnits[cv_2027]) + SUMIF(tblBaiduUnits[Products],$A51, tblBaiduUnits[cv_2027]) + SUMIF(tblByteDanceUnits[Products],$A51, tblByteDanceUnits[cv_2027]) + SUMIF(tblCloudAOUnits[Products],$A51, tblCloudAOUnits[cv_2027])</f>
        <v>0</v>
      </c>
      <c r="L51" s="8">
        <f xml:space="preserve"> SUMIF(tblGoogleUnits[Products],$A51, tblGoogleUnits[cv_2028]) + SUMIF(tblMetaUnits[Products],$A51, tblMetaUnits[cv_2028]) + SUMIF(tblAmazonUnits[Products],$A51, tblAmazonUnits[cv_2028]) + SUMIF(tblMicrosoftUnits[Products],$A51, tblMicrosoftUnits[cv_2028]) + SUMIF(tblAppleUnits[Products],$A51, tblAppleUnits[cv_2028]) + SUMIF(tblAlibabaUnits[Products],$A51, tblAlibabaUnits[cv_2028]) + SUMIF(tblHuaweiUnits[Products],$A51, tblHuaweiUnits[cv_2028]) + SUMIF(tblTencentUnits[Products],$A51, tblTencentUnits[cv_2028]) + SUMIF(tblBaiduUnits[Products],$A51, tblBaiduUnits[cv_2028]) + SUMIF(tblByteDanceUnits[Products],$A51, tblByteDanceUnits[cv_2028]) + SUMIF(tblCloudAOUnits[Products],$A51, tblCloudAOUnits[cv_2028])</f>
        <v>0</v>
      </c>
      <c r="M51" s="122">
        <f>10^-6*B51*INDEX(TotalMarket!$M$26:$W$125,MATCH($A51,$A$11:$A$132,0),MATCH(M$10,$M$10:$W$10))</f>
        <v>307.99999999999994</v>
      </c>
      <c r="N51" s="122">
        <f>10^-6*C51*INDEX(TotalMarket!$M$26:$W$125,MATCH($A51,$A$11:$A$132,0),MATCH(N$10,$M$10:$W$10))</f>
        <v>306</v>
      </c>
      <c r="O51" s="122">
        <f>10^-6*D51*INDEX(TotalMarket!$M$26:$W$125,MATCH($A51,$A$11:$A$132,0),MATCH(O$10,$M$10:$W$10))</f>
        <v>0</v>
      </c>
      <c r="P51" s="122">
        <f>10^-6*E51*INDEX(TotalMarket!$M$26:$W$125,MATCH($A51,$A$11:$A$132,0),MATCH(P$10,$M$10:$W$10))</f>
        <v>0</v>
      </c>
      <c r="Q51" s="122">
        <f>10^-6*F51*INDEX(TotalMarket!$M$26:$W$125,MATCH($A51,$A$11:$A$132,0),MATCH(Q$10,$M$10:$W$10))</f>
        <v>0</v>
      </c>
      <c r="R51" s="122">
        <f>10^-6*G51*INDEX(TotalMarket!$M$26:$W$125,MATCH($A51,$A$11:$A$132,0),MATCH(R$10,$M$10:$W$10))</f>
        <v>0</v>
      </c>
      <c r="S51" s="122">
        <f>10^-6*H51*INDEX(TotalMarket!$M$26:$W$125,MATCH($A51,$A$11:$A$132,0),MATCH(S$10,$M$10:$W$10))</f>
        <v>0</v>
      </c>
      <c r="T51" s="122">
        <f>10^-6*I51*INDEX(TotalMarket!$M$26:$W$125,MATCH($A51,$A$11:$A$132,0),MATCH(T$10,$M$10:$W$10))</f>
        <v>0</v>
      </c>
      <c r="U51" s="122">
        <f>10^-6*J51*INDEX(TotalMarket!$M$26:$W$125,MATCH($A51,$A$11:$A$132,0),MATCH(U$10,$M$10:$W$10))</f>
        <v>0</v>
      </c>
      <c r="V51" s="122">
        <f>10^-6*K51*INDEX(TotalMarket!$M$26:$W$125,MATCH($A51,$A$11:$A$132,0),MATCH(V$10,$M$10:$W$10))</f>
        <v>0</v>
      </c>
      <c r="W51" s="122">
        <f>10^-6*L51*INDEX(TotalMarket!$M$26:$W$125,MATCH($A51,$A$11:$A$132,0),MATCH(W$10,$M$10:$W$10))</f>
        <v>0</v>
      </c>
      <c r="X51" s="1">
        <f>VLOOKUP(A51,Products!$A$29:$F$110,6,FALSE)</f>
        <v>100</v>
      </c>
    </row>
    <row r="52" spans="1:24">
      <c r="A52" s="15" t="s">
        <v>5</v>
      </c>
      <c r="B52" s="8">
        <f xml:space="preserve"> SUMIF(tblGoogleUnits[Products],$A52, tblGoogleUnits[cv_2018]) + SUMIF(tblMetaUnits[Products],$A52, tblMetaUnits[cv_2018]) + SUMIF(tblAmazonUnits[Products],$A52, tblAmazonUnits[cv_2018]) + SUMIF(tblMicrosoftUnits[Products],$A52, tblMicrosoftUnits[cv_2018]) + SUMIF(tblAppleUnits[Products],$A52, tblAppleUnits[cv_2018]) + SUMIF(tblAlibabaUnits[Products],$A52, tblAlibabaUnits[cv_2018]) + SUMIF(tblHuaweiUnits[Products],$A52, tblHuaweiUnits[cv_2018]) + SUMIF(tblTencentUnits[Products],$A52, tblTencentUnits[cv_2018]) + SUMIF(tblBaiduUnits[Products],$A52, tblBaiduUnits[cv_2018]) + SUMIF(tblByteDanceUnits[Products],$A52, tblByteDanceUnits[cv_2018]) + SUMIF(tblCloudAOUnits[Products],$A52, tblCloudAOUnits[cv_2018])</f>
        <v>1866292.6190476189</v>
      </c>
      <c r="C52" s="8">
        <f xml:space="preserve"> SUMIF(tblGoogleUnits[Products],$A52, tblGoogleUnits[cv_2019]) + SUMIF(tblMetaUnits[Products],$A52, tblMetaUnits[cv_2019]) + SUMIF(tblAmazonUnits[Products],$A52, tblAmazonUnits[cv_2019]) + SUMIF(tblMicrosoftUnits[Products],$A52, tblMicrosoftUnits[cv_2019]) + SUMIF(tblAppleUnits[Products],$A52, tblAppleUnits[cv_2019]) + SUMIF(tblAlibabaUnits[Products],$A52, tblAlibabaUnits[cv_2019]) + SUMIF(tblHuaweiUnits[Products],$A52, tblHuaweiUnits[cv_2019]) + SUMIF(tblTencentUnits[Products],$A52, tblTencentUnits[cv_2019]) + SUMIF(tblBaiduUnits[Products],$A52, tblBaiduUnits[cv_2019]) + SUMIF(tblByteDanceUnits[Products],$A52, tblByteDanceUnits[cv_2019]) + SUMIF(tblCloudAOUnits[Products],$A52, tblCloudAOUnits[cv_2019])</f>
        <v>2392959</v>
      </c>
      <c r="D52" s="8">
        <f xml:space="preserve"> SUMIF(tblGoogleUnits[Products],$A52, tblGoogleUnits[cv_2020]) + SUMIF(tblMetaUnits[Products],$A52, tblMetaUnits[cv_2020]) + SUMIF(tblAmazonUnits[Products],$A52, tblAmazonUnits[cv_2020]) + SUMIF(tblMicrosoftUnits[Products],$A52, tblMicrosoftUnits[cv_2020]) + SUMIF(tblAppleUnits[Products],$A52, tblAppleUnits[cv_2020]) + SUMIF(tblAlibabaUnits[Products],$A52, tblAlibabaUnits[cv_2020]) + SUMIF(tblHuaweiUnits[Products],$A52, tblHuaweiUnits[cv_2020]) + SUMIF(tblTencentUnits[Products],$A52, tblTencentUnits[cv_2020]) + SUMIF(tblBaiduUnits[Products],$A52, tblBaiduUnits[cv_2020]) + SUMIF(tblByteDanceUnits[Products],$A52, tblByteDanceUnits[cv_2020]) + SUMIF(tblCloudAOUnits[Products],$A52, tblCloudAOUnits[cv_2020])</f>
        <v>0</v>
      </c>
      <c r="E52" s="8">
        <f xml:space="preserve"> SUMIF(tblGoogleUnits[Products],$A52, tblGoogleUnits[cv_2021]) + SUMIF(tblMetaUnits[Products],$A52, tblMetaUnits[cv_2021]) + SUMIF(tblAmazonUnits[Products],$A52, tblAmazonUnits[cv_2021]) + SUMIF(tblMicrosoftUnits[Products],$A52, tblMicrosoftUnits[cv_2021]) + SUMIF(tblAppleUnits[Products],$A52, tblAppleUnits[cv_2021]) + SUMIF(tblAlibabaUnits[Products],$A52, tblAlibabaUnits[cv_2021]) + SUMIF(tblHuaweiUnits[Products],$A52, tblHuaweiUnits[cv_2021]) + SUMIF(tblTencentUnits[Products],$A52, tblTencentUnits[cv_2021]) + SUMIF(tblBaiduUnits[Products],$A52, tblBaiduUnits[cv_2021]) + SUMIF(tblByteDanceUnits[Products],$A52, tblByteDanceUnits[cv_2021]) + SUMIF(tblCloudAOUnits[Products],$A52, tblCloudAOUnits[cv_2021])</f>
        <v>0</v>
      </c>
      <c r="F52" s="8">
        <f xml:space="preserve"> SUMIF(tblGoogleUnits[Products],$A52, tblGoogleUnits[cv_2022]) + SUMIF(tblMetaUnits[Products],$A52, tblMetaUnits[cv_2022]) + SUMIF(tblAmazonUnits[Products],$A52, tblAmazonUnits[cv_2022]) + SUMIF(tblMicrosoftUnits[Products],$A52, tblMicrosoftUnits[cv_2022]) + SUMIF(tblAppleUnits[Products],$A52, tblAppleUnits[cv_2022]) + SUMIF(tblAlibabaUnits[Products],$A52, tblAlibabaUnits[cv_2022]) + SUMIF(tblHuaweiUnits[Products],$A52, tblHuaweiUnits[cv_2022]) + SUMIF(tblTencentUnits[Products],$A52, tblTencentUnits[cv_2022]) + SUMIF(tblBaiduUnits[Products],$A52, tblBaiduUnits[cv_2022]) + SUMIF(tblByteDanceUnits[Products],$A52, tblByteDanceUnits[cv_2022]) + SUMIF(tblCloudAOUnits[Products],$A52, tblCloudAOUnits[cv_2022])</f>
        <v>0</v>
      </c>
      <c r="G52" s="8">
        <f xml:space="preserve"> SUMIF(tblGoogleUnits[Products],$A52, tblGoogleUnits[cv_2023]) + SUMIF(tblMetaUnits[Products],$A52, tblMetaUnits[cv_2023]) + SUMIF(tblAmazonUnits[Products],$A52, tblAmazonUnits[cv_2023]) + SUMIF(tblMicrosoftUnits[Products],$A52, tblMicrosoftUnits[cv_2023]) + SUMIF(tblAppleUnits[Products],$A52, tblAppleUnits[cv_2023]) + SUMIF(tblAlibabaUnits[Products],$A52, tblAlibabaUnits[cv_2023]) + SUMIF(tblHuaweiUnits[Products],$A52, tblHuaweiUnits[cv_2023]) + SUMIF(tblTencentUnits[Products],$A52, tblTencentUnits[cv_2023]) + SUMIF(tblBaiduUnits[Products],$A52, tblBaiduUnits[cv_2023]) + SUMIF(tblByteDanceUnits[Products],$A52, tblByteDanceUnits[cv_2023]) + SUMIF(tblCloudAOUnits[Products],$A52, tblCloudAOUnits[cv_2023])</f>
        <v>0</v>
      </c>
      <c r="H52" s="8">
        <f xml:space="preserve"> SUMIF(tblGoogleUnits[Products],$A52, tblGoogleUnits[cv_2024]) + SUMIF(tblMetaUnits[Products],$A52, tblMetaUnits[cv_2024]) + SUMIF(tblAmazonUnits[Products],$A52, tblAmazonUnits[cv_2024]) + SUMIF(tblMicrosoftUnits[Products],$A52, tblMicrosoftUnits[cv_2024]) + SUMIF(tblAppleUnits[Products],$A52, tblAppleUnits[cv_2024]) + SUMIF(tblAlibabaUnits[Products],$A52, tblAlibabaUnits[cv_2024]) + SUMIF(tblHuaweiUnits[Products],$A52, tblHuaweiUnits[cv_2024]) + SUMIF(tblTencentUnits[Products],$A52, tblTencentUnits[cv_2024]) + SUMIF(tblBaiduUnits[Products],$A52, tblBaiduUnits[cv_2024]) + SUMIF(tblByteDanceUnits[Products],$A52, tblByteDanceUnits[cv_2024]) + SUMIF(tblCloudAOUnits[Products],$A52, tblCloudAOUnits[cv_2024])</f>
        <v>0</v>
      </c>
      <c r="I52" s="8">
        <f xml:space="preserve"> SUMIF(tblGoogleUnits[Products],$A52, tblGoogleUnits[cv_2025]) + SUMIF(tblMetaUnits[Products],$A52, tblMetaUnits[cv_2025]) + SUMIF(tblAmazonUnits[Products],$A52, tblAmazonUnits[cv_2025]) + SUMIF(tblMicrosoftUnits[Products],$A52, tblMicrosoftUnits[cv_2025]) + SUMIF(tblAppleUnits[Products],$A52, tblAppleUnits[cv_2025]) + SUMIF(tblAlibabaUnits[Products],$A52, tblAlibabaUnits[cv_2025]) + SUMIF(tblHuaweiUnits[Products],$A52, tblHuaweiUnits[cv_2025]) + SUMIF(tblTencentUnits[Products],$A52, tblTencentUnits[cv_2025]) + SUMIF(tblBaiduUnits[Products],$A52, tblBaiduUnits[cv_2025]) + SUMIF(tblByteDanceUnits[Products],$A52, tblByteDanceUnits[cv_2025]) + SUMIF(tblCloudAOUnits[Products],$A52, tblCloudAOUnits[cv_2025])</f>
        <v>0</v>
      </c>
      <c r="J52" s="8">
        <f xml:space="preserve"> SUMIF(tblGoogleUnits[Products],$A52, tblGoogleUnits[cv_2026]) + SUMIF(tblMetaUnits[Products],$A52, tblMetaUnits[cv_2026]) + SUMIF(tblAmazonUnits[Products],$A52, tblAmazonUnits[cv_2026]) + SUMIF(tblMicrosoftUnits[Products],$A52, tblMicrosoftUnits[cv_2026]) + SUMIF(tblAppleUnits[Products],$A52, tblAppleUnits[cv_2026]) + SUMIF(tblAlibabaUnits[Products],$A52, tblAlibabaUnits[cv_2026]) + SUMIF(tblHuaweiUnits[Products],$A52, tblHuaweiUnits[cv_2026]) + SUMIF(tblTencentUnits[Products],$A52, tblTencentUnits[cv_2026]) + SUMIF(tblBaiduUnits[Products],$A52, tblBaiduUnits[cv_2026]) + SUMIF(tblByteDanceUnits[Products],$A52, tblByteDanceUnits[cv_2026]) + SUMIF(tblCloudAOUnits[Products],$A52, tblCloudAOUnits[cv_2026])</f>
        <v>0</v>
      </c>
      <c r="K52" s="8">
        <f xml:space="preserve"> SUMIF(tblGoogleUnits[Products],$A52, tblGoogleUnits[cv_2027]) + SUMIF(tblMetaUnits[Products],$A52, tblMetaUnits[cv_2027]) + SUMIF(tblAmazonUnits[Products],$A52, tblAmazonUnits[cv_2027]) + SUMIF(tblMicrosoftUnits[Products],$A52, tblMicrosoftUnits[cv_2027]) + SUMIF(tblAppleUnits[Products],$A52, tblAppleUnits[cv_2027]) + SUMIF(tblAlibabaUnits[Products],$A52, tblAlibabaUnits[cv_2027]) + SUMIF(tblHuaweiUnits[Products],$A52, tblHuaweiUnits[cv_2027]) + SUMIF(tblTencentUnits[Products],$A52, tblTencentUnits[cv_2027]) + SUMIF(tblBaiduUnits[Products],$A52, tblBaiduUnits[cv_2027]) + SUMIF(tblByteDanceUnits[Products],$A52, tblByteDanceUnits[cv_2027]) + SUMIF(tblCloudAOUnits[Products],$A52, tblCloudAOUnits[cv_2027])</f>
        <v>0</v>
      </c>
      <c r="L52" s="8">
        <f xml:space="preserve"> SUMIF(tblGoogleUnits[Products],$A52, tblGoogleUnits[cv_2028]) + SUMIF(tblMetaUnits[Products],$A52, tblMetaUnits[cv_2028]) + SUMIF(tblAmazonUnits[Products],$A52, tblAmazonUnits[cv_2028]) + SUMIF(tblMicrosoftUnits[Products],$A52, tblMicrosoftUnits[cv_2028]) + SUMIF(tblAppleUnits[Products],$A52, tblAppleUnits[cv_2028]) + SUMIF(tblAlibabaUnits[Products],$A52, tblAlibabaUnits[cv_2028]) + SUMIF(tblHuaweiUnits[Products],$A52, tblHuaweiUnits[cv_2028]) + SUMIF(tblTencentUnits[Products],$A52, tblTencentUnits[cv_2028]) + SUMIF(tblBaiduUnits[Products],$A52, tblBaiduUnits[cv_2028]) + SUMIF(tblByteDanceUnits[Products],$A52, tblByteDanceUnits[cv_2028]) + SUMIF(tblCloudAOUnits[Products],$A52, tblCloudAOUnits[cv_2028])</f>
        <v>0</v>
      </c>
      <c r="M52" s="122">
        <f>10^-6*B52*INDEX(TotalMarket!$M$26:$W$125,MATCH($A52,$A$11:$A$132,0),MATCH(M$10,$M$10:$W$10))</f>
        <v>914.48338333333322</v>
      </c>
      <c r="N52" s="122">
        <f>10^-6*C52*INDEX(TotalMarket!$M$26:$W$125,MATCH($A52,$A$11:$A$132,0),MATCH(N$10,$M$10:$W$10))</f>
        <v>574.31016</v>
      </c>
      <c r="O52" s="122">
        <f>10^-6*D52*INDEX(TotalMarket!$M$26:$W$125,MATCH($A52,$A$11:$A$132,0),MATCH(O$10,$M$10:$W$10))</f>
        <v>0</v>
      </c>
      <c r="P52" s="122">
        <f>10^-6*E52*INDEX(TotalMarket!$M$26:$W$125,MATCH($A52,$A$11:$A$132,0),MATCH(P$10,$M$10:$W$10))</f>
        <v>0</v>
      </c>
      <c r="Q52" s="122">
        <f>10^-6*F52*INDEX(TotalMarket!$M$26:$W$125,MATCH($A52,$A$11:$A$132,0),MATCH(Q$10,$M$10:$W$10))</f>
        <v>0</v>
      </c>
      <c r="R52" s="122">
        <f>10^-6*G52*INDEX(TotalMarket!$M$26:$W$125,MATCH($A52,$A$11:$A$132,0),MATCH(R$10,$M$10:$W$10))</f>
        <v>0</v>
      </c>
      <c r="S52" s="122">
        <f>10^-6*H52*INDEX(TotalMarket!$M$26:$W$125,MATCH($A52,$A$11:$A$132,0),MATCH(S$10,$M$10:$W$10))</f>
        <v>0</v>
      </c>
      <c r="T52" s="122">
        <f>10^-6*I52*INDEX(TotalMarket!$M$26:$W$125,MATCH($A52,$A$11:$A$132,0),MATCH(T$10,$M$10:$W$10))</f>
        <v>0</v>
      </c>
      <c r="U52" s="122">
        <f>10^-6*J52*INDEX(TotalMarket!$M$26:$W$125,MATCH($A52,$A$11:$A$132,0),MATCH(U$10,$M$10:$W$10))</f>
        <v>0</v>
      </c>
      <c r="V52" s="122">
        <f>10^-6*K52*INDEX(TotalMarket!$M$26:$W$125,MATCH($A52,$A$11:$A$132,0),MATCH(V$10,$M$10:$W$10))</f>
        <v>0</v>
      </c>
      <c r="W52" s="122">
        <f>10^-6*L52*INDEX(TotalMarket!$M$26:$W$125,MATCH($A52,$A$11:$A$132,0),MATCH(W$10,$M$10:$W$10))</f>
        <v>0</v>
      </c>
      <c r="X52" s="1">
        <f>VLOOKUP(A52,Products!$A$29:$F$110,6,FALSE)</f>
        <v>100</v>
      </c>
    </row>
    <row r="53" spans="1:24">
      <c r="A53" s="15" t="s">
        <v>45</v>
      </c>
      <c r="B53" s="8">
        <f xml:space="preserve"> SUMIF(tblGoogleUnits[Products],$A53, tblGoogleUnits[cv_2018]) + SUMIF(tblMetaUnits[Products],$A53, tblMetaUnits[cv_2018]) + SUMIF(tblAmazonUnits[Products],$A53, tblAmazonUnits[cv_2018]) + SUMIF(tblMicrosoftUnits[Products],$A53, tblMicrosoftUnits[cv_2018]) + SUMIF(tblAppleUnits[Products],$A53, tblAppleUnits[cv_2018]) + SUMIF(tblAlibabaUnits[Products],$A53, tblAlibabaUnits[cv_2018]) + SUMIF(tblHuaweiUnits[Products],$A53, tblHuaweiUnits[cv_2018]) + SUMIF(tblTencentUnits[Products],$A53, tblTencentUnits[cv_2018]) + SUMIF(tblBaiduUnits[Products],$A53, tblBaiduUnits[cv_2018]) + SUMIF(tblByteDanceUnits[Products],$A53, tblByteDanceUnits[cv_2018]) + SUMIF(tblCloudAOUnits[Products],$A53, tblCloudAOUnits[cv_2018])</f>
        <v>3000</v>
      </c>
      <c r="C53" s="8">
        <f xml:space="preserve"> SUMIF(tblGoogleUnits[Products],$A53, tblGoogleUnits[cv_2019]) + SUMIF(tblMetaUnits[Products],$A53, tblMetaUnits[cv_2019]) + SUMIF(tblAmazonUnits[Products],$A53, tblAmazonUnits[cv_2019]) + SUMIF(tblMicrosoftUnits[Products],$A53, tblMicrosoftUnits[cv_2019]) + SUMIF(tblAppleUnits[Products],$A53, tblAppleUnits[cv_2019]) + SUMIF(tblAlibabaUnits[Products],$A53, tblAlibabaUnits[cv_2019]) + SUMIF(tblHuaweiUnits[Products],$A53, tblHuaweiUnits[cv_2019]) + SUMIF(tblTencentUnits[Products],$A53, tblTencentUnits[cv_2019]) + SUMIF(tblBaiduUnits[Products],$A53, tblBaiduUnits[cv_2019]) + SUMIF(tblByteDanceUnits[Products],$A53, tblByteDanceUnits[cv_2019]) + SUMIF(tblCloudAOUnits[Products],$A53, tblCloudAOUnits[cv_2019])</f>
        <v>23828.85</v>
      </c>
      <c r="D53" s="8">
        <f xml:space="preserve"> SUMIF(tblGoogleUnits[Products],$A53, tblGoogleUnits[cv_2020]) + SUMIF(tblMetaUnits[Products],$A53, tblMetaUnits[cv_2020]) + SUMIF(tblAmazonUnits[Products],$A53, tblAmazonUnits[cv_2020]) + SUMIF(tblMicrosoftUnits[Products],$A53, tblMicrosoftUnits[cv_2020]) + SUMIF(tblAppleUnits[Products],$A53, tblAppleUnits[cv_2020]) + SUMIF(tblAlibabaUnits[Products],$A53, tblAlibabaUnits[cv_2020]) + SUMIF(tblHuaweiUnits[Products],$A53, tblHuaweiUnits[cv_2020]) + SUMIF(tblTencentUnits[Products],$A53, tblTencentUnits[cv_2020]) + SUMIF(tblBaiduUnits[Products],$A53, tblBaiduUnits[cv_2020]) + SUMIF(tblByteDanceUnits[Products],$A53, tblByteDanceUnits[cv_2020]) + SUMIF(tblCloudAOUnits[Products],$A53, tblCloudAOUnits[cv_2020])</f>
        <v>0</v>
      </c>
      <c r="E53" s="8">
        <f xml:space="preserve"> SUMIF(tblGoogleUnits[Products],$A53, tblGoogleUnits[cv_2021]) + SUMIF(tblMetaUnits[Products],$A53, tblMetaUnits[cv_2021]) + SUMIF(tblAmazonUnits[Products],$A53, tblAmazonUnits[cv_2021]) + SUMIF(tblMicrosoftUnits[Products],$A53, tblMicrosoftUnits[cv_2021]) + SUMIF(tblAppleUnits[Products],$A53, tblAppleUnits[cv_2021]) + SUMIF(tblAlibabaUnits[Products],$A53, tblAlibabaUnits[cv_2021]) + SUMIF(tblHuaweiUnits[Products],$A53, tblHuaweiUnits[cv_2021]) + SUMIF(tblTencentUnits[Products],$A53, tblTencentUnits[cv_2021]) + SUMIF(tblBaiduUnits[Products],$A53, tblBaiduUnits[cv_2021]) + SUMIF(tblByteDanceUnits[Products],$A53, tblByteDanceUnits[cv_2021]) + SUMIF(tblCloudAOUnits[Products],$A53, tblCloudAOUnits[cv_2021])</f>
        <v>0</v>
      </c>
      <c r="F53" s="8">
        <f xml:space="preserve"> SUMIF(tblGoogleUnits[Products],$A53, tblGoogleUnits[cv_2022]) + SUMIF(tblMetaUnits[Products],$A53, tblMetaUnits[cv_2022]) + SUMIF(tblAmazonUnits[Products],$A53, tblAmazonUnits[cv_2022]) + SUMIF(tblMicrosoftUnits[Products],$A53, tblMicrosoftUnits[cv_2022]) + SUMIF(tblAppleUnits[Products],$A53, tblAppleUnits[cv_2022]) + SUMIF(tblAlibabaUnits[Products],$A53, tblAlibabaUnits[cv_2022]) + SUMIF(tblHuaweiUnits[Products],$A53, tblHuaweiUnits[cv_2022]) + SUMIF(tblTencentUnits[Products],$A53, tblTencentUnits[cv_2022]) + SUMIF(tblBaiduUnits[Products],$A53, tblBaiduUnits[cv_2022]) + SUMIF(tblByteDanceUnits[Products],$A53, tblByteDanceUnits[cv_2022]) + SUMIF(tblCloudAOUnits[Products],$A53, tblCloudAOUnits[cv_2022])</f>
        <v>0</v>
      </c>
      <c r="G53" s="8">
        <f xml:space="preserve"> SUMIF(tblGoogleUnits[Products],$A53, tblGoogleUnits[cv_2023]) + SUMIF(tblMetaUnits[Products],$A53, tblMetaUnits[cv_2023]) + SUMIF(tblAmazonUnits[Products],$A53, tblAmazonUnits[cv_2023]) + SUMIF(tblMicrosoftUnits[Products],$A53, tblMicrosoftUnits[cv_2023]) + SUMIF(tblAppleUnits[Products],$A53, tblAppleUnits[cv_2023]) + SUMIF(tblAlibabaUnits[Products],$A53, tblAlibabaUnits[cv_2023]) + SUMIF(tblHuaweiUnits[Products],$A53, tblHuaweiUnits[cv_2023]) + SUMIF(tblTencentUnits[Products],$A53, tblTencentUnits[cv_2023]) + SUMIF(tblBaiduUnits[Products],$A53, tblBaiduUnits[cv_2023]) + SUMIF(tblByteDanceUnits[Products],$A53, tblByteDanceUnits[cv_2023]) + SUMIF(tblCloudAOUnits[Products],$A53, tblCloudAOUnits[cv_2023])</f>
        <v>0</v>
      </c>
      <c r="H53" s="8">
        <f xml:space="preserve"> SUMIF(tblGoogleUnits[Products],$A53, tblGoogleUnits[cv_2024]) + SUMIF(tblMetaUnits[Products],$A53, tblMetaUnits[cv_2024]) + SUMIF(tblAmazonUnits[Products],$A53, tblAmazonUnits[cv_2024]) + SUMIF(tblMicrosoftUnits[Products],$A53, tblMicrosoftUnits[cv_2024]) + SUMIF(tblAppleUnits[Products],$A53, tblAppleUnits[cv_2024]) + SUMIF(tblAlibabaUnits[Products],$A53, tblAlibabaUnits[cv_2024]) + SUMIF(tblHuaweiUnits[Products],$A53, tblHuaweiUnits[cv_2024]) + SUMIF(tblTencentUnits[Products],$A53, tblTencentUnits[cv_2024]) + SUMIF(tblBaiduUnits[Products],$A53, tblBaiduUnits[cv_2024]) + SUMIF(tblByteDanceUnits[Products],$A53, tblByteDanceUnits[cv_2024]) + SUMIF(tblCloudAOUnits[Products],$A53, tblCloudAOUnits[cv_2024])</f>
        <v>0</v>
      </c>
      <c r="I53" s="8">
        <f xml:space="preserve"> SUMIF(tblGoogleUnits[Products],$A53, tblGoogleUnits[cv_2025]) + SUMIF(tblMetaUnits[Products],$A53, tblMetaUnits[cv_2025]) + SUMIF(tblAmazonUnits[Products],$A53, tblAmazonUnits[cv_2025]) + SUMIF(tblMicrosoftUnits[Products],$A53, tblMicrosoftUnits[cv_2025]) + SUMIF(tblAppleUnits[Products],$A53, tblAppleUnits[cv_2025]) + SUMIF(tblAlibabaUnits[Products],$A53, tblAlibabaUnits[cv_2025]) + SUMIF(tblHuaweiUnits[Products],$A53, tblHuaweiUnits[cv_2025]) + SUMIF(tblTencentUnits[Products],$A53, tblTencentUnits[cv_2025]) + SUMIF(tblBaiduUnits[Products],$A53, tblBaiduUnits[cv_2025]) + SUMIF(tblByteDanceUnits[Products],$A53, tblByteDanceUnits[cv_2025]) + SUMIF(tblCloudAOUnits[Products],$A53, tblCloudAOUnits[cv_2025])</f>
        <v>0</v>
      </c>
      <c r="J53" s="8">
        <f xml:space="preserve"> SUMIF(tblGoogleUnits[Products],$A53, tblGoogleUnits[cv_2026]) + SUMIF(tblMetaUnits[Products],$A53, tblMetaUnits[cv_2026]) + SUMIF(tblAmazonUnits[Products],$A53, tblAmazonUnits[cv_2026]) + SUMIF(tblMicrosoftUnits[Products],$A53, tblMicrosoftUnits[cv_2026]) + SUMIF(tblAppleUnits[Products],$A53, tblAppleUnits[cv_2026]) + SUMIF(tblAlibabaUnits[Products],$A53, tblAlibabaUnits[cv_2026]) + SUMIF(tblHuaweiUnits[Products],$A53, tblHuaweiUnits[cv_2026]) + SUMIF(tblTencentUnits[Products],$A53, tblTencentUnits[cv_2026]) + SUMIF(tblBaiduUnits[Products],$A53, tblBaiduUnits[cv_2026]) + SUMIF(tblByteDanceUnits[Products],$A53, tblByteDanceUnits[cv_2026]) + SUMIF(tblCloudAOUnits[Products],$A53, tblCloudAOUnits[cv_2026])</f>
        <v>0</v>
      </c>
      <c r="K53" s="8">
        <f xml:space="preserve"> SUMIF(tblGoogleUnits[Products],$A53, tblGoogleUnits[cv_2027]) + SUMIF(tblMetaUnits[Products],$A53, tblMetaUnits[cv_2027]) + SUMIF(tblAmazonUnits[Products],$A53, tblAmazonUnits[cv_2027]) + SUMIF(tblMicrosoftUnits[Products],$A53, tblMicrosoftUnits[cv_2027]) + SUMIF(tblAppleUnits[Products],$A53, tblAppleUnits[cv_2027]) + SUMIF(tblAlibabaUnits[Products],$A53, tblAlibabaUnits[cv_2027]) + SUMIF(tblHuaweiUnits[Products],$A53, tblHuaweiUnits[cv_2027]) + SUMIF(tblTencentUnits[Products],$A53, tblTencentUnits[cv_2027]) + SUMIF(tblBaiduUnits[Products],$A53, tblBaiduUnits[cv_2027]) + SUMIF(tblByteDanceUnits[Products],$A53, tblByteDanceUnits[cv_2027]) + SUMIF(tblCloudAOUnits[Products],$A53, tblCloudAOUnits[cv_2027])</f>
        <v>0</v>
      </c>
      <c r="L53" s="8">
        <f xml:space="preserve"> SUMIF(tblGoogleUnits[Products],$A53, tblGoogleUnits[cv_2028]) + SUMIF(tblMetaUnits[Products],$A53, tblMetaUnits[cv_2028]) + SUMIF(tblAmazonUnits[Products],$A53, tblAmazonUnits[cv_2028]) + SUMIF(tblMicrosoftUnits[Products],$A53, tblMicrosoftUnits[cv_2028]) + SUMIF(tblAppleUnits[Products],$A53, tblAppleUnits[cv_2028]) + SUMIF(tblAlibabaUnits[Products],$A53, tblAlibabaUnits[cv_2028]) + SUMIF(tblHuaweiUnits[Products],$A53, tblHuaweiUnits[cv_2028]) + SUMIF(tblTencentUnits[Products],$A53, tblTencentUnits[cv_2028]) + SUMIF(tblBaiduUnits[Products],$A53, tblBaiduUnits[cv_2028]) + SUMIF(tblByteDanceUnits[Products],$A53, tblByteDanceUnits[cv_2028]) + SUMIF(tblCloudAOUnits[Products],$A53, tblCloudAOUnits[cv_2028])</f>
        <v>0</v>
      </c>
      <c r="M53" s="122">
        <f>10^-6*B53*INDEX(TotalMarket!$M$26:$W$125,MATCH($A53,$A$11:$A$132,0),MATCH(M$10,$M$10:$W$10))</f>
        <v>1.2</v>
      </c>
      <c r="N53" s="122">
        <f>10^-6*C53*INDEX(TotalMarket!$M$26:$W$125,MATCH($A53,$A$11:$A$132,0),MATCH(N$10,$M$10:$W$10))</f>
        <v>4.9087430999999997</v>
      </c>
      <c r="O53" s="122">
        <f>10^-6*D53*INDEX(TotalMarket!$M$26:$W$125,MATCH($A53,$A$11:$A$132,0),MATCH(O$10,$M$10:$W$10))</f>
        <v>0</v>
      </c>
      <c r="P53" s="122">
        <f>10^-6*E53*INDEX(TotalMarket!$M$26:$W$125,MATCH($A53,$A$11:$A$132,0),MATCH(P$10,$M$10:$W$10))</f>
        <v>0</v>
      </c>
      <c r="Q53" s="122">
        <f>10^-6*F53*INDEX(TotalMarket!$M$26:$W$125,MATCH($A53,$A$11:$A$132,0),MATCH(Q$10,$M$10:$W$10))</f>
        <v>0</v>
      </c>
      <c r="R53" s="122">
        <f>10^-6*G53*INDEX(TotalMarket!$M$26:$W$125,MATCH($A53,$A$11:$A$132,0),MATCH(R$10,$M$10:$W$10))</f>
        <v>0</v>
      </c>
      <c r="S53" s="122">
        <f>10^-6*H53*INDEX(TotalMarket!$M$26:$W$125,MATCH($A53,$A$11:$A$132,0),MATCH(S$10,$M$10:$W$10))</f>
        <v>0</v>
      </c>
      <c r="T53" s="122">
        <f>10^-6*I53*INDEX(TotalMarket!$M$26:$W$125,MATCH($A53,$A$11:$A$132,0),MATCH(T$10,$M$10:$W$10))</f>
        <v>0</v>
      </c>
      <c r="U53" s="122">
        <f>10^-6*J53*INDEX(TotalMarket!$M$26:$W$125,MATCH($A53,$A$11:$A$132,0),MATCH(U$10,$M$10:$W$10))</f>
        <v>0</v>
      </c>
      <c r="V53" s="122">
        <f>10^-6*K53*INDEX(TotalMarket!$M$26:$W$125,MATCH($A53,$A$11:$A$132,0),MATCH(V$10,$M$10:$W$10))</f>
        <v>0</v>
      </c>
      <c r="W53" s="122">
        <f>10^-6*L53*INDEX(TotalMarket!$M$26:$W$125,MATCH($A53,$A$11:$A$132,0),MATCH(W$10,$M$10:$W$10))</f>
        <v>0</v>
      </c>
      <c r="X53" s="1">
        <f>VLOOKUP(A53,Products!$A$29:$F$110,6,FALSE)</f>
        <v>100</v>
      </c>
    </row>
    <row r="54" spans="1:24">
      <c r="A54" s="15" t="s">
        <v>182</v>
      </c>
      <c r="B54" s="8">
        <f xml:space="preserve"> SUMIF(tblGoogleUnits[Products],$A54, tblGoogleUnits[cv_2018]) + SUMIF(tblMetaUnits[Products],$A54, tblMetaUnits[cv_2018]) + SUMIF(tblAmazonUnits[Products],$A54, tblAmazonUnits[cv_2018]) + SUMIF(tblMicrosoftUnits[Products],$A54, tblMicrosoftUnits[cv_2018]) + SUMIF(tblAppleUnits[Products],$A54, tblAppleUnits[cv_2018]) + SUMIF(tblAlibabaUnits[Products],$A54, tblAlibabaUnits[cv_2018]) + SUMIF(tblHuaweiUnits[Products],$A54, tblHuaweiUnits[cv_2018]) + SUMIF(tblTencentUnits[Products],$A54, tblTencentUnits[cv_2018]) + SUMIF(tblBaiduUnits[Products],$A54, tblBaiduUnits[cv_2018]) + SUMIF(tblByteDanceUnits[Products],$A54, tblByteDanceUnits[cv_2018]) + SUMIF(tblCloudAOUnits[Products],$A54, tblCloudAOUnits[cv_2018])</f>
        <v>0</v>
      </c>
      <c r="C54" s="8">
        <f xml:space="preserve"> SUMIF(tblGoogleUnits[Products],$A54, tblGoogleUnits[cv_2019]) + SUMIF(tblMetaUnits[Products],$A54, tblMetaUnits[cv_2019]) + SUMIF(tblAmazonUnits[Products],$A54, tblAmazonUnits[cv_2019]) + SUMIF(tblMicrosoftUnits[Products],$A54, tblMicrosoftUnits[cv_2019]) + SUMIF(tblAppleUnits[Products],$A54, tblAppleUnits[cv_2019]) + SUMIF(tblAlibabaUnits[Products],$A54, tblAlibabaUnits[cv_2019]) + SUMIF(tblHuaweiUnits[Products],$A54, tblHuaweiUnits[cv_2019]) + SUMIF(tblTencentUnits[Products],$A54, tblTencentUnits[cv_2019]) + SUMIF(tblBaiduUnits[Products],$A54, tblBaiduUnits[cv_2019]) + SUMIF(tblByteDanceUnits[Products],$A54, tblByteDanceUnits[cv_2019]) + SUMIF(tblCloudAOUnits[Products],$A54, tblCloudAOUnits[cv_2019])</f>
        <v>0</v>
      </c>
      <c r="D54" s="8">
        <f xml:space="preserve"> SUMIF(tblGoogleUnits[Products],$A54, tblGoogleUnits[cv_2020]) + SUMIF(tblMetaUnits[Products],$A54, tblMetaUnits[cv_2020]) + SUMIF(tblAmazonUnits[Products],$A54, tblAmazonUnits[cv_2020]) + SUMIF(tblMicrosoftUnits[Products],$A54, tblMicrosoftUnits[cv_2020]) + SUMIF(tblAppleUnits[Products],$A54, tblAppleUnits[cv_2020]) + SUMIF(tblAlibabaUnits[Products],$A54, tblAlibabaUnits[cv_2020]) + SUMIF(tblHuaweiUnits[Products],$A54, tblHuaweiUnits[cv_2020]) + SUMIF(tblTencentUnits[Products],$A54, tblTencentUnits[cv_2020]) + SUMIF(tblBaiduUnits[Products],$A54, tblBaiduUnits[cv_2020]) + SUMIF(tblByteDanceUnits[Products],$A54, tblByteDanceUnits[cv_2020]) + SUMIF(tblCloudAOUnits[Products],$A54, tblCloudAOUnits[cv_2020])</f>
        <v>0</v>
      </c>
      <c r="E54" s="8">
        <f xml:space="preserve"> SUMIF(tblGoogleUnits[Products],$A54, tblGoogleUnits[cv_2021]) + SUMIF(tblMetaUnits[Products],$A54, tblMetaUnits[cv_2021]) + SUMIF(tblAmazonUnits[Products],$A54, tblAmazonUnits[cv_2021]) + SUMIF(tblMicrosoftUnits[Products],$A54, tblMicrosoftUnits[cv_2021]) + SUMIF(tblAppleUnits[Products],$A54, tblAppleUnits[cv_2021]) + SUMIF(tblAlibabaUnits[Products],$A54, tblAlibabaUnits[cv_2021]) + SUMIF(tblHuaweiUnits[Products],$A54, tblHuaweiUnits[cv_2021]) + SUMIF(tblTencentUnits[Products],$A54, tblTencentUnits[cv_2021]) + SUMIF(tblBaiduUnits[Products],$A54, tblBaiduUnits[cv_2021]) + SUMIF(tblByteDanceUnits[Products],$A54, tblByteDanceUnits[cv_2021]) + SUMIF(tblCloudAOUnits[Products],$A54, tblCloudAOUnits[cv_2021])</f>
        <v>0</v>
      </c>
      <c r="F54" s="8">
        <f xml:space="preserve"> SUMIF(tblGoogleUnits[Products],$A54, tblGoogleUnits[cv_2022]) + SUMIF(tblMetaUnits[Products],$A54, tblMetaUnits[cv_2022]) + SUMIF(tblAmazonUnits[Products],$A54, tblAmazonUnits[cv_2022]) + SUMIF(tblMicrosoftUnits[Products],$A54, tblMicrosoftUnits[cv_2022]) + SUMIF(tblAppleUnits[Products],$A54, tblAppleUnits[cv_2022]) + SUMIF(tblAlibabaUnits[Products],$A54, tblAlibabaUnits[cv_2022]) + SUMIF(tblHuaweiUnits[Products],$A54, tblHuaweiUnits[cv_2022]) + SUMIF(tblTencentUnits[Products],$A54, tblTencentUnits[cv_2022]) + SUMIF(tblBaiduUnits[Products],$A54, tblBaiduUnits[cv_2022]) + SUMIF(tblByteDanceUnits[Products],$A54, tblByteDanceUnits[cv_2022]) + SUMIF(tblCloudAOUnits[Products],$A54, tblCloudAOUnits[cv_2022])</f>
        <v>0</v>
      </c>
      <c r="G54" s="8">
        <f xml:space="preserve"> SUMIF(tblGoogleUnits[Products],$A54, tblGoogleUnits[cv_2023]) + SUMIF(tblMetaUnits[Products],$A54, tblMetaUnits[cv_2023]) + SUMIF(tblAmazonUnits[Products],$A54, tblAmazonUnits[cv_2023]) + SUMIF(tblMicrosoftUnits[Products],$A54, tblMicrosoftUnits[cv_2023]) + SUMIF(tblAppleUnits[Products],$A54, tblAppleUnits[cv_2023]) + SUMIF(tblAlibabaUnits[Products],$A54, tblAlibabaUnits[cv_2023]) + SUMIF(tblHuaweiUnits[Products],$A54, tblHuaweiUnits[cv_2023]) + SUMIF(tblTencentUnits[Products],$A54, tblTencentUnits[cv_2023]) + SUMIF(tblBaiduUnits[Products],$A54, tblBaiduUnits[cv_2023]) + SUMIF(tblByteDanceUnits[Products],$A54, tblByteDanceUnits[cv_2023]) + SUMIF(tblCloudAOUnits[Products],$A54, tblCloudAOUnits[cv_2023])</f>
        <v>0</v>
      </c>
      <c r="H54" s="8">
        <f xml:space="preserve"> SUMIF(tblGoogleUnits[Products],$A54, tblGoogleUnits[cv_2024]) + SUMIF(tblMetaUnits[Products],$A54, tblMetaUnits[cv_2024]) + SUMIF(tblAmazonUnits[Products],$A54, tblAmazonUnits[cv_2024]) + SUMIF(tblMicrosoftUnits[Products],$A54, tblMicrosoftUnits[cv_2024]) + SUMIF(tblAppleUnits[Products],$A54, tblAppleUnits[cv_2024]) + SUMIF(tblAlibabaUnits[Products],$A54, tblAlibabaUnits[cv_2024]) + SUMIF(tblHuaweiUnits[Products],$A54, tblHuaweiUnits[cv_2024]) + SUMIF(tblTencentUnits[Products],$A54, tblTencentUnits[cv_2024]) + SUMIF(tblBaiduUnits[Products],$A54, tblBaiduUnits[cv_2024]) + SUMIF(tblByteDanceUnits[Products],$A54, tblByteDanceUnits[cv_2024]) + SUMIF(tblCloudAOUnits[Products],$A54, tblCloudAOUnits[cv_2024])</f>
        <v>0</v>
      </c>
      <c r="I54" s="8">
        <f xml:space="preserve"> SUMIF(tblGoogleUnits[Products],$A54, tblGoogleUnits[cv_2025]) + SUMIF(tblMetaUnits[Products],$A54, tblMetaUnits[cv_2025]) + SUMIF(tblAmazonUnits[Products],$A54, tblAmazonUnits[cv_2025]) + SUMIF(tblMicrosoftUnits[Products],$A54, tblMicrosoftUnits[cv_2025]) + SUMIF(tblAppleUnits[Products],$A54, tblAppleUnits[cv_2025]) + SUMIF(tblAlibabaUnits[Products],$A54, tblAlibabaUnits[cv_2025]) + SUMIF(tblHuaweiUnits[Products],$A54, tblHuaweiUnits[cv_2025]) + SUMIF(tblTencentUnits[Products],$A54, tblTencentUnits[cv_2025]) + SUMIF(tblBaiduUnits[Products],$A54, tblBaiduUnits[cv_2025]) + SUMIF(tblByteDanceUnits[Products],$A54, tblByteDanceUnits[cv_2025]) + SUMIF(tblCloudAOUnits[Products],$A54, tblCloudAOUnits[cv_2025])</f>
        <v>0</v>
      </c>
      <c r="J54" s="8">
        <f xml:space="preserve"> SUMIF(tblGoogleUnits[Products],$A54, tblGoogleUnits[cv_2026]) + SUMIF(tblMetaUnits[Products],$A54, tblMetaUnits[cv_2026]) + SUMIF(tblAmazonUnits[Products],$A54, tblAmazonUnits[cv_2026]) + SUMIF(tblMicrosoftUnits[Products],$A54, tblMicrosoftUnits[cv_2026]) + SUMIF(tblAppleUnits[Products],$A54, tblAppleUnits[cv_2026]) + SUMIF(tblAlibabaUnits[Products],$A54, tblAlibabaUnits[cv_2026]) + SUMIF(tblHuaweiUnits[Products],$A54, tblHuaweiUnits[cv_2026]) + SUMIF(tblTencentUnits[Products],$A54, tblTencentUnits[cv_2026]) + SUMIF(tblBaiduUnits[Products],$A54, tblBaiduUnits[cv_2026]) + SUMIF(tblByteDanceUnits[Products],$A54, tblByteDanceUnits[cv_2026]) + SUMIF(tblCloudAOUnits[Products],$A54, tblCloudAOUnits[cv_2026])</f>
        <v>0</v>
      </c>
      <c r="K54" s="8">
        <f xml:space="preserve"> SUMIF(tblGoogleUnits[Products],$A54, tblGoogleUnits[cv_2027]) + SUMIF(tblMetaUnits[Products],$A54, tblMetaUnits[cv_2027]) + SUMIF(tblAmazonUnits[Products],$A54, tblAmazonUnits[cv_2027]) + SUMIF(tblMicrosoftUnits[Products],$A54, tblMicrosoftUnits[cv_2027]) + SUMIF(tblAppleUnits[Products],$A54, tblAppleUnits[cv_2027]) + SUMIF(tblAlibabaUnits[Products],$A54, tblAlibabaUnits[cv_2027]) + SUMIF(tblHuaweiUnits[Products],$A54, tblHuaweiUnits[cv_2027]) + SUMIF(tblTencentUnits[Products],$A54, tblTencentUnits[cv_2027]) + SUMIF(tblBaiduUnits[Products],$A54, tblBaiduUnits[cv_2027]) + SUMIF(tblByteDanceUnits[Products],$A54, tblByteDanceUnits[cv_2027]) + SUMIF(tblCloudAOUnits[Products],$A54, tblCloudAOUnits[cv_2027])</f>
        <v>0</v>
      </c>
      <c r="L54" s="8">
        <f xml:space="preserve"> SUMIF(tblGoogleUnits[Products],$A54, tblGoogleUnits[cv_2028]) + SUMIF(tblMetaUnits[Products],$A54, tblMetaUnits[cv_2028]) + SUMIF(tblAmazonUnits[Products],$A54, tblAmazonUnits[cv_2028]) + SUMIF(tblMicrosoftUnits[Products],$A54, tblMicrosoftUnits[cv_2028]) + SUMIF(tblAppleUnits[Products],$A54, tblAppleUnits[cv_2028]) + SUMIF(tblAlibabaUnits[Products],$A54, tblAlibabaUnits[cv_2028]) + SUMIF(tblHuaweiUnits[Products],$A54, tblHuaweiUnits[cv_2028]) + SUMIF(tblTencentUnits[Products],$A54, tblTencentUnits[cv_2028]) + SUMIF(tblBaiduUnits[Products],$A54, tblBaiduUnits[cv_2028]) + SUMIF(tblByteDanceUnits[Products],$A54, tblByteDanceUnits[cv_2028]) + SUMIF(tblCloudAOUnits[Products],$A54, tblCloudAOUnits[cv_2028])</f>
        <v>0</v>
      </c>
      <c r="M54" s="122">
        <f>10^-6*B54*INDEX(TotalMarket!$M$26:$W$125,MATCH($A54,$A$11:$A$132,0),MATCH(M$10,$M$10:$W$10))</f>
        <v>0</v>
      </c>
      <c r="N54" s="122">
        <f>10^-6*C54*INDEX(TotalMarket!$M$26:$W$125,MATCH($A54,$A$11:$A$132,0),MATCH(N$10,$M$10:$W$10))</f>
        <v>0</v>
      </c>
      <c r="O54" s="122">
        <f>10^-6*D54*INDEX(TotalMarket!$M$26:$W$125,MATCH($A54,$A$11:$A$132,0),MATCH(O$10,$M$10:$W$10))</f>
        <v>0</v>
      </c>
      <c r="P54" s="122">
        <f>10^-6*E54*INDEX(TotalMarket!$M$26:$W$125,MATCH($A54,$A$11:$A$132,0),MATCH(P$10,$M$10:$W$10))</f>
        <v>0</v>
      </c>
      <c r="Q54" s="122">
        <f>10^-6*F54*INDEX(TotalMarket!$M$26:$W$125,MATCH($A54,$A$11:$A$132,0),MATCH(Q$10,$M$10:$W$10))</f>
        <v>0</v>
      </c>
      <c r="R54" s="122">
        <f>10^-6*G54*INDEX(TotalMarket!$M$26:$W$125,MATCH($A54,$A$11:$A$132,0),MATCH(R$10,$M$10:$W$10))</f>
        <v>0</v>
      </c>
      <c r="S54" s="122">
        <f>10^-6*H54*INDEX(TotalMarket!$M$26:$W$125,MATCH($A54,$A$11:$A$132,0),MATCH(S$10,$M$10:$W$10))</f>
        <v>0</v>
      </c>
      <c r="T54" s="122">
        <f>10^-6*I54*INDEX(TotalMarket!$M$26:$W$125,MATCH($A54,$A$11:$A$132,0),MATCH(T$10,$M$10:$W$10))</f>
        <v>0</v>
      </c>
      <c r="U54" s="122">
        <f>10^-6*J54*INDEX(TotalMarket!$M$26:$W$125,MATCH($A54,$A$11:$A$132,0),MATCH(U$10,$M$10:$W$10))</f>
        <v>0</v>
      </c>
      <c r="V54" s="122">
        <f>10^-6*K54*INDEX(TotalMarket!$M$26:$W$125,MATCH($A54,$A$11:$A$132,0),MATCH(V$10,$M$10:$W$10))</f>
        <v>0</v>
      </c>
      <c r="W54" s="122">
        <f>10^-6*L54*INDEX(TotalMarket!$M$26:$W$125,MATCH($A54,$A$11:$A$132,0),MATCH(W$10,$M$10:$W$10))</f>
        <v>0</v>
      </c>
      <c r="X54" s="1">
        <f>VLOOKUP(A54,Products!$A$29:$F$110,6,FALSE)</f>
        <v>100</v>
      </c>
    </row>
    <row r="55" spans="1:24">
      <c r="A55" s="15" t="s">
        <v>183</v>
      </c>
      <c r="B55" s="8">
        <f xml:space="preserve"> SUMIF(tblGoogleUnits[Products],$A55, tblGoogleUnits[cv_2018]) + SUMIF(tblMetaUnits[Products],$A55, tblMetaUnits[cv_2018]) + SUMIF(tblAmazonUnits[Products],$A55, tblAmazonUnits[cv_2018]) + SUMIF(tblMicrosoftUnits[Products],$A55, tblMicrosoftUnits[cv_2018]) + SUMIF(tblAppleUnits[Products],$A55, tblAppleUnits[cv_2018]) + SUMIF(tblAlibabaUnits[Products],$A55, tblAlibabaUnits[cv_2018]) + SUMIF(tblHuaweiUnits[Products],$A55, tblHuaweiUnits[cv_2018]) + SUMIF(tblTencentUnits[Products],$A55, tblTencentUnits[cv_2018]) + SUMIF(tblBaiduUnits[Products],$A55, tblBaiduUnits[cv_2018]) + SUMIF(tblByteDanceUnits[Products],$A55, tblByteDanceUnits[cv_2018]) + SUMIF(tblCloudAOUnits[Products],$A55, tblCloudAOUnits[cv_2018])</f>
        <v>0</v>
      </c>
      <c r="C55" s="8">
        <f xml:space="preserve"> SUMIF(tblGoogleUnits[Products],$A55, tblGoogleUnits[cv_2019]) + SUMIF(tblMetaUnits[Products],$A55, tblMetaUnits[cv_2019]) + SUMIF(tblAmazonUnits[Products],$A55, tblAmazonUnits[cv_2019]) + SUMIF(tblMicrosoftUnits[Products],$A55, tblMicrosoftUnits[cv_2019]) + SUMIF(tblAppleUnits[Products],$A55, tblAppleUnits[cv_2019]) + SUMIF(tblAlibabaUnits[Products],$A55, tblAlibabaUnits[cv_2019]) + SUMIF(tblHuaweiUnits[Products],$A55, tblHuaweiUnits[cv_2019]) + SUMIF(tblTencentUnits[Products],$A55, tblTencentUnits[cv_2019]) + SUMIF(tblBaiduUnits[Products],$A55, tblBaiduUnits[cv_2019]) + SUMIF(tblByteDanceUnits[Products],$A55, tblByteDanceUnits[cv_2019]) + SUMIF(tblCloudAOUnits[Products],$A55, tblCloudAOUnits[cv_2019])</f>
        <v>0</v>
      </c>
      <c r="D55" s="8">
        <f xml:space="preserve"> SUMIF(tblGoogleUnits[Products],$A55, tblGoogleUnits[cv_2020]) + SUMIF(tblMetaUnits[Products],$A55, tblMetaUnits[cv_2020]) + SUMIF(tblAmazonUnits[Products],$A55, tblAmazonUnits[cv_2020]) + SUMIF(tblMicrosoftUnits[Products],$A55, tblMicrosoftUnits[cv_2020]) + SUMIF(tblAppleUnits[Products],$A55, tblAppleUnits[cv_2020]) + SUMIF(tblAlibabaUnits[Products],$A55, tblAlibabaUnits[cv_2020]) + SUMIF(tblHuaweiUnits[Products],$A55, tblHuaweiUnits[cv_2020]) + SUMIF(tblTencentUnits[Products],$A55, tblTencentUnits[cv_2020]) + SUMIF(tblBaiduUnits[Products],$A55, tblBaiduUnits[cv_2020]) + SUMIF(tblByteDanceUnits[Products],$A55, tblByteDanceUnits[cv_2020]) + SUMIF(tblCloudAOUnits[Products],$A55, tblCloudAOUnits[cv_2020])</f>
        <v>0</v>
      </c>
      <c r="E55" s="8">
        <f xml:space="preserve"> SUMIF(tblGoogleUnits[Products],$A55, tblGoogleUnits[cv_2021]) + SUMIF(tblMetaUnits[Products],$A55, tblMetaUnits[cv_2021]) + SUMIF(tblAmazonUnits[Products],$A55, tblAmazonUnits[cv_2021]) + SUMIF(tblMicrosoftUnits[Products],$A55, tblMicrosoftUnits[cv_2021]) + SUMIF(tblAppleUnits[Products],$A55, tblAppleUnits[cv_2021]) + SUMIF(tblAlibabaUnits[Products],$A55, tblAlibabaUnits[cv_2021]) + SUMIF(tblHuaweiUnits[Products],$A55, tblHuaweiUnits[cv_2021]) + SUMIF(tblTencentUnits[Products],$A55, tblTencentUnits[cv_2021]) + SUMIF(tblBaiduUnits[Products],$A55, tblBaiduUnits[cv_2021]) + SUMIF(tblByteDanceUnits[Products],$A55, tblByteDanceUnits[cv_2021]) + SUMIF(tblCloudAOUnits[Products],$A55, tblCloudAOUnits[cv_2021])</f>
        <v>0</v>
      </c>
      <c r="F55" s="8">
        <f xml:space="preserve"> SUMIF(tblGoogleUnits[Products],$A55, tblGoogleUnits[cv_2022]) + SUMIF(tblMetaUnits[Products],$A55, tblMetaUnits[cv_2022]) + SUMIF(tblAmazonUnits[Products],$A55, tblAmazonUnits[cv_2022]) + SUMIF(tblMicrosoftUnits[Products],$A55, tblMicrosoftUnits[cv_2022]) + SUMIF(tblAppleUnits[Products],$A55, tblAppleUnits[cv_2022]) + SUMIF(tblAlibabaUnits[Products],$A55, tblAlibabaUnits[cv_2022]) + SUMIF(tblHuaweiUnits[Products],$A55, tblHuaweiUnits[cv_2022]) + SUMIF(tblTencentUnits[Products],$A55, tblTencentUnits[cv_2022]) + SUMIF(tblBaiduUnits[Products],$A55, tblBaiduUnits[cv_2022]) + SUMIF(tblByteDanceUnits[Products],$A55, tblByteDanceUnits[cv_2022]) + SUMIF(tblCloudAOUnits[Products],$A55, tblCloudAOUnits[cv_2022])</f>
        <v>0</v>
      </c>
      <c r="G55" s="8">
        <f xml:space="preserve"> SUMIF(tblGoogleUnits[Products],$A55, tblGoogleUnits[cv_2023]) + SUMIF(tblMetaUnits[Products],$A55, tblMetaUnits[cv_2023]) + SUMIF(tblAmazonUnits[Products],$A55, tblAmazonUnits[cv_2023]) + SUMIF(tblMicrosoftUnits[Products],$A55, tblMicrosoftUnits[cv_2023]) + SUMIF(tblAppleUnits[Products],$A55, tblAppleUnits[cv_2023]) + SUMIF(tblAlibabaUnits[Products],$A55, tblAlibabaUnits[cv_2023]) + SUMIF(tblHuaweiUnits[Products],$A55, tblHuaweiUnits[cv_2023]) + SUMIF(tblTencentUnits[Products],$A55, tblTencentUnits[cv_2023]) + SUMIF(tblBaiduUnits[Products],$A55, tblBaiduUnits[cv_2023]) + SUMIF(tblByteDanceUnits[Products],$A55, tblByteDanceUnits[cv_2023]) + SUMIF(tblCloudAOUnits[Products],$A55, tblCloudAOUnits[cv_2023])</f>
        <v>0</v>
      </c>
      <c r="H55" s="8">
        <f xml:space="preserve"> SUMIF(tblGoogleUnits[Products],$A55, tblGoogleUnits[cv_2024]) + SUMIF(tblMetaUnits[Products],$A55, tblMetaUnits[cv_2024]) + SUMIF(tblAmazonUnits[Products],$A55, tblAmazonUnits[cv_2024]) + SUMIF(tblMicrosoftUnits[Products],$A55, tblMicrosoftUnits[cv_2024]) + SUMIF(tblAppleUnits[Products],$A55, tblAppleUnits[cv_2024]) + SUMIF(tblAlibabaUnits[Products],$A55, tblAlibabaUnits[cv_2024]) + SUMIF(tblHuaweiUnits[Products],$A55, tblHuaweiUnits[cv_2024]) + SUMIF(tblTencentUnits[Products],$A55, tblTencentUnits[cv_2024]) + SUMIF(tblBaiduUnits[Products],$A55, tblBaiduUnits[cv_2024]) + SUMIF(tblByteDanceUnits[Products],$A55, tblByteDanceUnits[cv_2024]) + SUMIF(tblCloudAOUnits[Products],$A55, tblCloudAOUnits[cv_2024])</f>
        <v>0</v>
      </c>
      <c r="I55" s="8">
        <f xml:space="preserve"> SUMIF(tblGoogleUnits[Products],$A55, tblGoogleUnits[cv_2025]) + SUMIF(tblMetaUnits[Products],$A55, tblMetaUnits[cv_2025]) + SUMIF(tblAmazonUnits[Products],$A55, tblAmazonUnits[cv_2025]) + SUMIF(tblMicrosoftUnits[Products],$A55, tblMicrosoftUnits[cv_2025]) + SUMIF(tblAppleUnits[Products],$A55, tblAppleUnits[cv_2025]) + SUMIF(tblAlibabaUnits[Products],$A55, tblAlibabaUnits[cv_2025]) + SUMIF(tblHuaweiUnits[Products],$A55, tblHuaweiUnits[cv_2025]) + SUMIF(tblTencentUnits[Products],$A55, tblTencentUnits[cv_2025]) + SUMIF(tblBaiduUnits[Products],$A55, tblBaiduUnits[cv_2025]) + SUMIF(tblByteDanceUnits[Products],$A55, tblByteDanceUnits[cv_2025]) + SUMIF(tblCloudAOUnits[Products],$A55, tblCloudAOUnits[cv_2025])</f>
        <v>0</v>
      </c>
      <c r="J55" s="8">
        <f xml:space="preserve"> SUMIF(tblGoogleUnits[Products],$A55, tblGoogleUnits[cv_2026]) + SUMIF(tblMetaUnits[Products],$A55, tblMetaUnits[cv_2026]) + SUMIF(tblAmazonUnits[Products],$A55, tblAmazonUnits[cv_2026]) + SUMIF(tblMicrosoftUnits[Products],$A55, tblMicrosoftUnits[cv_2026]) + SUMIF(tblAppleUnits[Products],$A55, tblAppleUnits[cv_2026]) + SUMIF(tblAlibabaUnits[Products],$A55, tblAlibabaUnits[cv_2026]) + SUMIF(tblHuaweiUnits[Products],$A55, tblHuaweiUnits[cv_2026]) + SUMIF(tblTencentUnits[Products],$A55, tblTencentUnits[cv_2026]) + SUMIF(tblBaiduUnits[Products],$A55, tblBaiduUnits[cv_2026]) + SUMIF(tblByteDanceUnits[Products],$A55, tblByteDanceUnits[cv_2026]) + SUMIF(tblCloudAOUnits[Products],$A55, tblCloudAOUnits[cv_2026])</f>
        <v>0</v>
      </c>
      <c r="K55" s="8">
        <f xml:space="preserve"> SUMIF(tblGoogleUnits[Products],$A55, tblGoogleUnits[cv_2027]) + SUMIF(tblMetaUnits[Products],$A55, tblMetaUnits[cv_2027]) + SUMIF(tblAmazonUnits[Products],$A55, tblAmazonUnits[cv_2027]) + SUMIF(tblMicrosoftUnits[Products],$A55, tblMicrosoftUnits[cv_2027]) + SUMIF(tblAppleUnits[Products],$A55, tblAppleUnits[cv_2027]) + SUMIF(tblAlibabaUnits[Products],$A55, tblAlibabaUnits[cv_2027]) + SUMIF(tblHuaweiUnits[Products],$A55, tblHuaweiUnits[cv_2027]) + SUMIF(tblTencentUnits[Products],$A55, tblTencentUnits[cv_2027]) + SUMIF(tblBaiduUnits[Products],$A55, tblBaiduUnits[cv_2027]) + SUMIF(tblByteDanceUnits[Products],$A55, tblByteDanceUnits[cv_2027]) + SUMIF(tblCloudAOUnits[Products],$A55, tblCloudAOUnits[cv_2027])</f>
        <v>0</v>
      </c>
      <c r="L55" s="8">
        <f xml:space="preserve"> SUMIF(tblGoogleUnits[Products],$A55, tblGoogleUnits[cv_2028]) + SUMIF(tblMetaUnits[Products],$A55, tblMetaUnits[cv_2028]) + SUMIF(tblAmazonUnits[Products],$A55, tblAmazonUnits[cv_2028]) + SUMIF(tblMicrosoftUnits[Products],$A55, tblMicrosoftUnits[cv_2028]) + SUMIF(tblAppleUnits[Products],$A55, tblAppleUnits[cv_2028]) + SUMIF(tblAlibabaUnits[Products],$A55, tblAlibabaUnits[cv_2028]) + SUMIF(tblHuaweiUnits[Products],$A55, tblHuaweiUnits[cv_2028]) + SUMIF(tblTencentUnits[Products],$A55, tblTencentUnits[cv_2028]) + SUMIF(tblBaiduUnits[Products],$A55, tblBaiduUnits[cv_2028]) + SUMIF(tblByteDanceUnits[Products],$A55, tblByteDanceUnits[cv_2028]) + SUMIF(tblCloudAOUnits[Products],$A55, tblCloudAOUnits[cv_2028])</f>
        <v>0</v>
      </c>
      <c r="M55" s="122">
        <f>10^-6*B55*INDEX(TotalMarket!$M$26:$W$125,MATCH($A55,$A$11:$A$132,0),MATCH(M$10,$M$10:$W$10))</f>
        <v>0</v>
      </c>
      <c r="N55" s="122">
        <f>10^-6*C55*INDEX(TotalMarket!$M$26:$W$125,MATCH($A55,$A$11:$A$132,0),MATCH(N$10,$M$10:$W$10))</f>
        <v>0</v>
      </c>
      <c r="O55" s="122">
        <f>10^-6*D55*INDEX(TotalMarket!$M$26:$W$125,MATCH($A55,$A$11:$A$132,0),MATCH(O$10,$M$10:$W$10))</f>
        <v>0</v>
      </c>
      <c r="P55" s="122">
        <f>10^-6*E55*INDEX(TotalMarket!$M$26:$W$125,MATCH($A55,$A$11:$A$132,0),MATCH(P$10,$M$10:$W$10))</f>
        <v>0</v>
      </c>
      <c r="Q55" s="122">
        <f>10^-6*F55*INDEX(TotalMarket!$M$26:$W$125,MATCH($A55,$A$11:$A$132,0),MATCH(Q$10,$M$10:$W$10))</f>
        <v>0</v>
      </c>
      <c r="R55" s="122">
        <f>10^-6*G55*INDEX(TotalMarket!$M$26:$W$125,MATCH($A55,$A$11:$A$132,0),MATCH(R$10,$M$10:$W$10))</f>
        <v>0</v>
      </c>
      <c r="S55" s="122">
        <f>10^-6*H55*INDEX(TotalMarket!$M$26:$W$125,MATCH($A55,$A$11:$A$132,0),MATCH(S$10,$M$10:$W$10))</f>
        <v>0</v>
      </c>
      <c r="T55" s="122">
        <f>10^-6*I55*INDEX(TotalMarket!$M$26:$W$125,MATCH($A55,$A$11:$A$132,0),MATCH(T$10,$M$10:$W$10))</f>
        <v>0</v>
      </c>
      <c r="U55" s="122">
        <f>10^-6*J55*INDEX(TotalMarket!$M$26:$W$125,MATCH($A55,$A$11:$A$132,0),MATCH(U$10,$M$10:$W$10))</f>
        <v>0</v>
      </c>
      <c r="V55" s="122">
        <f>10^-6*K55*INDEX(TotalMarket!$M$26:$W$125,MATCH($A55,$A$11:$A$132,0),MATCH(V$10,$M$10:$W$10))</f>
        <v>0</v>
      </c>
      <c r="W55" s="122">
        <f>10^-6*L55*INDEX(TotalMarket!$M$26:$W$125,MATCH($A55,$A$11:$A$132,0),MATCH(W$10,$M$10:$W$10))</f>
        <v>0</v>
      </c>
      <c r="X55" s="1">
        <f>VLOOKUP(A55,Products!$A$29:$F$110,6,FALSE)</f>
        <v>100</v>
      </c>
    </row>
    <row r="56" spans="1:24">
      <c r="A56" s="15" t="s">
        <v>6</v>
      </c>
      <c r="B56" s="8">
        <f xml:space="preserve"> SUMIF(tblGoogleUnits[Products],$A56, tblGoogleUnits[cv_2018]) + SUMIF(tblMetaUnits[Products],$A56, tblMetaUnits[cv_2018]) + SUMIF(tblAmazonUnits[Products],$A56, tblAmazonUnits[cv_2018]) + SUMIF(tblMicrosoftUnits[Products],$A56, tblMicrosoftUnits[cv_2018]) + SUMIF(tblAppleUnits[Products],$A56, tblAppleUnits[cv_2018]) + SUMIF(tblAlibabaUnits[Products],$A56, tblAlibabaUnits[cv_2018]) + SUMIF(tblHuaweiUnits[Products],$A56, tblHuaweiUnits[cv_2018]) + SUMIF(tblTencentUnits[Products],$A56, tblTencentUnits[cv_2018]) + SUMIF(tblBaiduUnits[Products],$A56, tblBaiduUnits[cv_2018]) + SUMIF(tblByteDanceUnits[Products],$A56, tblByteDanceUnits[cv_2018]) + SUMIF(tblCloudAOUnits[Products],$A56, tblCloudAOUnits[cv_2018])</f>
        <v>258629.22647058827</v>
      </c>
      <c r="C56" s="8">
        <f xml:space="preserve"> SUMIF(tblGoogleUnits[Products],$A56, tblGoogleUnits[cv_2019]) + SUMIF(tblMetaUnits[Products],$A56, tblMetaUnits[cv_2019]) + SUMIF(tblAmazonUnits[Products],$A56, tblAmazonUnits[cv_2019]) + SUMIF(tblMicrosoftUnits[Products],$A56, tblMicrosoftUnits[cv_2019]) + SUMIF(tblAppleUnits[Products],$A56, tblAppleUnits[cv_2019]) + SUMIF(tblAlibabaUnits[Products],$A56, tblAlibabaUnits[cv_2019]) + SUMIF(tblHuaweiUnits[Products],$A56, tblHuaweiUnits[cv_2019]) + SUMIF(tblTencentUnits[Products],$A56, tblTencentUnits[cv_2019]) + SUMIF(tblBaiduUnits[Products],$A56, tblBaiduUnits[cv_2019]) + SUMIF(tblByteDanceUnits[Products],$A56, tblByteDanceUnits[cv_2019]) + SUMIF(tblCloudAOUnits[Products],$A56, tblCloudAOUnits[cv_2019])</f>
        <v>271935.5</v>
      </c>
      <c r="D56" s="8">
        <f xml:space="preserve"> SUMIF(tblGoogleUnits[Products],$A56, tblGoogleUnits[cv_2020]) + SUMIF(tblMetaUnits[Products],$A56, tblMetaUnits[cv_2020]) + SUMIF(tblAmazonUnits[Products],$A56, tblAmazonUnits[cv_2020]) + SUMIF(tblMicrosoftUnits[Products],$A56, tblMicrosoftUnits[cv_2020]) + SUMIF(tblAppleUnits[Products],$A56, tblAppleUnits[cv_2020]) + SUMIF(tblAlibabaUnits[Products],$A56, tblAlibabaUnits[cv_2020]) + SUMIF(tblHuaweiUnits[Products],$A56, tblHuaweiUnits[cv_2020]) + SUMIF(tblTencentUnits[Products],$A56, tblTencentUnits[cv_2020]) + SUMIF(tblBaiduUnits[Products],$A56, tblBaiduUnits[cv_2020]) + SUMIF(tblByteDanceUnits[Products],$A56, tblByteDanceUnits[cv_2020]) + SUMIF(tblCloudAOUnits[Products],$A56, tblCloudAOUnits[cv_2020])</f>
        <v>0</v>
      </c>
      <c r="E56" s="8">
        <f xml:space="preserve"> SUMIF(tblGoogleUnits[Products],$A56, tblGoogleUnits[cv_2021]) + SUMIF(tblMetaUnits[Products],$A56, tblMetaUnits[cv_2021]) + SUMIF(tblAmazonUnits[Products],$A56, tblAmazonUnits[cv_2021]) + SUMIF(tblMicrosoftUnits[Products],$A56, tblMicrosoftUnits[cv_2021]) + SUMIF(tblAppleUnits[Products],$A56, tblAppleUnits[cv_2021]) + SUMIF(tblAlibabaUnits[Products],$A56, tblAlibabaUnits[cv_2021]) + SUMIF(tblHuaweiUnits[Products],$A56, tblHuaweiUnits[cv_2021]) + SUMIF(tblTencentUnits[Products],$A56, tblTencentUnits[cv_2021]) + SUMIF(tblBaiduUnits[Products],$A56, tblBaiduUnits[cv_2021]) + SUMIF(tblByteDanceUnits[Products],$A56, tblByteDanceUnits[cv_2021]) + SUMIF(tblCloudAOUnits[Products],$A56, tblCloudAOUnits[cv_2021])</f>
        <v>0</v>
      </c>
      <c r="F56" s="8">
        <f xml:space="preserve"> SUMIF(tblGoogleUnits[Products],$A56, tblGoogleUnits[cv_2022]) + SUMIF(tblMetaUnits[Products],$A56, tblMetaUnits[cv_2022]) + SUMIF(tblAmazonUnits[Products],$A56, tblAmazonUnits[cv_2022]) + SUMIF(tblMicrosoftUnits[Products],$A56, tblMicrosoftUnits[cv_2022]) + SUMIF(tblAppleUnits[Products],$A56, tblAppleUnits[cv_2022]) + SUMIF(tblAlibabaUnits[Products],$A56, tblAlibabaUnits[cv_2022]) + SUMIF(tblHuaweiUnits[Products],$A56, tblHuaweiUnits[cv_2022]) + SUMIF(tblTencentUnits[Products],$A56, tblTencentUnits[cv_2022]) + SUMIF(tblBaiduUnits[Products],$A56, tblBaiduUnits[cv_2022]) + SUMIF(tblByteDanceUnits[Products],$A56, tblByteDanceUnits[cv_2022]) + SUMIF(tblCloudAOUnits[Products],$A56, tblCloudAOUnits[cv_2022])</f>
        <v>0</v>
      </c>
      <c r="G56" s="8">
        <f xml:space="preserve"> SUMIF(tblGoogleUnits[Products],$A56, tblGoogleUnits[cv_2023]) + SUMIF(tblMetaUnits[Products],$A56, tblMetaUnits[cv_2023]) + SUMIF(tblAmazonUnits[Products],$A56, tblAmazonUnits[cv_2023]) + SUMIF(tblMicrosoftUnits[Products],$A56, tblMicrosoftUnits[cv_2023]) + SUMIF(tblAppleUnits[Products],$A56, tblAppleUnits[cv_2023]) + SUMIF(tblAlibabaUnits[Products],$A56, tblAlibabaUnits[cv_2023]) + SUMIF(tblHuaweiUnits[Products],$A56, tblHuaweiUnits[cv_2023]) + SUMIF(tblTencentUnits[Products],$A56, tblTencentUnits[cv_2023]) + SUMIF(tblBaiduUnits[Products],$A56, tblBaiduUnits[cv_2023]) + SUMIF(tblByteDanceUnits[Products],$A56, tblByteDanceUnits[cv_2023]) + SUMIF(tblCloudAOUnits[Products],$A56, tblCloudAOUnits[cv_2023])</f>
        <v>0</v>
      </c>
      <c r="H56" s="8">
        <f xml:space="preserve"> SUMIF(tblGoogleUnits[Products],$A56, tblGoogleUnits[cv_2024]) + SUMIF(tblMetaUnits[Products],$A56, tblMetaUnits[cv_2024]) + SUMIF(tblAmazonUnits[Products],$A56, tblAmazonUnits[cv_2024]) + SUMIF(tblMicrosoftUnits[Products],$A56, tblMicrosoftUnits[cv_2024]) + SUMIF(tblAppleUnits[Products],$A56, tblAppleUnits[cv_2024]) + SUMIF(tblAlibabaUnits[Products],$A56, tblAlibabaUnits[cv_2024]) + SUMIF(tblHuaweiUnits[Products],$A56, tblHuaweiUnits[cv_2024]) + SUMIF(tblTencentUnits[Products],$A56, tblTencentUnits[cv_2024]) + SUMIF(tblBaiduUnits[Products],$A56, tblBaiduUnits[cv_2024]) + SUMIF(tblByteDanceUnits[Products],$A56, tblByteDanceUnits[cv_2024]) + SUMIF(tblCloudAOUnits[Products],$A56, tblCloudAOUnits[cv_2024])</f>
        <v>0</v>
      </c>
      <c r="I56" s="8">
        <f xml:space="preserve"> SUMIF(tblGoogleUnits[Products],$A56, tblGoogleUnits[cv_2025]) + SUMIF(tblMetaUnits[Products],$A56, tblMetaUnits[cv_2025]) + SUMIF(tblAmazonUnits[Products],$A56, tblAmazonUnits[cv_2025]) + SUMIF(tblMicrosoftUnits[Products],$A56, tblMicrosoftUnits[cv_2025]) + SUMIF(tblAppleUnits[Products],$A56, tblAppleUnits[cv_2025]) + SUMIF(tblAlibabaUnits[Products],$A56, tblAlibabaUnits[cv_2025]) + SUMIF(tblHuaweiUnits[Products],$A56, tblHuaweiUnits[cv_2025]) + SUMIF(tblTencentUnits[Products],$A56, tblTencentUnits[cv_2025]) + SUMIF(tblBaiduUnits[Products],$A56, tblBaiduUnits[cv_2025]) + SUMIF(tblByteDanceUnits[Products],$A56, tblByteDanceUnits[cv_2025]) + SUMIF(tblCloudAOUnits[Products],$A56, tblCloudAOUnits[cv_2025])</f>
        <v>0</v>
      </c>
      <c r="J56" s="8">
        <f xml:space="preserve"> SUMIF(tblGoogleUnits[Products],$A56, tblGoogleUnits[cv_2026]) + SUMIF(tblMetaUnits[Products],$A56, tblMetaUnits[cv_2026]) + SUMIF(tblAmazonUnits[Products],$A56, tblAmazonUnits[cv_2026]) + SUMIF(tblMicrosoftUnits[Products],$A56, tblMicrosoftUnits[cv_2026]) + SUMIF(tblAppleUnits[Products],$A56, tblAppleUnits[cv_2026]) + SUMIF(tblAlibabaUnits[Products],$A56, tblAlibabaUnits[cv_2026]) + SUMIF(tblHuaweiUnits[Products],$A56, tblHuaweiUnits[cv_2026]) + SUMIF(tblTencentUnits[Products],$A56, tblTencentUnits[cv_2026]) + SUMIF(tblBaiduUnits[Products],$A56, tblBaiduUnits[cv_2026]) + SUMIF(tblByteDanceUnits[Products],$A56, tblByteDanceUnits[cv_2026]) + SUMIF(tblCloudAOUnits[Products],$A56, tblCloudAOUnits[cv_2026])</f>
        <v>0</v>
      </c>
      <c r="K56" s="8">
        <f xml:space="preserve"> SUMIF(tblGoogleUnits[Products],$A56, tblGoogleUnits[cv_2027]) + SUMIF(tblMetaUnits[Products],$A56, tblMetaUnits[cv_2027]) + SUMIF(tblAmazonUnits[Products],$A56, tblAmazonUnits[cv_2027]) + SUMIF(tblMicrosoftUnits[Products],$A56, tblMicrosoftUnits[cv_2027]) + SUMIF(tblAppleUnits[Products],$A56, tblAppleUnits[cv_2027]) + SUMIF(tblAlibabaUnits[Products],$A56, tblAlibabaUnits[cv_2027]) + SUMIF(tblHuaweiUnits[Products],$A56, tblHuaweiUnits[cv_2027]) + SUMIF(tblTencentUnits[Products],$A56, tblTencentUnits[cv_2027]) + SUMIF(tblBaiduUnits[Products],$A56, tblBaiduUnits[cv_2027]) + SUMIF(tblByteDanceUnits[Products],$A56, tblByteDanceUnits[cv_2027]) + SUMIF(tblCloudAOUnits[Products],$A56, tblCloudAOUnits[cv_2027])</f>
        <v>0</v>
      </c>
      <c r="L56" s="8">
        <f xml:space="preserve"> SUMIF(tblGoogleUnits[Products],$A56, tblGoogleUnits[cv_2028]) + SUMIF(tblMetaUnits[Products],$A56, tblMetaUnits[cv_2028]) + SUMIF(tblAmazonUnits[Products],$A56, tblAmazonUnits[cv_2028]) + SUMIF(tblMicrosoftUnits[Products],$A56, tblMicrosoftUnits[cv_2028]) + SUMIF(tblAppleUnits[Products],$A56, tblAppleUnits[cv_2028]) + SUMIF(tblAlibabaUnits[Products],$A56, tblAlibabaUnits[cv_2028]) + SUMIF(tblHuaweiUnits[Products],$A56, tblHuaweiUnits[cv_2028]) + SUMIF(tblTencentUnits[Products],$A56, tblTencentUnits[cv_2028]) + SUMIF(tblBaiduUnits[Products],$A56, tblBaiduUnits[cv_2028]) + SUMIF(tblByteDanceUnits[Products],$A56, tblByteDanceUnits[cv_2028]) + SUMIF(tblCloudAOUnits[Products],$A56, tblCloudAOUnits[cv_2028])</f>
        <v>0</v>
      </c>
      <c r="M56" s="122">
        <f>10^-6*B56*INDEX(TotalMarket!$M$26:$W$125,MATCH($A56,$A$11:$A$132,0),MATCH(M$10,$M$10:$W$10))</f>
        <v>215.65353540139628</v>
      </c>
      <c r="N56" s="122">
        <f>10^-6*C56*INDEX(TotalMarket!$M$26:$W$125,MATCH($A56,$A$11:$A$132,0),MATCH(N$10,$M$10:$W$10))</f>
        <v>143.33371694942647</v>
      </c>
      <c r="O56" s="122">
        <f>10^-6*D56*INDEX(TotalMarket!$M$26:$W$125,MATCH($A56,$A$11:$A$132,0),MATCH(O$10,$M$10:$W$10))</f>
        <v>0</v>
      </c>
      <c r="P56" s="122">
        <f>10^-6*E56*INDEX(TotalMarket!$M$26:$W$125,MATCH($A56,$A$11:$A$132,0),MATCH(P$10,$M$10:$W$10))</f>
        <v>0</v>
      </c>
      <c r="Q56" s="122">
        <f>10^-6*F56*INDEX(TotalMarket!$M$26:$W$125,MATCH($A56,$A$11:$A$132,0),MATCH(Q$10,$M$10:$W$10))</f>
        <v>0</v>
      </c>
      <c r="R56" s="122">
        <f>10^-6*G56*INDEX(TotalMarket!$M$26:$W$125,MATCH($A56,$A$11:$A$132,0),MATCH(R$10,$M$10:$W$10))</f>
        <v>0</v>
      </c>
      <c r="S56" s="122">
        <f>10^-6*H56*INDEX(TotalMarket!$M$26:$W$125,MATCH($A56,$A$11:$A$132,0),MATCH(S$10,$M$10:$W$10))</f>
        <v>0</v>
      </c>
      <c r="T56" s="122">
        <f>10^-6*I56*INDEX(TotalMarket!$M$26:$W$125,MATCH($A56,$A$11:$A$132,0),MATCH(T$10,$M$10:$W$10))</f>
        <v>0</v>
      </c>
      <c r="U56" s="122">
        <f>10^-6*J56*INDEX(TotalMarket!$M$26:$W$125,MATCH($A56,$A$11:$A$132,0),MATCH(U$10,$M$10:$W$10))</f>
        <v>0</v>
      </c>
      <c r="V56" s="122">
        <f>10^-6*K56*INDEX(TotalMarket!$M$26:$W$125,MATCH($A56,$A$11:$A$132,0),MATCH(V$10,$M$10:$W$10))</f>
        <v>0</v>
      </c>
      <c r="W56" s="122">
        <f>10^-6*L56*INDEX(TotalMarket!$M$26:$W$125,MATCH($A56,$A$11:$A$132,0),MATCH(W$10,$M$10:$W$10))</f>
        <v>0</v>
      </c>
      <c r="X56" s="1">
        <f>VLOOKUP(A56,Products!$A$29:$F$110,6,FALSE)</f>
        <v>100</v>
      </c>
    </row>
    <row r="57" spans="1:24">
      <c r="A57" s="15" t="s">
        <v>7</v>
      </c>
      <c r="B57" s="8">
        <f xml:space="preserve"> SUMIF(tblGoogleUnits[Products],$A57, tblGoogleUnits[cv_2018]) + SUMIF(tblMetaUnits[Products],$A57, tblMetaUnits[cv_2018]) + SUMIF(tblAmazonUnits[Products],$A57, tblAmazonUnits[cv_2018]) + SUMIF(tblMicrosoftUnits[Products],$A57, tblMicrosoftUnits[cv_2018]) + SUMIF(tblAppleUnits[Products],$A57, tblAppleUnits[cv_2018]) + SUMIF(tblAlibabaUnits[Products],$A57, tblAlibabaUnits[cv_2018]) + SUMIF(tblHuaweiUnits[Products],$A57, tblHuaweiUnits[cv_2018]) + SUMIF(tblTencentUnits[Products],$A57, tblTencentUnits[cv_2018]) + SUMIF(tblBaiduUnits[Products],$A57, tblBaiduUnits[cv_2018]) + SUMIF(tblByteDanceUnits[Products],$A57, tblByteDanceUnits[cv_2018]) + SUMIF(tblCloudAOUnits[Products],$A57, tblCloudAOUnits[cv_2018])</f>
        <v>88000</v>
      </c>
      <c r="C57" s="8">
        <f xml:space="preserve"> SUMIF(tblGoogleUnits[Products],$A57, tblGoogleUnits[cv_2019]) + SUMIF(tblMetaUnits[Products],$A57, tblMetaUnits[cv_2019]) + SUMIF(tblAmazonUnits[Products],$A57, tblAmazonUnits[cv_2019]) + SUMIF(tblMicrosoftUnits[Products],$A57, tblMicrosoftUnits[cv_2019]) + SUMIF(tblAppleUnits[Products],$A57, tblAppleUnits[cv_2019]) + SUMIF(tblAlibabaUnits[Products],$A57, tblAlibabaUnits[cv_2019]) + SUMIF(tblHuaweiUnits[Products],$A57, tblHuaweiUnits[cv_2019]) + SUMIF(tblTencentUnits[Products],$A57, tblTencentUnits[cv_2019]) + SUMIF(tblBaiduUnits[Products],$A57, tblBaiduUnits[cv_2019]) + SUMIF(tblByteDanceUnits[Products],$A57, tblByteDanceUnits[cv_2019]) + SUMIF(tblCloudAOUnits[Products],$A57, tblCloudAOUnits[cv_2019])</f>
        <v>86135.88</v>
      </c>
      <c r="D57" s="8">
        <f xml:space="preserve"> SUMIF(tblGoogleUnits[Products],$A57, tblGoogleUnits[cv_2020]) + SUMIF(tblMetaUnits[Products],$A57, tblMetaUnits[cv_2020]) + SUMIF(tblAmazonUnits[Products],$A57, tblAmazonUnits[cv_2020]) + SUMIF(tblMicrosoftUnits[Products],$A57, tblMicrosoftUnits[cv_2020]) + SUMIF(tblAppleUnits[Products],$A57, tblAppleUnits[cv_2020]) + SUMIF(tblAlibabaUnits[Products],$A57, tblAlibabaUnits[cv_2020]) + SUMIF(tblHuaweiUnits[Products],$A57, tblHuaweiUnits[cv_2020]) + SUMIF(tblTencentUnits[Products],$A57, tblTencentUnits[cv_2020]) + SUMIF(tblBaiduUnits[Products],$A57, tblBaiduUnits[cv_2020]) + SUMIF(tblByteDanceUnits[Products],$A57, tblByteDanceUnits[cv_2020]) + SUMIF(tblCloudAOUnits[Products],$A57, tblCloudAOUnits[cv_2020])</f>
        <v>0</v>
      </c>
      <c r="E57" s="8">
        <f xml:space="preserve"> SUMIF(tblGoogleUnits[Products],$A57, tblGoogleUnits[cv_2021]) + SUMIF(tblMetaUnits[Products],$A57, tblMetaUnits[cv_2021]) + SUMIF(tblAmazonUnits[Products],$A57, tblAmazonUnits[cv_2021]) + SUMIF(tblMicrosoftUnits[Products],$A57, tblMicrosoftUnits[cv_2021]) + SUMIF(tblAppleUnits[Products],$A57, tblAppleUnits[cv_2021]) + SUMIF(tblAlibabaUnits[Products],$A57, tblAlibabaUnits[cv_2021]) + SUMIF(tblHuaweiUnits[Products],$A57, tblHuaweiUnits[cv_2021]) + SUMIF(tblTencentUnits[Products],$A57, tblTencentUnits[cv_2021]) + SUMIF(tblBaiduUnits[Products],$A57, tblBaiduUnits[cv_2021]) + SUMIF(tblByteDanceUnits[Products],$A57, tblByteDanceUnits[cv_2021]) + SUMIF(tblCloudAOUnits[Products],$A57, tblCloudAOUnits[cv_2021])</f>
        <v>0</v>
      </c>
      <c r="F57" s="8">
        <f xml:space="preserve"> SUMIF(tblGoogleUnits[Products],$A57, tblGoogleUnits[cv_2022]) + SUMIF(tblMetaUnits[Products],$A57, tblMetaUnits[cv_2022]) + SUMIF(tblAmazonUnits[Products],$A57, tblAmazonUnits[cv_2022]) + SUMIF(tblMicrosoftUnits[Products],$A57, tblMicrosoftUnits[cv_2022]) + SUMIF(tblAppleUnits[Products],$A57, tblAppleUnits[cv_2022]) + SUMIF(tblAlibabaUnits[Products],$A57, tblAlibabaUnits[cv_2022]) + SUMIF(tblHuaweiUnits[Products],$A57, tblHuaweiUnits[cv_2022]) + SUMIF(tblTencentUnits[Products],$A57, tblTencentUnits[cv_2022]) + SUMIF(tblBaiduUnits[Products],$A57, tblBaiduUnits[cv_2022]) + SUMIF(tblByteDanceUnits[Products],$A57, tblByteDanceUnits[cv_2022]) + SUMIF(tblCloudAOUnits[Products],$A57, tblCloudAOUnits[cv_2022])</f>
        <v>0</v>
      </c>
      <c r="G57" s="8">
        <f xml:space="preserve"> SUMIF(tblGoogleUnits[Products],$A57, tblGoogleUnits[cv_2023]) + SUMIF(tblMetaUnits[Products],$A57, tblMetaUnits[cv_2023]) + SUMIF(tblAmazonUnits[Products],$A57, tblAmazonUnits[cv_2023]) + SUMIF(tblMicrosoftUnits[Products],$A57, tblMicrosoftUnits[cv_2023]) + SUMIF(tblAppleUnits[Products],$A57, tblAppleUnits[cv_2023]) + SUMIF(tblAlibabaUnits[Products],$A57, tblAlibabaUnits[cv_2023]) + SUMIF(tblHuaweiUnits[Products],$A57, tblHuaweiUnits[cv_2023]) + SUMIF(tblTencentUnits[Products],$A57, tblTencentUnits[cv_2023]) + SUMIF(tblBaiduUnits[Products],$A57, tblBaiduUnits[cv_2023]) + SUMIF(tblByteDanceUnits[Products],$A57, tblByteDanceUnits[cv_2023]) + SUMIF(tblCloudAOUnits[Products],$A57, tblCloudAOUnits[cv_2023])</f>
        <v>0</v>
      </c>
      <c r="H57" s="8">
        <f xml:space="preserve"> SUMIF(tblGoogleUnits[Products],$A57, tblGoogleUnits[cv_2024]) + SUMIF(tblMetaUnits[Products],$A57, tblMetaUnits[cv_2024]) + SUMIF(tblAmazonUnits[Products],$A57, tblAmazonUnits[cv_2024]) + SUMIF(tblMicrosoftUnits[Products],$A57, tblMicrosoftUnits[cv_2024]) + SUMIF(tblAppleUnits[Products],$A57, tblAppleUnits[cv_2024]) + SUMIF(tblAlibabaUnits[Products],$A57, tblAlibabaUnits[cv_2024]) + SUMIF(tblHuaweiUnits[Products],$A57, tblHuaweiUnits[cv_2024]) + SUMIF(tblTencentUnits[Products],$A57, tblTencentUnits[cv_2024]) + SUMIF(tblBaiduUnits[Products],$A57, tblBaiduUnits[cv_2024]) + SUMIF(tblByteDanceUnits[Products],$A57, tblByteDanceUnits[cv_2024]) + SUMIF(tblCloudAOUnits[Products],$A57, tblCloudAOUnits[cv_2024])</f>
        <v>0</v>
      </c>
      <c r="I57" s="8">
        <f xml:space="preserve"> SUMIF(tblGoogleUnits[Products],$A57, tblGoogleUnits[cv_2025]) + SUMIF(tblMetaUnits[Products],$A57, tblMetaUnits[cv_2025]) + SUMIF(tblAmazonUnits[Products],$A57, tblAmazonUnits[cv_2025]) + SUMIF(tblMicrosoftUnits[Products],$A57, tblMicrosoftUnits[cv_2025]) + SUMIF(tblAppleUnits[Products],$A57, tblAppleUnits[cv_2025]) + SUMIF(tblAlibabaUnits[Products],$A57, tblAlibabaUnits[cv_2025]) + SUMIF(tblHuaweiUnits[Products],$A57, tblHuaweiUnits[cv_2025]) + SUMIF(tblTencentUnits[Products],$A57, tblTencentUnits[cv_2025]) + SUMIF(tblBaiduUnits[Products],$A57, tblBaiduUnits[cv_2025]) + SUMIF(tblByteDanceUnits[Products],$A57, tblByteDanceUnits[cv_2025]) + SUMIF(tblCloudAOUnits[Products],$A57, tblCloudAOUnits[cv_2025])</f>
        <v>0</v>
      </c>
      <c r="J57" s="8">
        <f xml:space="preserve"> SUMIF(tblGoogleUnits[Products],$A57, tblGoogleUnits[cv_2026]) + SUMIF(tblMetaUnits[Products],$A57, tblMetaUnits[cv_2026]) + SUMIF(tblAmazonUnits[Products],$A57, tblAmazonUnits[cv_2026]) + SUMIF(tblMicrosoftUnits[Products],$A57, tblMicrosoftUnits[cv_2026]) + SUMIF(tblAppleUnits[Products],$A57, tblAppleUnits[cv_2026]) + SUMIF(tblAlibabaUnits[Products],$A57, tblAlibabaUnits[cv_2026]) + SUMIF(tblHuaweiUnits[Products],$A57, tblHuaweiUnits[cv_2026]) + SUMIF(tblTencentUnits[Products],$A57, tblTencentUnits[cv_2026]) + SUMIF(tblBaiduUnits[Products],$A57, tblBaiduUnits[cv_2026]) + SUMIF(tblByteDanceUnits[Products],$A57, tblByteDanceUnits[cv_2026]) + SUMIF(tblCloudAOUnits[Products],$A57, tblCloudAOUnits[cv_2026])</f>
        <v>0</v>
      </c>
      <c r="K57" s="8">
        <f xml:space="preserve"> SUMIF(tblGoogleUnits[Products],$A57, tblGoogleUnits[cv_2027]) + SUMIF(tblMetaUnits[Products],$A57, tblMetaUnits[cv_2027]) + SUMIF(tblAmazonUnits[Products],$A57, tblAmazonUnits[cv_2027]) + SUMIF(tblMicrosoftUnits[Products],$A57, tblMicrosoftUnits[cv_2027]) + SUMIF(tblAppleUnits[Products],$A57, tblAppleUnits[cv_2027]) + SUMIF(tblAlibabaUnits[Products],$A57, tblAlibabaUnits[cv_2027]) + SUMIF(tblHuaweiUnits[Products],$A57, tblHuaweiUnits[cv_2027]) + SUMIF(tblTencentUnits[Products],$A57, tblTencentUnits[cv_2027]) + SUMIF(tblBaiduUnits[Products],$A57, tblBaiduUnits[cv_2027]) + SUMIF(tblByteDanceUnits[Products],$A57, tblByteDanceUnits[cv_2027]) + SUMIF(tblCloudAOUnits[Products],$A57, tblCloudAOUnits[cv_2027])</f>
        <v>0</v>
      </c>
      <c r="L57" s="8">
        <f xml:space="preserve"> SUMIF(tblGoogleUnits[Products],$A57, tblGoogleUnits[cv_2028]) + SUMIF(tblMetaUnits[Products],$A57, tblMetaUnits[cv_2028]) + SUMIF(tblAmazonUnits[Products],$A57, tblAmazonUnits[cv_2028]) + SUMIF(tblMicrosoftUnits[Products],$A57, tblMicrosoftUnits[cv_2028]) + SUMIF(tblAppleUnits[Products],$A57, tblAppleUnits[cv_2028]) + SUMIF(tblAlibabaUnits[Products],$A57, tblAlibabaUnits[cv_2028]) + SUMIF(tblHuaweiUnits[Products],$A57, tblHuaweiUnits[cv_2028]) + SUMIF(tblTencentUnits[Products],$A57, tblTencentUnits[cv_2028]) + SUMIF(tblBaiduUnits[Products],$A57, tblBaiduUnits[cv_2028]) + SUMIF(tblByteDanceUnits[Products],$A57, tblByteDanceUnits[cv_2028]) + SUMIF(tblCloudAOUnits[Products],$A57, tblCloudAOUnits[cv_2028])</f>
        <v>0</v>
      </c>
      <c r="M57" s="122">
        <f>10^-6*B57*INDEX(TotalMarket!$M$26:$W$125,MATCH($A57,$A$11:$A$132,0),MATCH(M$10,$M$10:$W$10))</f>
        <v>26.4</v>
      </c>
      <c r="N57" s="122">
        <f>10^-6*C57*INDEX(TotalMarket!$M$26:$W$125,MATCH($A57,$A$11:$A$132,0),MATCH(N$10,$M$10:$W$10))</f>
        <v>17.762815713531538</v>
      </c>
      <c r="O57" s="122">
        <f>10^-6*D57*INDEX(TotalMarket!$M$26:$W$125,MATCH($A57,$A$11:$A$132,0),MATCH(O$10,$M$10:$W$10))</f>
        <v>0</v>
      </c>
      <c r="P57" s="122">
        <f>10^-6*E57*INDEX(TotalMarket!$M$26:$W$125,MATCH($A57,$A$11:$A$132,0),MATCH(P$10,$M$10:$W$10))</f>
        <v>0</v>
      </c>
      <c r="Q57" s="122">
        <f>10^-6*F57*INDEX(TotalMarket!$M$26:$W$125,MATCH($A57,$A$11:$A$132,0),MATCH(Q$10,$M$10:$W$10))</f>
        <v>0</v>
      </c>
      <c r="R57" s="122">
        <f>10^-6*G57*INDEX(TotalMarket!$M$26:$W$125,MATCH($A57,$A$11:$A$132,0),MATCH(R$10,$M$10:$W$10))</f>
        <v>0</v>
      </c>
      <c r="S57" s="122">
        <f>10^-6*H57*INDEX(TotalMarket!$M$26:$W$125,MATCH($A57,$A$11:$A$132,0),MATCH(S$10,$M$10:$W$10))</f>
        <v>0</v>
      </c>
      <c r="T57" s="122">
        <f>10^-6*I57*INDEX(TotalMarket!$M$26:$W$125,MATCH($A57,$A$11:$A$132,0),MATCH(T$10,$M$10:$W$10))</f>
        <v>0</v>
      </c>
      <c r="U57" s="122">
        <f>10^-6*J57*INDEX(TotalMarket!$M$26:$W$125,MATCH($A57,$A$11:$A$132,0),MATCH(U$10,$M$10:$W$10))</f>
        <v>0</v>
      </c>
      <c r="V57" s="122">
        <f>10^-6*K57*INDEX(TotalMarket!$M$26:$W$125,MATCH($A57,$A$11:$A$132,0),MATCH(V$10,$M$10:$W$10))</f>
        <v>0</v>
      </c>
      <c r="W57" s="122">
        <f>10^-6*L57*INDEX(TotalMarket!$M$26:$W$125,MATCH($A57,$A$11:$A$132,0),MATCH(W$10,$M$10:$W$10))</f>
        <v>0</v>
      </c>
      <c r="X57" s="1">
        <f>VLOOKUP(A57,Products!$A$29:$F$110,6,FALSE)</f>
        <v>100</v>
      </c>
    </row>
    <row r="58" spans="1:24">
      <c r="A58" s="15" t="s">
        <v>8</v>
      </c>
      <c r="B58" s="8">
        <f xml:space="preserve"> SUMIF(tblGoogleUnits[Products],$A58, tblGoogleUnits[cv_2018]) + SUMIF(tblMetaUnits[Products],$A58, tblMetaUnits[cv_2018]) + SUMIF(tblAmazonUnits[Products],$A58, tblAmazonUnits[cv_2018]) + SUMIF(tblMicrosoftUnits[Products],$A58, tblMicrosoftUnits[cv_2018]) + SUMIF(tblAppleUnits[Products],$A58, tblAppleUnits[cv_2018]) + SUMIF(tblAlibabaUnits[Products],$A58, tblAlibabaUnits[cv_2018]) + SUMIF(tblHuaweiUnits[Products],$A58, tblHuaweiUnits[cv_2018]) + SUMIF(tblTencentUnits[Products],$A58, tblTencentUnits[cv_2018]) + SUMIF(tblBaiduUnits[Products],$A58, tblBaiduUnits[cv_2018]) + SUMIF(tblByteDanceUnits[Products],$A58, tblByteDanceUnits[cv_2018]) + SUMIF(tblCloudAOUnits[Products],$A58, tblCloudAOUnits[cv_2018])</f>
        <v>0</v>
      </c>
      <c r="C58" s="8">
        <f xml:space="preserve"> SUMIF(tblGoogleUnits[Products],$A58, tblGoogleUnits[cv_2019]) + SUMIF(tblMetaUnits[Products],$A58, tblMetaUnits[cv_2019]) + SUMIF(tblAmazonUnits[Products],$A58, tblAmazonUnits[cv_2019]) + SUMIF(tblMicrosoftUnits[Products],$A58, tblMicrosoftUnits[cv_2019]) + SUMIF(tblAppleUnits[Products],$A58, tblAppleUnits[cv_2019]) + SUMIF(tblAlibabaUnits[Products],$A58, tblAlibabaUnits[cv_2019]) + SUMIF(tblHuaweiUnits[Products],$A58, tblHuaweiUnits[cv_2019]) + SUMIF(tblTencentUnits[Products],$A58, tblTencentUnits[cv_2019]) + SUMIF(tblBaiduUnits[Products],$A58, tblBaiduUnits[cv_2019]) + SUMIF(tblByteDanceUnits[Products],$A58, tblByteDanceUnits[cv_2019]) + SUMIF(tblCloudAOUnits[Products],$A58, tblCloudAOUnits[cv_2019])</f>
        <v>5452</v>
      </c>
      <c r="D58" s="8">
        <f xml:space="preserve"> SUMIF(tblGoogleUnits[Products],$A58, tblGoogleUnits[cv_2020]) + SUMIF(tblMetaUnits[Products],$A58, tblMetaUnits[cv_2020]) + SUMIF(tblAmazonUnits[Products],$A58, tblAmazonUnits[cv_2020]) + SUMIF(tblMicrosoftUnits[Products],$A58, tblMicrosoftUnits[cv_2020]) + SUMIF(tblAppleUnits[Products],$A58, tblAppleUnits[cv_2020]) + SUMIF(tblAlibabaUnits[Products],$A58, tblAlibabaUnits[cv_2020]) + SUMIF(tblHuaweiUnits[Products],$A58, tblHuaweiUnits[cv_2020]) + SUMIF(tblTencentUnits[Products],$A58, tblTencentUnits[cv_2020]) + SUMIF(tblBaiduUnits[Products],$A58, tblBaiduUnits[cv_2020]) + SUMIF(tblByteDanceUnits[Products],$A58, tblByteDanceUnits[cv_2020]) + SUMIF(tblCloudAOUnits[Products],$A58, tblCloudAOUnits[cv_2020])</f>
        <v>0</v>
      </c>
      <c r="E58" s="8">
        <f xml:space="preserve"> SUMIF(tblGoogleUnits[Products],$A58, tblGoogleUnits[cv_2021]) + SUMIF(tblMetaUnits[Products],$A58, tblMetaUnits[cv_2021]) + SUMIF(tblAmazonUnits[Products],$A58, tblAmazonUnits[cv_2021]) + SUMIF(tblMicrosoftUnits[Products],$A58, tblMicrosoftUnits[cv_2021]) + SUMIF(tblAppleUnits[Products],$A58, tblAppleUnits[cv_2021]) + SUMIF(tblAlibabaUnits[Products],$A58, tblAlibabaUnits[cv_2021]) + SUMIF(tblHuaweiUnits[Products],$A58, tblHuaweiUnits[cv_2021]) + SUMIF(tblTencentUnits[Products],$A58, tblTencentUnits[cv_2021]) + SUMIF(tblBaiduUnits[Products],$A58, tblBaiduUnits[cv_2021]) + SUMIF(tblByteDanceUnits[Products],$A58, tblByteDanceUnits[cv_2021]) + SUMIF(tblCloudAOUnits[Products],$A58, tblCloudAOUnits[cv_2021])</f>
        <v>0</v>
      </c>
      <c r="F58" s="8">
        <f xml:space="preserve"> SUMIF(tblGoogleUnits[Products],$A58, tblGoogleUnits[cv_2022]) + SUMIF(tblMetaUnits[Products],$A58, tblMetaUnits[cv_2022]) + SUMIF(tblAmazonUnits[Products],$A58, tblAmazonUnits[cv_2022]) + SUMIF(tblMicrosoftUnits[Products],$A58, tblMicrosoftUnits[cv_2022]) + SUMIF(tblAppleUnits[Products],$A58, tblAppleUnits[cv_2022]) + SUMIF(tblAlibabaUnits[Products],$A58, tblAlibabaUnits[cv_2022]) + SUMIF(tblHuaweiUnits[Products],$A58, tblHuaweiUnits[cv_2022]) + SUMIF(tblTencentUnits[Products],$A58, tblTencentUnits[cv_2022]) + SUMIF(tblBaiduUnits[Products],$A58, tblBaiduUnits[cv_2022]) + SUMIF(tblByteDanceUnits[Products],$A58, tblByteDanceUnits[cv_2022]) + SUMIF(tblCloudAOUnits[Products],$A58, tblCloudAOUnits[cv_2022])</f>
        <v>0</v>
      </c>
      <c r="G58" s="8">
        <f xml:space="preserve"> SUMIF(tblGoogleUnits[Products],$A58, tblGoogleUnits[cv_2023]) + SUMIF(tblMetaUnits[Products],$A58, tblMetaUnits[cv_2023]) + SUMIF(tblAmazonUnits[Products],$A58, tblAmazonUnits[cv_2023]) + SUMIF(tblMicrosoftUnits[Products],$A58, tblMicrosoftUnits[cv_2023]) + SUMIF(tblAppleUnits[Products],$A58, tblAppleUnits[cv_2023]) + SUMIF(tblAlibabaUnits[Products],$A58, tblAlibabaUnits[cv_2023]) + SUMIF(tblHuaweiUnits[Products],$A58, tblHuaweiUnits[cv_2023]) + SUMIF(tblTencentUnits[Products],$A58, tblTencentUnits[cv_2023]) + SUMIF(tblBaiduUnits[Products],$A58, tblBaiduUnits[cv_2023]) + SUMIF(tblByteDanceUnits[Products],$A58, tblByteDanceUnits[cv_2023]) + SUMIF(tblCloudAOUnits[Products],$A58, tblCloudAOUnits[cv_2023])</f>
        <v>0</v>
      </c>
      <c r="H58" s="8">
        <f xml:space="preserve"> SUMIF(tblGoogleUnits[Products],$A58, tblGoogleUnits[cv_2024]) + SUMIF(tblMetaUnits[Products],$A58, tblMetaUnits[cv_2024]) + SUMIF(tblAmazonUnits[Products],$A58, tblAmazonUnits[cv_2024]) + SUMIF(tblMicrosoftUnits[Products],$A58, tblMicrosoftUnits[cv_2024]) + SUMIF(tblAppleUnits[Products],$A58, tblAppleUnits[cv_2024]) + SUMIF(tblAlibabaUnits[Products],$A58, tblAlibabaUnits[cv_2024]) + SUMIF(tblHuaweiUnits[Products],$A58, tblHuaweiUnits[cv_2024]) + SUMIF(tblTencentUnits[Products],$A58, tblTencentUnits[cv_2024]) + SUMIF(tblBaiduUnits[Products],$A58, tblBaiduUnits[cv_2024]) + SUMIF(tblByteDanceUnits[Products],$A58, tblByteDanceUnits[cv_2024]) + SUMIF(tblCloudAOUnits[Products],$A58, tblCloudAOUnits[cv_2024])</f>
        <v>0</v>
      </c>
      <c r="I58" s="8">
        <f xml:space="preserve"> SUMIF(tblGoogleUnits[Products],$A58, tblGoogleUnits[cv_2025]) + SUMIF(tblMetaUnits[Products],$A58, tblMetaUnits[cv_2025]) + SUMIF(tblAmazonUnits[Products],$A58, tblAmazonUnits[cv_2025]) + SUMIF(tblMicrosoftUnits[Products],$A58, tblMicrosoftUnits[cv_2025]) + SUMIF(tblAppleUnits[Products],$A58, tblAppleUnits[cv_2025]) + SUMIF(tblAlibabaUnits[Products],$A58, tblAlibabaUnits[cv_2025]) + SUMIF(tblHuaweiUnits[Products],$A58, tblHuaweiUnits[cv_2025]) + SUMIF(tblTencentUnits[Products],$A58, tblTencentUnits[cv_2025]) + SUMIF(tblBaiduUnits[Products],$A58, tblBaiduUnits[cv_2025]) + SUMIF(tblByteDanceUnits[Products],$A58, tblByteDanceUnits[cv_2025]) + SUMIF(tblCloudAOUnits[Products],$A58, tblCloudAOUnits[cv_2025])</f>
        <v>0</v>
      </c>
      <c r="J58" s="8">
        <f xml:space="preserve"> SUMIF(tblGoogleUnits[Products],$A58, tblGoogleUnits[cv_2026]) + SUMIF(tblMetaUnits[Products],$A58, tblMetaUnits[cv_2026]) + SUMIF(tblAmazonUnits[Products],$A58, tblAmazonUnits[cv_2026]) + SUMIF(tblMicrosoftUnits[Products],$A58, tblMicrosoftUnits[cv_2026]) + SUMIF(tblAppleUnits[Products],$A58, tblAppleUnits[cv_2026]) + SUMIF(tblAlibabaUnits[Products],$A58, tblAlibabaUnits[cv_2026]) + SUMIF(tblHuaweiUnits[Products],$A58, tblHuaweiUnits[cv_2026]) + SUMIF(tblTencentUnits[Products],$A58, tblTencentUnits[cv_2026]) + SUMIF(tblBaiduUnits[Products],$A58, tblBaiduUnits[cv_2026]) + SUMIF(tblByteDanceUnits[Products],$A58, tblByteDanceUnits[cv_2026]) + SUMIF(tblCloudAOUnits[Products],$A58, tblCloudAOUnits[cv_2026])</f>
        <v>0</v>
      </c>
      <c r="K58" s="8">
        <f xml:space="preserve"> SUMIF(tblGoogleUnits[Products],$A58, tblGoogleUnits[cv_2027]) + SUMIF(tblMetaUnits[Products],$A58, tblMetaUnits[cv_2027]) + SUMIF(tblAmazonUnits[Products],$A58, tblAmazonUnits[cv_2027]) + SUMIF(tblMicrosoftUnits[Products],$A58, tblMicrosoftUnits[cv_2027]) + SUMIF(tblAppleUnits[Products],$A58, tblAppleUnits[cv_2027]) + SUMIF(tblAlibabaUnits[Products],$A58, tblAlibabaUnits[cv_2027]) + SUMIF(tblHuaweiUnits[Products],$A58, tblHuaweiUnits[cv_2027]) + SUMIF(tblTencentUnits[Products],$A58, tblTencentUnits[cv_2027]) + SUMIF(tblBaiduUnits[Products],$A58, tblBaiduUnits[cv_2027]) + SUMIF(tblByteDanceUnits[Products],$A58, tblByteDanceUnits[cv_2027]) + SUMIF(tblCloudAOUnits[Products],$A58, tblCloudAOUnits[cv_2027])</f>
        <v>0</v>
      </c>
      <c r="L58" s="8">
        <f xml:space="preserve"> SUMIF(tblGoogleUnits[Products],$A58, tblGoogleUnits[cv_2028]) + SUMIF(tblMetaUnits[Products],$A58, tblMetaUnits[cv_2028]) + SUMIF(tblAmazonUnits[Products],$A58, tblAmazonUnits[cv_2028]) + SUMIF(tblMicrosoftUnits[Products],$A58, tblMicrosoftUnits[cv_2028]) + SUMIF(tblAppleUnits[Products],$A58, tblAppleUnits[cv_2028]) + SUMIF(tblAlibabaUnits[Products],$A58, tblAlibabaUnits[cv_2028]) + SUMIF(tblHuaweiUnits[Products],$A58, tblHuaweiUnits[cv_2028]) + SUMIF(tblTencentUnits[Products],$A58, tblTencentUnits[cv_2028]) + SUMIF(tblBaiduUnits[Products],$A58, tblBaiduUnits[cv_2028]) + SUMIF(tblByteDanceUnits[Products],$A58, tblByteDanceUnits[cv_2028]) + SUMIF(tblCloudAOUnits[Products],$A58, tblCloudAOUnits[cv_2028])</f>
        <v>0</v>
      </c>
      <c r="M58" s="122">
        <f>10^-6*B58*INDEX(TotalMarket!$M$26:$W$125,MATCH($A58,$A$11:$A$132,0),MATCH(M$10,$M$10:$W$10))</f>
        <v>0</v>
      </c>
      <c r="N58" s="122">
        <f>10^-6*C58*INDEX(TotalMarket!$M$26:$W$125,MATCH($A58,$A$11:$A$132,0),MATCH(N$10,$M$10:$W$10))</f>
        <v>9.3100813330983776</v>
      </c>
      <c r="O58" s="122">
        <f>10^-6*D58*INDEX(TotalMarket!$M$26:$W$125,MATCH($A58,$A$11:$A$132,0),MATCH(O$10,$M$10:$W$10))</f>
        <v>0</v>
      </c>
      <c r="P58" s="122">
        <f>10^-6*E58*INDEX(TotalMarket!$M$26:$W$125,MATCH($A58,$A$11:$A$132,0),MATCH(P$10,$M$10:$W$10))</f>
        <v>0</v>
      </c>
      <c r="Q58" s="122">
        <f>10^-6*F58*INDEX(TotalMarket!$M$26:$W$125,MATCH($A58,$A$11:$A$132,0),MATCH(Q$10,$M$10:$W$10))</f>
        <v>0</v>
      </c>
      <c r="R58" s="122">
        <f>10^-6*G58*INDEX(TotalMarket!$M$26:$W$125,MATCH($A58,$A$11:$A$132,0),MATCH(R$10,$M$10:$W$10))</f>
        <v>0</v>
      </c>
      <c r="S58" s="122">
        <f>10^-6*H58*INDEX(TotalMarket!$M$26:$W$125,MATCH($A58,$A$11:$A$132,0),MATCH(S$10,$M$10:$W$10))</f>
        <v>0</v>
      </c>
      <c r="T58" s="122">
        <f>10^-6*I58*INDEX(TotalMarket!$M$26:$W$125,MATCH($A58,$A$11:$A$132,0),MATCH(T$10,$M$10:$W$10))</f>
        <v>0</v>
      </c>
      <c r="U58" s="122">
        <f>10^-6*J58*INDEX(TotalMarket!$M$26:$W$125,MATCH($A58,$A$11:$A$132,0),MATCH(U$10,$M$10:$W$10))</f>
        <v>0</v>
      </c>
      <c r="V58" s="122">
        <f>10^-6*K58*INDEX(TotalMarket!$M$26:$W$125,MATCH($A58,$A$11:$A$132,0),MATCH(V$10,$M$10:$W$10))</f>
        <v>0</v>
      </c>
      <c r="W58" s="122">
        <f>10^-6*L58*INDEX(TotalMarket!$M$26:$W$125,MATCH($A58,$A$11:$A$132,0),MATCH(W$10,$M$10:$W$10))</f>
        <v>0</v>
      </c>
      <c r="X58" s="1">
        <f>VLOOKUP(A58,Products!$A$29:$F$110,6,FALSE)</f>
        <v>100</v>
      </c>
    </row>
    <row r="59" spans="1:24">
      <c r="A59" s="15" t="s">
        <v>184</v>
      </c>
      <c r="B59" s="8">
        <f xml:space="preserve"> SUMIF(tblGoogleUnits[Products],$A59, tblGoogleUnits[cv_2018]) + SUMIF(tblMetaUnits[Products],$A59, tblMetaUnits[cv_2018]) + SUMIF(tblAmazonUnits[Products],$A59, tblAmazonUnits[cv_2018]) + SUMIF(tblMicrosoftUnits[Products],$A59, tblMicrosoftUnits[cv_2018]) + SUMIF(tblAppleUnits[Products],$A59, tblAppleUnits[cv_2018]) + SUMIF(tblAlibabaUnits[Products],$A59, tblAlibabaUnits[cv_2018]) + SUMIF(tblHuaweiUnits[Products],$A59, tblHuaweiUnits[cv_2018]) + SUMIF(tblTencentUnits[Products],$A59, tblTencentUnits[cv_2018]) + SUMIF(tblBaiduUnits[Products],$A59, tblBaiduUnits[cv_2018]) + SUMIF(tblByteDanceUnits[Products],$A59, tblByteDanceUnits[cv_2018]) + SUMIF(tblCloudAOUnits[Products],$A59, tblCloudAOUnits[cv_2018])</f>
        <v>0</v>
      </c>
      <c r="C59" s="8">
        <f xml:space="preserve"> SUMIF(tblGoogleUnits[Products],$A59, tblGoogleUnits[cv_2019]) + SUMIF(tblMetaUnits[Products],$A59, tblMetaUnits[cv_2019]) + SUMIF(tblAmazonUnits[Products],$A59, tblAmazonUnits[cv_2019]) + SUMIF(tblMicrosoftUnits[Products],$A59, tblMicrosoftUnits[cv_2019]) + SUMIF(tblAppleUnits[Products],$A59, tblAppleUnits[cv_2019]) + SUMIF(tblAlibabaUnits[Products],$A59, tblAlibabaUnits[cv_2019]) + SUMIF(tblHuaweiUnits[Products],$A59, tblHuaweiUnits[cv_2019]) + SUMIF(tblTencentUnits[Products],$A59, tblTencentUnits[cv_2019]) + SUMIF(tblBaiduUnits[Products],$A59, tblBaiduUnits[cv_2019]) + SUMIF(tblByteDanceUnits[Products],$A59, tblByteDanceUnits[cv_2019]) + SUMIF(tblCloudAOUnits[Products],$A59, tblCloudAOUnits[cv_2019])</f>
        <v>0</v>
      </c>
      <c r="D59" s="8">
        <f xml:space="preserve"> SUMIF(tblGoogleUnits[Products],$A59, tblGoogleUnits[cv_2020]) + SUMIF(tblMetaUnits[Products],$A59, tblMetaUnits[cv_2020]) + SUMIF(tblAmazonUnits[Products],$A59, tblAmazonUnits[cv_2020]) + SUMIF(tblMicrosoftUnits[Products],$A59, tblMicrosoftUnits[cv_2020]) + SUMIF(tblAppleUnits[Products],$A59, tblAppleUnits[cv_2020]) + SUMIF(tblAlibabaUnits[Products],$A59, tblAlibabaUnits[cv_2020]) + SUMIF(tblHuaweiUnits[Products],$A59, tblHuaweiUnits[cv_2020]) + SUMIF(tblTencentUnits[Products],$A59, tblTencentUnits[cv_2020]) + SUMIF(tblBaiduUnits[Products],$A59, tblBaiduUnits[cv_2020]) + SUMIF(tblByteDanceUnits[Products],$A59, tblByteDanceUnits[cv_2020]) + SUMIF(tblCloudAOUnits[Products],$A59, tblCloudAOUnits[cv_2020])</f>
        <v>0</v>
      </c>
      <c r="E59" s="8">
        <f xml:space="preserve"> SUMIF(tblGoogleUnits[Products],$A59, tblGoogleUnits[cv_2021]) + SUMIF(tblMetaUnits[Products],$A59, tblMetaUnits[cv_2021]) + SUMIF(tblAmazonUnits[Products],$A59, tblAmazonUnits[cv_2021]) + SUMIF(tblMicrosoftUnits[Products],$A59, tblMicrosoftUnits[cv_2021]) + SUMIF(tblAppleUnits[Products],$A59, tblAppleUnits[cv_2021]) + SUMIF(tblAlibabaUnits[Products],$A59, tblAlibabaUnits[cv_2021]) + SUMIF(tblHuaweiUnits[Products],$A59, tblHuaweiUnits[cv_2021]) + SUMIF(tblTencentUnits[Products],$A59, tblTencentUnits[cv_2021]) + SUMIF(tblBaiduUnits[Products],$A59, tblBaiduUnits[cv_2021]) + SUMIF(tblByteDanceUnits[Products],$A59, tblByteDanceUnits[cv_2021]) + SUMIF(tblCloudAOUnits[Products],$A59, tblCloudAOUnits[cv_2021])</f>
        <v>0</v>
      </c>
      <c r="F59" s="8">
        <f xml:space="preserve"> SUMIF(tblGoogleUnits[Products],$A59, tblGoogleUnits[cv_2022]) + SUMIF(tblMetaUnits[Products],$A59, tblMetaUnits[cv_2022]) + SUMIF(tblAmazonUnits[Products],$A59, tblAmazonUnits[cv_2022]) + SUMIF(tblMicrosoftUnits[Products],$A59, tblMicrosoftUnits[cv_2022]) + SUMIF(tblAppleUnits[Products],$A59, tblAppleUnits[cv_2022]) + SUMIF(tblAlibabaUnits[Products],$A59, tblAlibabaUnits[cv_2022]) + SUMIF(tblHuaweiUnits[Products],$A59, tblHuaweiUnits[cv_2022]) + SUMIF(tblTencentUnits[Products],$A59, tblTencentUnits[cv_2022]) + SUMIF(tblBaiduUnits[Products],$A59, tblBaiduUnits[cv_2022]) + SUMIF(tblByteDanceUnits[Products],$A59, tblByteDanceUnits[cv_2022]) + SUMIF(tblCloudAOUnits[Products],$A59, tblCloudAOUnits[cv_2022])</f>
        <v>0</v>
      </c>
      <c r="G59" s="8">
        <f xml:space="preserve"> SUMIF(tblGoogleUnits[Products],$A59, tblGoogleUnits[cv_2023]) + SUMIF(tblMetaUnits[Products],$A59, tblMetaUnits[cv_2023]) + SUMIF(tblAmazonUnits[Products],$A59, tblAmazonUnits[cv_2023]) + SUMIF(tblMicrosoftUnits[Products],$A59, tblMicrosoftUnits[cv_2023]) + SUMIF(tblAppleUnits[Products],$A59, tblAppleUnits[cv_2023]) + SUMIF(tblAlibabaUnits[Products],$A59, tblAlibabaUnits[cv_2023]) + SUMIF(tblHuaweiUnits[Products],$A59, tblHuaweiUnits[cv_2023]) + SUMIF(tblTencentUnits[Products],$A59, tblTencentUnits[cv_2023]) + SUMIF(tblBaiduUnits[Products],$A59, tblBaiduUnits[cv_2023]) + SUMIF(tblByteDanceUnits[Products],$A59, tblByteDanceUnits[cv_2023]) + SUMIF(tblCloudAOUnits[Products],$A59, tblCloudAOUnits[cv_2023])</f>
        <v>0</v>
      </c>
      <c r="H59" s="8">
        <f xml:space="preserve"> SUMIF(tblGoogleUnits[Products],$A59, tblGoogleUnits[cv_2024]) + SUMIF(tblMetaUnits[Products],$A59, tblMetaUnits[cv_2024]) + SUMIF(tblAmazonUnits[Products],$A59, tblAmazonUnits[cv_2024]) + SUMIF(tblMicrosoftUnits[Products],$A59, tblMicrosoftUnits[cv_2024]) + SUMIF(tblAppleUnits[Products],$A59, tblAppleUnits[cv_2024]) + SUMIF(tblAlibabaUnits[Products],$A59, tblAlibabaUnits[cv_2024]) + SUMIF(tblHuaweiUnits[Products],$A59, tblHuaweiUnits[cv_2024]) + SUMIF(tblTencentUnits[Products],$A59, tblTencentUnits[cv_2024]) + SUMIF(tblBaiduUnits[Products],$A59, tblBaiduUnits[cv_2024]) + SUMIF(tblByteDanceUnits[Products],$A59, tblByteDanceUnits[cv_2024]) + SUMIF(tblCloudAOUnits[Products],$A59, tblCloudAOUnits[cv_2024])</f>
        <v>0</v>
      </c>
      <c r="I59" s="8">
        <f xml:space="preserve"> SUMIF(tblGoogleUnits[Products],$A59, tblGoogleUnits[cv_2025]) + SUMIF(tblMetaUnits[Products],$A59, tblMetaUnits[cv_2025]) + SUMIF(tblAmazonUnits[Products],$A59, tblAmazonUnits[cv_2025]) + SUMIF(tblMicrosoftUnits[Products],$A59, tblMicrosoftUnits[cv_2025]) + SUMIF(tblAppleUnits[Products],$A59, tblAppleUnits[cv_2025]) + SUMIF(tblAlibabaUnits[Products],$A59, tblAlibabaUnits[cv_2025]) + SUMIF(tblHuaweiUnits[Products],$A59, tblHuaweiUnits[cv_2025]) + SUMIF(tblTencentUnits[Products],$A59, tblTencentUnits[cv_2025]) + SUMIF(tblBaiduUnits[Products],$A59, tblBaiduUnits[cv_2025]) + SUMIF(tblByteDanceUnits[Products],$A59, tblByteDanceUnits[cv_2025]) + SUMIF(tblCloudAOUnits[Products],$A59, tblCloudAOUnits[cv_2025])</f>
        <v>0</v>
      </c>
      <c r="J59" s="8">
        <f xml:space="preserve"> SUMIF(tblGoogleUnits[Products],$A59, tblGoogleUnits[cv_2026]) + SUMIF(tblMetaUnits[Products],$A59, tblMetaUnits[cv_2026]) + SUMIF(tblAmazonUnits[Products],$A59, tblAmazonUnits[cv_2026]) + SUMIF(tblMicrosoftUnits[Products],$A59, tblMicrosoftUnits[cv_2026]) + SUMIF(tblAppleUnits[Products],$A59, tblAppleUnits[cv_2026]) + SUMIF(tblAlibabaUnits[Products],$A59, tblAlibabaUnits[cv_2026]) + SUMIF(tblHuaweiUnits[Products],$A59, tblHuaweiUnits[cv_2026]) + SUMIF(tblTencentUnits[Products],$A59, tblTencentUnits[cv_2026]) + SUMIF(tblBaiduUnits[Products],$A59, tblBaiduUnits[cv_2026]) + SUMIF(tblByteDanceUnits[Products],$A59, tblByteDanceUnits[cv_2026]) + SUMIF(tblCloudAOUnits[Products],$A59, tblCloudAOUnits[cv_2026])</f>
        <v>0</v>
      </c>
      <c r="K59" s="8">
        <f xml:space="preserve"> SUMIF(tblGoogleUnits[Products],$A59, tblGoogleUnits[cv_2027]) + SUMIF(tblMetaUnits[Products],$A59, tblMetaUnits[cv_2027]) + SUMIF(tblAmazonUnits[Products],$A59, tblAmazonUnits[cv_2027]) + SUMIF(tblMicrosoftUnits[Products],$A59, tblMicrosoftUnits[cv_2027]) + SUMIF(tblAppleUnits[Products],$A59, tblAppleUnits[cv_2027]) + SUMIF(tblAlibabaUnits[Products],$A59, tblAlibabaUnits[cv_2027]) + SUMIF(tblHuaweiUnits[Products],$A59, tblHuaweiUnits[cv_2027]) + SUMIF(tblTencentUnits[Products],$A59, tblTencentUnits[cv_2027]) + SUMIF(tblBaiduUnits[Products],$A59, tblBaiduUnits[cv_2027]) + SUMIF(tblByteDanceUnits[Products],$A59, tblByteDanceUnits[cv_2027]) + SUMIF(tblCloudAOUnits[Products],$A59, tblCloudAOUnits[cv_2027])</f>
        <v>0</v>
      </c>
      <c r="L59" s="8">
        <f xml:space="preserve"> SUMIF(tblGoogleUnits[Products],$A59, tblGoogleUnits[cv_2028]) + SUMIF(tblMetaUnits[Products],$A59, tblMetaUnits[cv_2028]) + SUMIF(tblAmazonUnits[Products],$A59, tblAmazonUnits[cv_2028]) + SUMIF(tblMicrosoftUnits[Products],$A59, tblMicrosoftUnits[cv_2028]) + SUMIF(tblAppleUnits[Products],$A59, tblAppleUnits[cv_2028]) + SUMIF(tblAlibabaUnits[Products],$A59, tblAlibabaUnits[cv_2028]) + SUMIF(tblHuaweiUnits[Products],$A59, tblHuaweiUnits[cv_2028]) + SUMIF(tblTencentUnits[Products],$A59, tblTencentUnits[cv_2028]) + SUMIF(tblBaiduUnits[Products],$A59, tblBaiduUnits[cv_2028]) + SUMIF(tblByteDanceUnits[Products],$A59, tblByteDanceUnits[cv_2028]) + SUMIF(tblCloudAOUnits[Products],$A59, tblCloudAOUnits[cv_2028])</f>
        <v>0</v>
      </c>
      <c r="M59" s="122">
        <f>10^-6*B59*INDEX(TotalMarket!$M$26:$W$125,MATCH($A59,$A$11:$A$132,0),MATCH(M$10,$M$10:$W$10))</f>
        <v>0</v>
      </c>
      <c r="N59" s="122">
        <f>10^-6*C59*INDEX(TotalMarket!$M$26:$W$125,MATCH($A59,$A$11:$A$132,0),MATCH(N$10,$M$10:$W$10))</f>
        <v>0</v>
      </c>
      <c r="O59" s="122">
        <f>10^-6*D59*INDEX(TotalMarket!$M$26:$W$125,MATCH($A59,$A$11:$A$132,0),MATCH(O$10,$M$10:$W$10))</f>
        <v>0</v>
      </c>
      <c r="P59" s="122">
        <f>10^-6*E59*INDEX(TotalMarket!$M$26:$W$125,MATCH($A59,$A$11:$A$132,0),MATCH(P$10,$M$10:$W$10))</f>
        <v>0</v>
      </c>
      <c r="Q59" s="122">
        <f>10^-6*F59*INDEX(TotalMarket!$M$26:$W$125,MATCH($A59,$A$11:$A$132,0),MATCH(Q$10,$M$10:$W$10))</f>
        <v>0</v>
      </c>
      <c r="R59" s="122">
        <f>10^-6*G59*INDEX(TotalMarket!$M$26:$W$125,MATCH($A59,$A$11:$A$132,0),MATCH(R$10,$M$10:$W$10))</f>
        <v>0</v>
      </c>
      <c r="S59" s="122">
        <f>10^-6*H59*INDEX(TotalMarket!$M$26:$W$125,MATCH($A59,$A$11:$A$132,0),MATCH(S$10,$M$10:$W$10))</f>
        <v>0</v>
      </c>
      <c r="T59" s="122">
        <f>10^-6*I59*INDEX(TotalMarket!$M$26:$W$125,MATCH($A59,$A$11:$A$132,0),MATCH(T$10,$M$10:$W$10))</f>
        <v>0</v>
      </c>
      <c r="U59" s="122">
        <f>10^-6*J59*INDEX(TotalMarket!$M$26:$W$125,MATCH($A59,$A$11:$A$132,0),MATCH(U$10,$M$10:$W$10))</f>
        <v>0</v>
      </c>
      <c r="V59" s="122">
        <f>10^-6*K59*INDEX(TotalMarket!$M$26:$W$125,MATCH($A59,$A$11:$A$132,0),MATCH(V$10,$M$10:$W$10))</f>
        <v>0</v>
      </c>
      <c r="W59" s="122">
        <f>10^-6*L59*INDEX(TotalMarket!$M$26:$W$125,MATCH($A59,$A$11:$A$132,0),MATCH(W$10,$M$10:$W$10))</f>
        <v>0</v>
      </c>
      <c r="X59" s="1">
        <f>VLOOKUP(A59,Products!$A$29:$F$110,6,FALSE)</f>
        <v>100</v>
      </c>
    </row>
    <row r="60" spans="1:24">
      <c r="A60" s="16" t="s">
        <v>185</v>
      </c>
      <c r="B60" s="8">
        <f xml:space="preserve"> SUMIF(tblGoogleUnits[Products],$A60, tblGoogleUnits[cv_2018]) + SUMIF(tblMetaUnits[Products],$A60, tblMetaUnits[cv_2018]) + SUMIF(tblAmazonUnits[Products],$A60, tblAmazonUnits[cv_2018]) + SUMIF(tblMicrosoftUnits[Products],$A60, tblMicrosoftUnits[cv_2018]) + SUMIF(tblAppleUnits[Products],$A60, tblAppleUnits[cv_2018]) + SUMIF(tblAlibabaUnits[Products],$A60, tblAlibabaUnits[cv_2018]) + SUMIF(tblHuaweiUnits[Products],$A60, tblHuaweiUnits[cv_2018]) + SUMIF(tblTencentUnits[Products],$A60, tblTencentUnits[cv_2018]) + SUMIF(tblBaiduUnits[Products],$A60, tblBaiduUnits[cv_2018]) + SUMIF(tblByteDanceUnits[Products],$A60, tblByteDanceUnits[cv_2018]) + SUMIF(tblCloudAOUnits[Products],$A60, tblCloudAOUnits[cv_2018])</f>
        <v>0</v>
      </c>
      <c r="C60" s="8">
        <f xml:space="preserve"> SUMIF(tblGoogleUnits[Products],$A60, tblGoogleUnits[cv_2019]) + SUMIF(tblMetaUnits[Products],$A60, tblMetaUnits[cv_2019]) + SUMIF(tblAmazonUnits[Products],$A60, tblAmazonUnits[cv_2019]) + SUMIF(tblMicrosoftUnits[Products],$A60, tblMicrosoftUnits[cv_2019]) + SUMIF(tblAppleUnits[Products],$A60, tblAppleUnits[cv_2019]) + SUMIF(tblAlibabaUnits[Products],$A60, tblAlibabaUnits[cv_2019]) + SUMIF(tblHuaweiUnits[Products],$A60, tblHuaweiUnits[cv_2019]) + SUMIF(tblTencentUnits[Products],$A60, tblTencentUnits[cv_2019]) + SUMIF(tblBaiduUnits[Products],$A60, tblBaiduUnits[cv_2019]) + SUMIF(tblByteDanceUnits[Products],$A60, tblByteDanceUnits[cv_2019]) + SUMIF(tblCloudAOUnits[Products],$A60, tblCloudAOUnits[cv_2019])</f>
        <v>0</v>
      </c>
      <c r="D60" s="8">
        <f xml:space="preserve"> SUMIF(tblGoogleUnits[Products],$A60, tblGoogleUnits[cv_2020]) + SUMIF(tblMetaUnits[Products],$A60, tblMetaUnits[cv_2020]) + SUMIF(tblAmazonUnits[Products],$A60, tblAmazonUnits[cv_2020]) + SUMIF(tblMicrosoftUnits[Products],$A60, tblMicrosoftUnits[cv_2020]) + SUMIF(tblAppleUnits[Products],$A60, tblAppleUnits[cv_2020]) + SUMIF(tblAlibabaUnits[Products],$A60, tblAlibabaUnits[cv_2020]) + SUMIF(tblHuaweiUnits[Products],$A60, tblHuaweiUnits[cv_2020]) + SUMIF(tblTencentUnits[Products],$A60, tblTencentUnits[cv_2020]) + SUMIF(tblBaiduUnits[Products],$A60, tblBaiduUnits[cv_2020]) + SUMIF(tblByteDanceUnits[Products],$A60, tblByteDanceUnits[cv_2020]) + SUMIF(tblCloudAOUnits[Products],$A60, tblCloudAOUnits[cv_2020])</f>
        <v>0</v>
      </c>
      <c r="E60" s="8">
        <f xml:space="preserve"> SUMIF(tblGoogleUnits[Products],$A60, tblGoogleUnits[cv_2021]) + SUMIF(tblMetaUnits[Products],$A60, tblMetaUnits[cv_2021]) + SUMIF(tblAmazonUnits[Products],$A60, tblAmazonUnits[cv_2021]) + SUMIF(tblMicrosoftUnits[Products],$A60, tblMicrosoftUnits[cv_2021]) + SUMIF(tblAppleUnits[Products],$A60, tblAppleUnits[cv_2021]) + SUMIF(tblAlibabaUnits[Products],$A60, tblAlibabaUnits[cv_2021]) + SUMIF(tblHuaweiUnits[Products],$A60, tblHuaweiUnits[cv_2021]) + SUMIF(tblTencentUnits[Products],$A60, tblTencentUnits[cv_2021]) + SUMIF(tblBaiduUnits[Products],$A60, tblBaiduUnits[cv_2021]) + SUMIF(tblByteDanceUnits[Products],$A60, tblByteDanceUnits[cv_2021]) + SUMIF(tblCloudAOUnits[Products],$A60, tblCloudAOUnits[cv_2021])</f>
        <v>0</v>
      </c>
      <c r="F60" s="8">
        <f xml:space="preserve"> SUMIF(tblGoogleUnits[Products],$A60, tblGoogleUnits[cv_2022]) + SUMIF(tblMetaUnits[Products],$A60, tblMetaUnits[cv_2022]) + SUMIF(tblAmazonUnits[Products],$A60, tblAmazonUnits[cv_2022]) + SUMIF(tblMicrosoftUnits[Products],$A60, tblMicrosoftUnits[cv_2022]) + SUMIF(tblAppleUnits[Products],$A60, tblAppleUnits[cv_2022]) + SUMIF(tblAlibabaUnits[Products],$A60, tblAlibabaUnits[cv_2022]) + SUMIF(tblHuaweiUnits[Products],$A60, tblHuaweiUnits[cv_2022]) + SUMIF(tblTencentUnits[Products],$A60, tblTencentUnits[cv_2022]) + SUMIF(tblBaiduUnits[Products],$A60, tblBaiduUnits[cv_2022]) + SUMIF(tblByteDanceUnits[Products],$A60, tblByteDanceUnits[cv_2022]) + SUMIF(tblCloudAOUnits[Products],$A60, tblCloudAOUnits[cv_2022])</f>
        <v>0</v>
      </c>
      <c r="G60" s="8">
        <f xml:space="preserve"> SUMIF(tblGoogleUnits[Products],$A60, tblGoogleUnits[cv_2023]) + SUMIF(tblMetaUnits[Products],$A60, tblMetaUnits[cv_2023]) + SUMIF(tblAmazonUnits[Products],$A60, tblAmazonUnits[cv_2023]) + SUMIF(tblMicrosoftUnits[Products],$A60, tblMicrosoftUnits[cv_2023]) + SUMIF(tblAppleUnits[Products],$A60, tblAppleUnits[cv_2023]) + SUMIF(tblAlibabaUnits[Products],$A60, tblAlibabaUnits[cv_2023]) + SUMIF(tblHuaweiUnits[Products],$A60, tblHuaweiUnits[cv_2023]) + SUMIF(tblTencentUnits[Products],$A60, tblTencentUnits[cv_2023]) + SUMIF(tblBaiduUnits[Products],$A60, tblBaiduUnits[cv_2023]) + SUMIF(tblByteDanceUnits[Products],$A60, tblByteDanceUnits[cv_2023]) + SUMIF(tblCloudAOUnits[Products],$A60, tblCloudAOUnits[cv_2023])</f>
        <v>0</v>
      </c>
      <c r="H60" s="8">
        <f xml:space="preserve"> SUMIF(tblGoogleUnits[Products],$A60, tblGoogleUnits[cv_2024]) + SUMIF(tblMetaUnits[Products],$A60, tblMetaUnits[cv_2024]) + SUMIF(tblAmazonUnits[Products],$A60, tblAmazonUnits[cv_2024]) + SUMIF(tblMicrosoftUnits[Products],$A60, tblMicrosoftUnits[cv_2024]) + SUMIF(tblAppleUnits[Products],$A60, tblAppleUnits[cv_2024]) + SUMIF(tblAlibabaUnits[Products],$A60, tblAlibabaUnits[cv_2024]) + SUMIF(tblHuaweiUnits[Products],$A60, tblHuaweiUnits[cv_2024]) + SUMIF(tblTencentUnits[Products],$A60, tblTencentUnits[cv_2024]) + SUMIF(tblBaiduUnits[Products],$A60, tblBaiduUnits[cv_2024]) + SUMIF(tblByteDanceUnits[Products],$A60, tblByteDanceUnits[cv_2024]) + SUMIF(tblCloudAOUnits[Products],$A60, tblCloudAOUnits[cv_2024])</f>
        <v>0</v>
      </c>
      <c r="I60" s="8">
        <f xml:space="preserve"> SUMIF(tblGoogleUnits[Products],$A60, tblGoogleUnits[cv_2025]) + SUMIF(tblMetaUnits[Products],$A60, tblMetaUnits[cv_2025]) + SUMIF(tblAmazonUnits[Products],$A60, tblAmazonUnits[cv_2025]) + SUMIF(tblMicrosoftUnits[Products],$A60, tblMicrosoftUnits[cv_2025]) + SUMIF(tblAppleUnits[Products],$A60, tblAppleUnits[cv_2025]) + SUMIF(tblAlibabaUnits[Products],$A60, tblAlibabaUnits[cv_2025]) + SUMIF(tblHuaweiUnits[Products],$A60, tblHuaweiUnits[cv_2025]) + SUMIF(tblTencentUnits[Products],$A60, tblTencentUnits[cv_2025]) + SUMIF(tblBaiduUnits[Products],$A60, tblBaiduUnits[cv_2025]) + SUMIF(tblByteDanceUnits[Products],$A60, tblByteDanceUnits[cv_2025]) + SUMIF(tblCloudAOUnits[Products],$A60, tblCloudAOUnits[cv_2025])</f>
        <v>0</v>
      </c>
      <c r="J60" s="8">
        <f xml:space="preserve"> SUMIF(tblGoogleUnits[Products],$A60, tblGoogleUnits[cv_2026]) + SUMIF(tblMetaUnits[Products],$A60, tblMetaUnits[cv_2026]) + SUMIF(tblAmazonUnits[Products],$A60, tblAmazonUnits[cv_2026]) + SUMIF(tblMicrosoftUnits[Products],$A60, tblMicrosoftUnits[cv_2026]) + SUMIF(tblAppleUnits[Products],$A60, tblAppleUnits[cv_2026]) + SUMIF(tblAlibabaUnits[Products],$A60, tblAlibabaUnits[cv_2026]) + SUMIF(tblHuaweiUnits[Products],$A60, tblHuaweiUnits[cv_2026]) + SUMIF(tblTencentUnits[Products],$A60, tblTencentUnits[cv_2026]) + SUMIF(tblBaiduUnits[Products],$A60, tblBaiduUnits[cv_2026]) + SUMIF(tblByteDanceUnits[Products],$A60, tblByteDanceUnits[cv_2026]) + SUMIF(tblCloudAOUnits[Products],$A60, tblCloudAOUnits[cv_2026])</f>
        <v>0</v>
      </c>
      <c r="K60" s="8">
        <f xml:space="preserve"> SUMIF(tblGoogleUnits[Products],$A60, tblGoogleUnits[cv_2027]) + SUMIF(tblMetaUnits[Products],$A60, tblMetaUnits[cv_2027]) + SUMIF(tblAmazonUnits[Products],$A60, tblAmazonUnits[cv_2027]) + SUMIF(tblMicrosoftUnits[Products],$A60, tblMicrosoftUnits[cv_2027]) + SUMIF(tblAppleUnits[Products],$A60, tblAppleUnits[cv_2027]) + SUMIF(tblAlibabaUnits[Products],$A60, tblAlibabaUnits[cv_2027]) + SUMIF(tblHuaweiUnits[Products],$A60, tblHuaweiUnits[cv_2027]) + SUMIF(tblTencentUnits[Products],$A60, tblTencentUnits[cv_2027]) + SUMIF(tblBaiduUnits[Products],$A60, tblBaiduUnits[cv_2027]) + SUMIF(tblByteDanceUnits[Products],$A60, tblByteDanceUnits[cv_2027]) + SUMIF(tblCloudAOUnits[Products],$A60, tblCloudAOUnits[cv_2027])</f>
        <v>0</v>
      </c>
      <c r="L60" s="8">
        <f xml:space="preserve"> SUMIF(tblGoogleUnits[Products],$A60, tblGoogleUnits[cv_2028]) + SUMIF(tblMetaUnits[Products],$A60, tblMetaUnits[cv_2028]) + SUMIF(tblAmazonUnits[Products],$A60, tblAmazonUnits[cv_2028]) + SUMIF(tblMicrosoftUnits[Products],$A60, tblMicrosoftUnits[cv_2028]) + SUMIF(tblAppleUnits[Products],$A60, tblAppleUnits[cv_2028]) + SUMIF(tblAlibabaUnits[Products],$A60, tblAlibabaUnits[cv_2028]) + SUMIF(tblHuaweiUnits[Products],$A60, tblHuaweiUnits[cv_2028]) + SUMIF(tblTencentUnits[Products],$A60, tblTencentUnits[cv_2028]) + SUMIF(tblBaiduUnits[Products],$A60, tblBaiduUnits[cv_2028]) + SUMIF(tblByteDanceUnits[Products],$A60, tblByteDanceUnits[cv_2028]) + SUMIF(tblCloudAOUnits[Products],$A60, tblCloudAOUnits[cv_2028])</f>
        <v>0</v>
      </c>
      <c r="M60" s="122">
        <f>10^-6*B60*INDEX(TotalMarket!$M$26:$W$125,MATCH($A60,$A$11:$A$132,0),MATCH(M$10,$M$10:$W$10))</f>
        <v>0</v>
      </c>
      <c r="N60" s="122">
        <f>10^-6*C60*INDEX(TotalMarket!$M$26:$W$125,MATCH($A60,$A$11:$A$132,0),MATCH(N$10,$M$10:$W$10))</f>
        <v>0</v>
      </c>
      <c r="O60" s="122">
        <f>10^-6*D60*INDEX(TotalMarket!$M$26:$W$125,MATCH($A60,$A$11:$A$132,0),MATCH(O$10,$M$10:$W$10))</f>
        <v>0</v>
      </c>
      <c r="P60" s="122">
        <f>10^-6*E60*INDEX(TotalMarket!$M$26:$W$125,MATCH($A60,$A$11:$A$132,0),MATCH(P$10,$M$10:$W$10))</f>
        <v>0</v>
      </c>
      <c r="Q60" s="122">
        <f>10^-6*F60*INDEX(TotalMarket!$M$26:$W$125,MATCH($A60,$A$11:$A$132,0),MATCH(Q$10,$M$10:$W$10))</f>
        <v>0</v>
      </c>
      <c r="R60" s="122">
        <f>10^-6*G60*INDEX(TotalMarket!$M$26:$W$125,MATCH($A60,$A$11:$A$132,0),MATCH(R$10,$M$10:$W$10))</f>
        <v>0</v>
      </c>
      <c r="S60" s="122">
        <f>10^-6*H60*INDEX(TotalMarket!$M$26:$W$125,MATCH($A60,$A$11:$A$132,0),MATCH(S$10,$M$10:$W$10))</f>
        <v>0</v>
      </c>
      <c r="T60" s="122">
        <f>10^-6*I60*INDEX(TotalMarket!$M$26:$W$125,MATCH($A60,$A$11:$A$132,0),MATCH(T$10,$M$10:$W$10))</f>
        <v>0</v>
      </c>
      <c r="U60" s="122">
        <f>10^-6*J60*INDEX(TotalMarket!$M$26:$W$125,MATCH($A60,$A$11:$A$132,0),MATCH(U$10,$M$10:$W$10))</f>
        <v>0</v>
      </c>
      <c r="V60" s="122">
        <f>10^-6*K60*INDEX(TotalMarket!$M$26:$W$125,MATCH($A60,$A$11:$A$132,0),MATCH(V$10,$M$10:$W$10))</f>
        <v>0</v>
      </c>
      <c r="W60" s="122">
        <f>10^-6*L60*INDEX(TotalMarket!$M$26:$W$125,MATCH($A60,$A$11:$A$132,0),MATCH(W$10,$M$10:$W$10))</f>
        <v>0</v>
      </c>
      <c r="X60" s="1">
        <f>VLOOKUP(A60,Products!$A$29:$F$110,6,FALSE)</f>
        <v>100</v>
      </c>
    </row>
    <row r="61" spans="1:24">
      <c r="A61" s="15" t="s">
        <v>186</v>
      </c>
      <c r="B61" s="8">
        <f xml:space="preserve"> SUMIF(tblGoogleUnits[Products],$A61, tblGoogleUnits[cv_2018]) + SUMIF(tblMetaUnits[Products],$A61, tblMetaUnits[cv_2018]) + SUMIF(tblAmazonUnits[Products],$A61, tblAmazonUnits[cv_2018]) + SUMIF(tblMicrosoftUnits[Products],$A61, tblMicrosoftUnits[cv_2018]) + SUMIF(tblAppleUnits[Products],$A61, tblAppleUnits[cv_2018]) + SUMIF(tblAlibabaUnits[Products],$A61, tblAlibabaUnits[cv_2018]) + SUMIF(tblHuaweiUnits[Products],$A61, tblHuaweiUnits[cv_2018]) + SUMIF(tblTencentUnits[Products],$A61, tblTencentUnits[cv_2018]) + SUMIF(tblBaiduUnits[Products],$A61, tblBaiduUnits[cv_2018]) + SUMIF(tblByteDanceUnits[Products],$A61, tblByteDanceUnits[cv_2018]) + SUMIF(tblCloudAOUnits[Products],$A61, tblCloudAOUnits[cv_2018])</f>
        <v>0</v>
      </c>
      <c r="C61" s="8">
        <f xml:space="preserve"> SUMIF(tblGoogleUnits[Products],$A61, tblGoogleUnits[cv_2019]) + SUMIF(tblMetaUnits[Products],$A61, tblMetaUnits[cv_2019]) + SUMIF(tblAmazonUnits[Products],$A61, tblAmazonUnits[cv_2019]) + SUMIF(tblMicrosoftUnits[Products],$A61, tblMicrosoftUnits[cv_2019]) + SUMIF(tblAppleUnits[Products],$A61, tblAppleUnits[cv_2019]) + SUMIF(tblAlibabaUnits[Products],$A61, tblAlibabaUnits[cv_2019]) + SUMIF(tblHuaweiUnits[Products],$A61, tblHuaweiUnits[cv_2019]) + SUMIF(tblTencentUnits[Products],$A61, tblTencentUnits[cv_2019]) + SUMIF(tblBaiduUnits[Products],$A61, tblBaiduUnits[cv_2019]) + SUMIF(tblByteDanceUnits[Products],$A61, tblByteDanceUnits[cv_2019]) + SUMIF(tblCloudAOUnits[Products],$A61, tblCloudAOUnits[cv_2019])</f>
        <v>0</v>
      </c>
      <c r="D61" s="8">
        <f xml:space="preserve"> SUMIF(tblGoogleUnits[Products],$A61, tblGoogleUnits[cv_2020]) + SUMIF(tblMetaUnits[Products],$A61, tblMetaUnits[cv_2020]) + SUMIF(tblAmazonUnits[Products],$A61, tblAmazonUnits[cv_2020]) + SUMIF(tblMicrosoftUnits[Products],$A61, tblMicrosoftUnits[cv_2020]) + SUMIF(tblAppleUnits[Products],$A61, tblAppleUnits[cv_2020]) + SUMIF(tblAlibabaUnits[Products],$A61, tblAlibabaUnits[cv_2020]) + SUMIF(tblHuaweiUnits[Products],$A61, tblHuaweiUnits[cv_2020]) + SUMIF(tblTencentUnits[Products],$A61, tblTencentUnits[cv_2020]) + SUMIF(tblBaiduUnits[Products],$A61, tblBaiduUnits[cv_2020]) + SUMIF(tblByteDanceUnits[Products],$A61, tblByteDanceUnits[cv_2020]) + SUMIF(tblCloudAOUnits[Products],$A61, tblCloudAOUnits[cv_2020])</f>
        <v>0</v>
      </c>
      <c r="E61" s="8">
        <f xml:space="preserve"> SUMIF(tblGoogleUnits[Products],$A61, tblGoogleUnits[cv_2021]) + SUMIF(tblMetaUnits[Products],$A61, tblMetaUnits[cv_2021]) + SUMIF(tblAmazonUnits[Products],$A61, tblAmazonUnits[cv_2021]) + SUMIF(tblMicrosoftUnits[Products],$A61, tblMicrosoftUnits[cv_2021]) + SUMIF(tblAppleUnits[Products],$A61, tblAppleUnits[cv_2021]) + SUMIF(tblAlibabaUnits[Products],$A61, tblAlibabaUnits[cv_2021]) + SUMIF(tblHuaweiUnits[Products],$A61, tblHuaweiUnits[cv_2021]) + SUMIF(tblTencentUnits[Products],$A61, tblTencentUnits[cv_2021]) + SUMIF(tblBaiduUnits[Products],$A61, tblBaiduUnits[cv_2021]) + SUMIF(tblByteDanceUnits[Products],$A61, tblByteDanceUnits[cv_2021]) + SUMIF(tblCloudAOUnits[Products],$A61, tblCloudAOUnits[cv_2021])</f>
        <v>0</v>
      </c>
      <c r="F61" s="8">
        <f xml:space="preserve"> SUMIF(tblGoogleUnits[Products],$A61, tblGoogleUnits[cv_2022]) + SUMIF(tblMetaUnits[Products],$A61, tblMetaUnits[cv_2022]) + SUMIF(tblAmazonUnits[Products],$A61, tblAmazonUnits[cv_2022]) + SUMIF(tblMicrosoftUnits[Products],$A61, tblMicrosoftUnits[cv_2022]) + SUMIF(tblAppleUnits[Products],$A61, tblAppleUnits[cv_2022]) + SUMIF(tblAlibabaUnits[Products],$A61, tblAlibabaUnits[cv_2022]) + SUMIF(tblHuaweiUnits[Products],$A61, tblHuaweiUnits[cv_2022]) + SUMIF(tblTencentUnits[Products],$A61, tblTencentUnits[cv_2022]) + SUMIF(tblBaiduUnits[Products],$A61, tblBaiduUnits[cv_2022]) + SUMIF(tblByteDanceUnits[Products],$A61, tblByteDanceUnits[cv_2022]) + SUMIF(tblCloudAOUnits[Products],$A61, tblCloudAOUnits[cv_2022])</f>
        <v>0</v>
      </c>
      <c r="G61" s="8">
        <f xml:space="preserve"> SUMIF(tblGoogleUnits[Products],$A61, tblGoogleUnits[cv_2023]) + SUMIF(tblMetaUnits[Products],$A61, tblMetaUnits[cv_2023]) + SUMIF(tblAmazonUnits[Products],$A61, tblAmazonUnits[cv_2023]) + SUMIF(tblMicrosoftUnits[Products],$A61, tblMicrosoftUnits[cv_2023]) + SUMIF(tblAppleUnits[Products],$A61, tblAppleUnits[cv_2023]) + SUMIF(tblAlibabaUnits[Products],$A61, tblAlibabaUnits[cv_2023]) + SUMIF(tblHuaweiUnits[Products],$A61, tblHuaweiUnits[cv_2023]) + SUMIF(tblTencentUnits[Products],$A61, tblTencentUnits[cv_2023]) + SUMIF(tblBaiduUnits[Products],$A61, tblBaiduUnits[cv_2023]) + SUMIF(tblByteDanceUnits[Products],$A61, tblByteDanceUnits[cv_2023]) + SUMIF(tblCloudAOUnits[Products],$A61, tblCloudAOUnits[cv_2023])</f>
        <v>0</v>
      </c>
      <c r="H61" s="8">
        <f xml:space="preserve"> SUMIF(tblGoogleUnits[Products],$A61, tblGoogleUnits[cv_2024]) + SUMIF(tblMetaUnits[Products],$A61, tblMetaUnits[cv_2024]) + SUMIF(tblAmazonUnits[Products],$A61, tblAmazonUnits[cv_2024]) + SUMIF(tblMicrosoftUnits[Products],$A61, tblMicrosoftUnits[cv_2024]) + SUMIF(tblAppleUnits[Products],$A61, tblAppleUnits[cv_2024]) + SUMIF(tblAlibabaUnits[Products],$A61, tblAlibabaUnits[cv_2024]) + SUMIF(tblHuaweiUnits[Products],$A61, tblHuaweiUnits[cv_2024]) + SUMIF(tblTencentUnits[Products],$A61, tblTencentUnits[cv_2024]) + SUMIF(tblBaiduUnits[Products],$A61, tblBaiduUnits[cv_2024]) + SUMIF(tblByteDanceUnits[Products],$A61, tblByteDanceUnits[cv_2024]) + SUMIF(tblCloudAOUnits[Products],$A61, tblCloudAOUnits[cv_2024])</f>
        <v>0</v>
      </c>
      <c r="I61" s="8">
        <f xml:space="preserve"> SUMIF(tblGoogleUnits[Products],$A61, tblGoogleUnits[cv_2025]) + SUMIF(tblMetaUnits[Products],$A61, tblMetaUnits[cv_2025]) + SUMIF(tblAmazonUnits[Products],$A61, tblAmazonUnits[cv_2025]) + SUMIF(tblMicrosoftUnits[Products],$A61, tblMicrosoftUnits[cv_2025]) + SUMIF(tblAppleUnits[Products],$A61, tblAppleUnits[cv_2025]) + SUMIF(tblAlibabaUnits[Products],$A61, tblAlibabaUnits[cv_2025]) + SUMIF(tblHuaweiUnits[Products],$A61, tblHuaweiUnits[cv_2025]) + SUMIF(tblTencentUnits[Products],$A61, tblTencentUnits[cv_2025]) + SUMIF(tblBaiduUnits[Products],$A61, tblBaiduUnits[cv_2025]) + SUMIF(tblByteDanceUnits[Products],$A61, tblByteDanceUnits[cv_2025]) + SUMIF(tblCloudAOUnits[Products],$A61, tblCloudAOUnits[cv_2025])</f>
        <v>0</v>
      </c>
      <c r="J61" s="8">
        <f xml:space="preserve"> SUMIF(tblGoogleUnits[Products],$A61, tblGoogleUnits[cv_2026]) + SUMIF(tblMetaUnits[Products],$A61, tblMetaUnits[cv_2026]) + SUMIF(tblAmazonUnits[Products],$A61, tblAmazonUnits[cv_2026]) + SUMIF(tblMicrosoftUnits[Products],$A61, tblMicrosoftUnits[cv_2026]) + SUMIF(tblAppleUnits[Products],$A61, tblAppleUnits[cv_2026]) + SUMIF(tblAlibabaUnits[Products],$A61, tblAlibabaUnits[cv_2026]) + SUMIF(tblHuaweiUnits[Products],$A61, tblHuaweiUnits[cv_2026]) + SUMIF(tblTencentUnits[Products],$A61, tblTencentUnits[cv_2026]) + SUMIF(tblBaiduUnits[Products],$A61, tblBaiduUnits[cv_2026]) + SUMIF(tblByteDanceUnits[Products],$A61, tblByteDanceUnits[cv_2026]) + SUMIF(tblCloudAOUnits[Products],$A61, tblCloudAOUnits[cv_2026])</f>
        <v>0</v>
      </c>
      <c r="K61" s="8">
        <f xml:space="preserve"> SUMIF(tblGoogleUnits[Products],$A61, tblGoogleUnits[cv_2027]) + SUMIF(tblMetaUnits[Products],$A61, tblMetaUnits[cv_2027]) + SUMIF(tblAmazonUnits[Products],$A61, tblAmazonUnits[cv_2027]) + SUMIF(tblMicrosoftUnits[Products],$A61, tblMicrosoftUnits[cv_2027]) + SUMIF(tblAppleUnits[Products],$A61, tblAppleUnits[cv_2027]) + SUMIF(tblAlibabaUnits[Products],$A61, tblAlibabaUnits[cv_2027]) + SUMIF(tblHuaweiUnits[Products],$A61, tblHuaweiUnits[cv_2027]) + SUMIF(tblTencentUnits[Products],$A61, tblTencentUnits[cv_2027]) + SUMIF(tblBaiduUnits[Products],$A61, tblBaiduUnits[cv_2027]) + SUMIF(tblByteDanceUnits[Products],$A61, tblByteDanceUnits[cv_2027]) + SUMIF(tblCloudAOUnits[Products],$A61, tblCloudAOUnits[cv_2027])</f>
        <v>0</v>
      </c>
      <c r="L61" s="8">
        <f xml:space="preserve"> SUMIF(tblGoogleUnits[Products],$A61, tblGoogleUnits[cv_2028]) + SUMIF(tblMetaUnits[Products],$A61, tblMetaUnits[cv_2028]) + SUMIF(tblAmazonUnits[Products],$A61, tblAmazonUnits[cv_2028]) + SUMIF(tblMicrosoftUnits[Products],$A61, tblMicrosoftUnits[cv_2028]) + SUMIF(tblAppleUnits[Products],$A61, tblAppleUnits[cv_2028]) + SUMIF(tblAlibabaUnits[Products],$A61, tblAlibabaUnits[cv_2028]) + SUMIF(tblHuaweiUnits[Products],$A61, tblHuaweiUnits[cv_2028]) + SUMIF(tblTencentUnits[Products],$A61, tblTencentUnits[cv_2028]) + SUMIF(tblBaiduUnits[Products],$A61, tblBaiduUnits[cv_2028]) + SUMIF(tblByteDanceUnits[Products],$A61, tblByteDanceUnits[cv_2028]) + SUMIF(tblCloudAOUnits[Products],$A61, tblCloudAOUnits[cv_2028])</f>
        <v>0</v>
      </c>
      <c r="M61" s="122">
        <f>10^-6*B61*INDEX(TotalMarket!$M$26:$W$125,MATCH($A61,$A$11:$A$132,0),MATCH(M$10,$M$10:$W$10))</f>
        <v>0</v>
      </c>
      <c r="N61" s="122">
        <f>10^-6*C61*INDEX(TotalMarket!$M$26:$W$125,MATCH($A61,$A$11:$A$132,0),MATCH(N$10,$M$10:$W$10))</f>
        <v>0</v>
      </c>
      <c r="O61" s="122">
        <f>10^-6*D61*INDEX(TotalMarket!$M$26:$W$125,MATCH($A61,$A$11:$A$132,0),MATCH(O$10,$M$10:$W$10))</f>
        <v>0</v>
      </c>
      <c r="P61" s="122">
        <f>10^-6*E61*INDEX(TotalMarket!$M$26:$W$125,MATCH($A61,$A$11:$A$132,0),MATCH(P$10,$M$10:$W$10))</f>
        <v>0</v>
      </c>
      <c r="Q61" s="122">
        <f>10^-6*F61*INDEX(TotalMarket!$M$26:$W$125,MATCH($A61,$A$11:$A$132,0),MATCH(Q$10,$M$10:$W$10))</f>
        <v>0</v>
      </c>
      <c r="R61" s="122">
        <f>10^-6*G61*INDEX(TotalMarket!$M$26:$W$125,MATCH($A61,$A$11:$A$132,0),MATCH(R$10,$M$10:$W$10))</f>
        <v>0</v>
      </c>
      <c r="S61" s="122">
        <f>10^-6*H61*INDEX(TotalMarket!$M$26:$W$125,MATCH($A61,$A$11:$A$132,0),MATCH(S$10,$M$10:$W$10))</f>
        <v>0</v>
      </c>
      <c r="T61" s="122">
        <f>10^-6*I61*INDEX(TotalMarket!$M$26:$W$125,MATCH($A61,$A$11:$A$132,0),MATCH(T$10,$M$10:$W$10))</f>
        <v>0</v>
      </c>
      <c r="U61" s="122">
        <f>10^-6*J61*INDEX(TotalMarket!$M$26:$W$125,MATCH($A61,$A$11:$A$132,0),MATCH(U$10,$M$10:$W$10))</f>
        <v>0</v>
      </c>
      <c r="V61" s="122">
        <f>10^-6*K61*INDEX(TotalMarket!$M$26:$W$125,MATCH($A61,$A$11:$A$132,0),MATCH(V$10,$M$10:$W$10))</f>
        <v>0</v>
      </c>
      <c r="W61" s="122">
        <f>10^-6*L61*INDEX(TotalMarket!$M$26:$W$125,MATCH($A61,$A$11:$A$132,0),MATCH(W$10,$M$10:$W$10))</f>
        <v>0</v>
      </c>
      <c r="X61" s="1">
        <f>VLOOKUP(A61,Products!$A$29:$F$110,6,FALSE)</f>
        <v>100</v>
      </c>
    </row>
    <row r="62" spans="1:24">
      <c r="A62" s="15" t="s">
        <v>47</v>
      </c>
      <c r="B62" s="8">
        <f xml:space="preserve"> SUMIF(tblGoogleUnits[Products],$A62, tblGoogleUnits[cv_2018]) + SUMIF(tblMetaUnits[Products],$A62, tblMetaUnits[cv_2018]) + SUMIF(tblAmazonUnits[Products],$A62, tblAmazonUnits[cv_2018]) + SUMIF(tblMicrosoftUnits[Products],$A62, tblMicrosoftUnits[cv_2018]) + SUMIF(tblAppleUnits[Products],$A62, tblAppleUnits[cv_2018]) + SUMIF(tblAlibabaUnits[Products],$A62, tblAlibabaUnits[cv_2018]) + SUMIF(tblHuaweiUnits[Products],$A62, tblHuaweiUnits[cv_2018]) + SUMIF(tblTencentUnits[Products],$A62, tblTencentUnits[cv_2018]) + SUMIF(tblBaiduUnits[Products],$A62, tblBaiduUnits[cv_2018]) + SUMIF(tblByteDanceUnits[Products],$A62, tblByteDanceUnits[cv_2018]) + SUMIF(tblCloudAOUnits[Products],$A62, tblCloudAOUnits[cv_2018])</f>
        <v>500</v>
      </c>
      <c r="C62" s="8">
        <f xml:space="preserve"> SUMIF(tblGoogleUnits[Products],$A62, tblGoogleUnits[cv_2019]) + SUMIF(tblMetaUnits[Products],$A62, tblMetaUnits[cv_2019]) + SUMIF(tblAmazonUnits[Products],$A62, tblAmazonUnits[cv_2019]) + SUMIF(tblMicrosoftUnits[Products],$A62, tblMicrosoftUnits[cv_2019]) + SUMIF(tblAppleUnits[Products],$A62, tblAppleUnits[cv_2019]) + SUMIF(tblAlibabaUnits[Products],$A62, tblAlibabaUnits[cv_2019]) + SUMIF(tblHuaweiUnits[Products],$A62, tblHuaweiUnits[cv_2019]) + SUMIF(tblTencentUnits[Products],$A62, tblTencentUnits[cv_2019]) + SUMIF(tblBaiduUnits[Products],$A62, tblBaiduUnits[cv_2019]) + SUMIF(tblByteDanceUnits[Products],$A62, tblByteDanceUnits[cv_2019]) + SUMIF(tblCloudAOUnits[Products],$A62, tblCloudAOUnits[cv_2019])</f>
        <v>5000</v>
      </c>
      <c r="D62" s="8">
        <f xml:space="preserve"> SUMIF(tblGoogleUnits[Products],$A62, tblGoogleUnits[cv_2020]) + SUMIF(tblMetaUnits[Products],$A62, tblMetaUnits[cv_2020]) + SUMIF(tblAmazonUnits[Products],$A62, tblAmazonUnits[cv_2020]) + SUMIF(tblMicrosoftUnits[Products],$A62, tblMicrosoftUnits[cv_2020]) + SUMIF(tblAppleUnits[Products],$A62, tblAppleUnits[cv_2020]) + SUMIF(tblAlibabaUnits[Products],$A62, tblAlibabaUnits[cv_2020]) + SUMIF(tblHuaweiUnits[Products],$A62, tblHuaweiUnits[cv_2020]) + SUMIF(tblTencentUnits[Products],$A62, tblTencentUnits[cv_2020]) + SUMIF(tblBaiduUnits[Products],$A62, tblBaiduUnits[cv_2020]) + SUMIF(tblByteDanceUnits[Products],$A62, tblByteDanceUnits[cv_2020]) + SUMIF(tblCloudAOUnits[Products],$A62, tblCloudAOUnits[cv_2020])</f>
        <v>0</v>
      </c>
      <c r="E62" s="8">
        <f xml:space="preserve"> SUMIF(tblGoogleUnits[Products],$A62, tblGoogleUnits[cv_2021]) + SUMIF(tblMetaUnits[Products],$A62, tblMetaUnits[cv_2021]) + SUMIF(tblAmazonUnits[Products],$A62, tblAmazonUnits[cv_2021]) + SUMIF(tblMicrosoftUnits[Products],$A62, tblMicrosoftUnits[cv_2021]) + SUMIF(tblAppleUnits[Products],$A62, tblAppleUnits[cv_2021]) + SUMIF(tblAlibabaUnits[Products],$A62, tblAlibabaUnits[cv_2021]) + SUMIF(tblHuaweiUnits[Products],$A62, tblHuaweiUnits[cv_2021]) + SUMIF(tblTencentUnits[Products],$A62, tblTencentUnits[cv_2021]) + SUMIF(tblBaiduUnits[Products],$A62, tblBaiduUnits[cv_2021]) + SUMIF(tblByteDanceUnits[Products],$A62, tblByteDanceUnits[cv_2021]) + SUMIF(tblCloudAOUnits[Products],$A62, tblCloudAOUnits[cv_2021])</f>
        <v>0</v>
      </c>
      <c r="F62" s="8">
        <f xml:space="preserve"> SUMIF(tblGoogleUnits[Products],$A62, tblGoogleUnits[cv_2022]) + SUMIF(tblMetaUnits[Products],$A62, tblMetaUnits[cv_2022]) + SUMIF(tblAmazonUnits[Products],$A62, tblAmazonUnits[cv_2022]) + SUMIF(tblMicrosoftUnits[Products],$A62, tblMicrosoftUnits[cv_2022]) + SUMIF(tblAppleUnits[Products],$A62, tblAppleUnits[cv_2022]) + SUMIF(tblAlibabaUnits[Products],$A62, tblAlibabaUnits[cv_2022]) + SUMIF(tblHuaweiUnits[Products],$A62, tblHuaweiUnits[cv_2022]) + SUMIF(tblTencentUnits[Products],$A62, tblTencentUnits[cv_2022]) + SUMIF(tblBaiduUnits[Products],$A62, tblBaiduUnits[cv_2022]) + SUMIF(tblByteDanceUnits[Products],$A62, tblByteDanceUnits[cv_2022]) + SUMIF(tblCloudAOUnits[Products],$A62, tblCloudAOUnits[cv_2022])</f>
        <v>0</v>
      </c>
      <c r="G62" s="8">
        <f xml:space="preserve"> SUMIF(tblGoogleUnits[Products],$A62, tblGoogleUnits[cv_2023]) + SUMIF(tblMetaUnits[Products],$A62, tblMetaUnits[cv_2023]) + SUMIF(tblAmazonUnits[Products],$A62, tblAmazonUnits[cv_2023]) + SUMIF(tblMicrosoftUnits[Products],$A62, tblMicrosoftUnits[cv_2023]) + SUMIF(tblAppleUnits[Products],$A62, tblAppleUnits[cv_2023]) + SUMIF(tblAlibabaUnits[Products],$A62, tblAlibabaUnits[cv_2023]) + SUMIF(tblHuaweiUnits[Products],$A62, tblHuaweiUnits[cv_2023]) + SUMIF(tblTencentUnits[Products],$A62, tblTencentUnits[cv_2023]) + SUMIF(tblBaiduUnits[Products],$A62, tblBaiduUnits[cv_2023]) + SUMIF(tblByteDanceUnits[Products],$A62, tblByteDanceUnits[cv_2023]) + SUMIF(tblCloudAOUnits[Products],$A62, tblCloudAOUnits[cv_2023])</f>
        <v>0</v>
      </c>
      <c r="H62" s="8">
        <f xml:space="preserve"> SUMIF(tblGoogleUnits[Products],$A62, tblGoogleUnits[cv_2024]) + SUMIF(tblMetaUnits[Products],$A62, tblMetaUnits[cv_2024]) + SUMIF(tblAmazonUnits[Products],$A62, tblAmazonUnits[cv_2024]) + SUMIF(tblMicrosoftUnits[Products],$A62, tblMicrosoftUnits[cv_2024]) + SUMIF(tblAppleUnits[Products],$A62, tblAppleUnits[cv_2024]) + SUMIF(tblAlibabaUnits[Products],$A62, tblAlibabaUnits[cv_2024]) + SUMIF(tblHuaweiUnits[Products],$A62, tblHuaweiUnits[cv_2024]) + SUMIF(tblTencentUnits[Products],$A62, tblTencentUnits[cv_2024]) + SUMIF(tblBaiduUnits[Products],$A62, tblBaiduUnits[cv_2024]) + SUMIF(tblByteDanceUnits[Products],$A62, tblByteDanceUnits[cv_2024]) + SUMIF(tblCloudAOUnits[Products],$A62, tblCloudAOUnits[cv_2024])</f>
        <v>0</v>
      </c>
      <c r="I62" s="8">
        <f xml:space="preserve"> SUMIF(tblGoogleUnits[Products],$A62, tblGoogleUnits[cv_2025]) + SUMIF(tblMetaUnits[Products],$A62, tblMetaUnits[cv_2025]) + SUMIF(tblAmazonUnits[Products],$A62, tblAmazonUnits[cv_2025]) + SUMIF(tblMicrosoftUnits[Products],$A62, tblMicrosoftUnits[cv_2025]) + SUMIF(tblAppleUnits[Products],$A62, tblAppleUnits[cv_2025]) + SUMIF(tblAlibabaUnits[Products],$A62, tblAlibabaUnits[cv_2025]) + SUMIF(tblHuaweiUnits[Products],$A62, tblHuaweiUnits[cv_2025]) + SUMIF(tblTencentUnits[Products],$A62, tblTencentUnits[cv_2025]) + SUMIF(tblBaiduUnits[Products],$A62, tblBaiduUnits[cv_2025]) + SUMIF(tblByteDanceUnits[Products],$A62, tblByteDanceUnits[cv_2025]) + SUMIF(tblCloudAOUnits[Products],$A62, tblCloudAOUnits[cv_2025])</f>
        <v>0</v>
      </c>
      <c r="J62" s="8">
        <f xml:space="preserve"> SUMIF(tblGoogleUnits[Products],$A62, tblGoogleUnits[cv_2026]) + SUMIF(tblMetaUnits[Products],$A62, tblMetaUnits[cv_2026]) + SUMIF(tblAmazonUnits[Products],$A62, tblAmazonUnits[cv_2026]) + SUMIF(tblMicrosoftUnits[Products],$A62, tblMicrosoftUnits[cv_2026]) + SUMIF(tblAppleUnits[Products],$A62, tblAppleUnits[cv_2026]) + SUMIF(tblAlibabaUnits[Products],$A62, tblAlibabaUnits[cv_2026]) + SUMIF(tblHuaweiUnits[Products],$A62, tblHuaweiUnits[cv_2026]) + SUMIF(tblTencentUnits[Products],$A62, tblTencentUnits[cv_2026]) + SUMIF(tblBaiduUnits[Products],$A62, tblBaiduUnits[cv_2026]) + SUMIF(tblByteDanceUnits[Products],$A62, tblByteDanceUnits[cv_2026]) + SUMIF(tblCloudAOUnits[Products],$A62, tblCloudAOUnits[cv_2026])</f>
        <v>0</v>
      </c>
      <c r="K62" s="8">
        <f xml:space="preserve"> SUMIF(tblGoogleUnits[Products],$A62, tblGoogleUnits[cv_2027]) + SUMIF(tblMetaUnits[Products],$A62, tblMetaUnits[cv_2027]) + SUMIF(tblAmazonUnits[Products],$A62, tblAmazonUnits[cv_2027]) + SUMIF(tblMicrosoftUnits[Products],$A62, tblMicrosoftUnits[cv_2027]) + SUMIF(tblAppleUnits[Products],$A62, tblAppleUnits[cv_2027]) + SUMIF(tblAlibabaUnits[Products],$A62, tblAlibabaUnits[cv_2027]) + SUMIF(tblHuaweiUnits[Products],$A62, tblHuaweiUnits[cv_2027]) + SUMIF(tblTencentUnits[Products],$A62, tblTencentUnits[cv_2027]) + SUMIF(tblBaiduUnits[Products],$A62, tblBaiduUnits[cv_2027]) + SUMIF(tblByteDanceUnits[Products],$A62, tblByteDanceUnits[cv_2027]) + SUMIF(tblCloudAOUnits[Products],$A62, tblCloudAOUnits[cv_2027])</f>
        <v>0</v>
      </c>
      <c r="L62" s="8">
        <f xml:space="preserve"> SUMIF(tblGoogleUnits[Products],$A62, tblGoogleUnits[cv_2028]) + SUMIF(tblMetaUnits[Products],$A62, tblMetaUnits[cv_2028]) + SUMIF(tblAmazonUnits[Products],$A62, tblAmazonUnits[cv_2028]) + SUMIF(tblMicrosoftUnits[Products],$A62, tblMicrosoftUnits[cv_2028]) + SUMIF(tblAppleUnits[Products],$A62, tblAppleUnits[cv_2028]) + SUMIF(tblAlibabaUnits[Products],$A62, tblAlibabaUnits[cv_2028]) + SUMIF(tblHuaweiUnits[Products],$A62, tblHuaweiUnits[cv_2028]) + SUMIF(tblTencentUnits[Products],$A62, tblTencentUnits[cv_2028]) + SUMIF(tblBaiduUnits[Products],$A62, tblBaiduUnits[cv_2028]) + SUMIF(tblByteDanceUnits[Products],$A62, tblByteDanceUnits[cv_2028]) + SUMIF(tblCloudAOUnits[Products],$A62, tblCloudAOUnits[cv_2028])</f>
        <v>0</v>
      </c>
      <c r="M62" s="122">
        <f>10^-6*B62*INDEX(TotalMarket!$M$26:$W$125,MATCH($A62,$A$11:$A$132,0),MATCH(M$10,$M$10:$W$10))</f>
        <v>0.35000000000000003</v>
      </c>
      <c r="N62" s="122">
        <f>10^-6*C62*INDEX(TotalMarket!$M$26:$W$125,MATCH($A62,$A$11:$A$132,0),MATCH(N$10,$M$10:$W$10))</f>
        <v>3</v>
      </c>
      <c r="O62" s="122">
        <f>10^-6*D62*INDEX(TotalMarket!$M$26:$W$125,MATCH($A62,$A$11:$A$132,0),MATCH(O$10,$M$10:$W$10))</f>
        <v>0</v>
      </c>
      <c r="P62" s="122">
        <f>10^-6*E62*INDEX(TotalMarket!$M$26:$W$125,MATCH($A62,$A$11:$A$132,0),MATCH(P$10,$M$10:$W$10))</f>
        <v>0</v>
      </c>
      <c r="Q62" s="122">
        <f>10^-6*F62*INDEX(TotalMarket!$M$26:$W$125,MATCH($A62,$A$11:$A$132,0),MATCH(Q$10,$M$10:$W$10))</f>
        <v>0</v>
      </c>
      <c r="R62" s="122">
        <f>10^-6*G62*INDEX(TotalMarket!$M$26:$W$125,MATCH($A62,$A$11:$A$132,0),MATCH(R$10,$M$10:$W$10))</f>
        <v>0</v>
      </c>
      <c r="S62" s="122">
        <f>10^-6*H62*INDEX(TotalMarket!$M$26:$W$125,MATCH($A62,$A$11:$A$132,0),MATCH(S$10,$M$10:$W$10))</f>
        <v>0</v>
      </c>
      <c r="T62" s="122">
        <f>10^-6*I62*INDEX(TotalMarket!$M$26:$W$125,MATCH($A62,$A$11:$A$132,0),MATCH(T$10,$M$10:$W$10))</f>
        <v>0</v>
      </c>
      <c r="U62" s="122">
        <f>10^-6*J62*INDEX(TotalMarket!$M$26:$W$125,MATCH($A62,$A$11:$A$132,0),MATCH(U$10,$M$10:$W$10))</f>
        <v>0</v>
      </c>
      <c r="V62" s="122">
        <f>10^-6*K62*INDEX(TotalMarket!$M$26:$W$125,MATCH($A62,$A$11:$A$132,0),MATCH(V$10,$M$10:$W$10))</f>
        <v>0</v>
      </c>
      <c r="W62" s="122">
        <f>10^-6*L62*INDEX(TotalMarket!$M$26:$W$125,MATCH($A62,$A$11:$A$132,0),MATCH(W$10,$M$10:$W$10))</f>
        <v>0</v>
      </c>
      <c r="X62" s="1">
        <f>VLOOKUP(A62,Products!$A$29:$F$110,6,FALSE)</f>
        <v>200</v>
      </c>
    </row>
    <row r="63" spans="1:24">
      <c r="A63" s="15" t="s">
        <v>187</v>
      </c>
      <c r="B63" s="8">
        <f xml:space="preserve"> SUMIF(tblGoogleUnits[Products],$A63, tblGoogleUnits[cv_2018]) + SUMIF(tblMetaUnits[Products],$A63, tblMetaUnits[cv_2018]) + SUMIF(tblAmazonUnits[Products],$A63, tblAmazonUnits[cv_2018]) + SUMIF(tblMicrosoftUnits[Products],$A63, tblMicrosoftUnits[cv_2018]) + SUMIF(tblAppleUnits[Products],$A63, tblAppleUnits[cv_2018]) + SUMIF(tblAlibabaUnits[Products],$A63, tblAlibabaUnits[cv_2018]) + SUMIF(tblHuaweiUnits[Products],$A63, tblHuaweiUnits[cv_2018]) + SUMIF(tblTencentUnits[Products],$A63, tblTencentUnits[cv_2018]) + SUMIF(tblBaiduUnits[Products],$A63, tblBaiduUnits[cv_2018]) + SUMIF(tblByteDanceUnits[Products],$A63, tblByteDanceUnits[cv_2018]) + SUMIF(tblCloudAOUnits[Products],$A63, tblCloudAOUnits[cv_2018])</f>
        <v>0</v>
      </c>
      <c r="C63" s="8">
        <f xml:space="preserve"> SUMIF(tblGoogleUnits[Products],$A63, tblGoogleUnits[cv_2019]) + SUMIF(tblMetaUnits[Products],$A63, tblMetaUnits[cv_2019]) + SUMIF(tblAmazonUnits[Products],$A63, tblAmazonUnits[cv_2019]) + SUMIF(tblMicrosoftUnits[Products],$A63, tblMicrosoftUnits[cv_2019]) + SUMIF(tblAppleUnits[Products],$A63, tblAppleUnits[cv_2019]) + SUMIF(tblAlibabaUnits[Products],$A63, tblAlibabaUnits[cv_2019]) + SUMIF(tblHuaweiUnits[Products],$A63, tblHuaweiUnits[cv_2019]) + SUMIF(tblTencentUnits[Products],$A63, tblTencentUnits[cv_2019]) + SUMIF(tblBaiduUnits[Products],$A63, tblBaiduUnits[cv_2019]) + SUMIF(tblByteDanceUnits[Products],$A63, tblByteDanceUnits[cv_2019]) + SUMIF(tblCloudAOUnits[Products],$A63, tblCloudAOUnits[cv_2019])</f>
        <v>0</v>
      </c>
      <c r="D63" s="8">
        <f xml:space="preserve"> SUMIF(tblGoogleUnits[Products],$A63, tblGoogleUnits[cv_2020]) + SUMIF(tblMetaUnits[Products],$A63, tblMetaUnits[cv_2020]) + SUMIF(tblAmazonUnits[Products],$A63, tblAmazonUnits[cv_2020]) + SUMIF(tblMicrosoftUnits[Products],$A63, tblMicrosoftUnits[cv_2020]) + SUMIF(tblAppleUnits[Products],$A63, tblAppleUnits[cv_2020]) + SUMIF(tblAlibabaUnits[Products],$A63, tblAlibabaUnits[cv_2020]) + SUMIF(tblHuaweiUnits[Products],$A63, tblHuaweiUnits[cv_2020]) + SUMIF(tblTencentUnits[Products],$A63, tblTencentUnits[cv_2020]) + SUMIF(tblBaiduUnits[Products],$A63, tblBaiduUnits[cv_2020]) + SUMIF(tblByteDanceUnits[Products],$A63, tblByteDanceUnits[cv_2020]) + SUMIF(tblCloudAOUnits[Products],$A63, tblCloudAOUnits[cv_2020])</f>
        <v>0</v>
      </c>
      <c r="E63" s="8">
        <f xml:space="preserve"> SUMIF(tblGoogleUnits[Products],$A63, tblGoogleUnits[cv_2021]) + SUMIF(tblMetaUnits[Products],$A63, tblMetaUnits[cv_2021]) + SUMIF(tblAmazonUnits[Products],$A63, tblAmazonUnits[cv_2021]) + SUMIF(tblMicrosoftUnits[Products],$A63, tblMicrosoftUnits[cv_2021]) + SUMIF(tblAppleUnits[Products],$A63, tblAppleUnits[cv_2021]) + SUMIF(tblAlibabaUnits[Products],$A63, tblAlibabaUnits[cv_2021]) + SUMIF(tblHuaweiUnits[Products],$A63, tblHuaweiUnits[cv_2021]) + SUMIF(tblTencentUnits[Products],$A63, tblTencentUnits[cv_2021]) + SUMIF(tblBaiduUnits[Products],$A63, tblBaiduUnits[cv_2021]) + SUMIF(tblByteDanceUnits[Products],$A63, tblByteDanceUnits[cv_2021]) + SUMIF(tblCloudAOUnits[Products],$A63, tblCloudAOUnits[cv_2021])</f>
        <v>0</v>
      </c>
      <c r="F63" s="8">
        <f xml:space="preserve"> SUMIF(tblGoogleUnits[Products],$A63, tblGoogleUnits[cv_2022]) + SUMIF(tblMetaUnits[Products],$A63, tblMetaUnits[cv_2022]) + SUMIF(tblAmazonUnits[Products],$A63, tblAmazonUnits[cv_2022]) + SUMIF(tblMicrosoftUnits[Products],$A63, tblMicrosoftUnits[cv_2022]) + SUMIF(tblAppleUnits[Products],$A63, tblAppleUnits[cv_2022]) + SUMIF(tblAlibabaUnits[Products],$A63, tblAlibabaUnits[cv_2022]) + SUMIF(tblHuaweiUnits[Products],$A63, tblHuaweiUnits[cv_2022]) + SUMIF(tblTencentUnits[Products],$A63, tblTencentUnits[cv_2022]) + SUMIF(tblBaiduUnits[Products],$A63, tblBaiduUnits[cv_2022]) + SUMIF(tblByteDanceUnits[Products],$A63, tblByteDanceUnits[cv_2022]) + SUMIF(tblCloudAOUnits[Products],$A63, tblCloudAOUnits[cv_2022])</f>
        <v>0</v>
      </c>
      <c r="G63" s="8">
        <f xml:space="preserve"> SUMIF(tblGoogleUnits[Products],$A63, tblGoogleUnits[cv_2023]) + SUMIF(tblMetaUnits[Products],$A63, tblMetaUnits[cv_2023]) + SUMIF(tblAmazonUnits[Products],$A63, tblAmazonUnits[cv_2023]) + SUMIF(tblMicrosoftUnits[Products],$A63, tblMicrosoftUnits[cv_2023]) + SUMIF(tblAppleUnits[Products],$A63, tblAppleUnits[cv_2023]) + SUMIF(tblAlibabaUnits[Products],$A63, tblAlibabaUnits[cv_2023]) + SUMIF(tblHuaweiUnits[Products],$A63, tblHuaweiUnits[cv_2023]) + SUMIF(tblTencentUnits[Products],$A63, tblTencentUnits[cv_2023]) + SUMIF(tblBaiduUnits[Products],$A63, tblBaiduUnits[cv_2023]) + SUMIF(tblByteDanceUnits[Products],$A63, tblByteDanceUnits[cv_2023]) + SUMIF(tblCloudAOUnits[Products],$A63, tblCloudAOUnits[cv_2023])</f>
        <v>0</v>
      </c>
      <c r="H63" s="8">
        <f xml:space="preserve"> SUMIF(tblGoogleUnits[Products],$A63, tblGoogleUnits[cv_2024]) + SUMIF(tblMetaUnits[Products],$A63, tblMetaUnits[cv_2024]) + SUMIF(tblAmazonUnits[Products],$A63, tblAmazonUnits[cv_2024]) + SUMIF(tblMicrosoftUnits[Products],$A63, tblMicrosoftUnits[cv_2024]) + SUMIF(tblAppleUnits[Products],$A63, tblAppleUnits[cv_2024]) + SUMIF(tblAlibabaUnits[Products],$A63, tblAlibabaUnits[cv_2024]) + SUMIF(tblHuaweiUnits[Products],$A63, tblHuaweiUnits[cv_2024]) + SUMIF(tblTencentUnits[Products],$A63, tblTencentUnits[cv_2024]) + SUMIF(tblBaiduUnits[Products],$A63, tblBaiduUnits[cv_2024]) + SUMIF(tblByteDanceUnits[Products],$A63, tblByteDanceUnits[cv_2024]) + SUMIF(tblCloudAOUnits[Products],$A63, tblCloudAOUnits[cv_2024])</f>
        <v>0</v>
      </c>
      <c r="I63" s="8">
        <f xml:space="preserve"> SUMIF(tblGoogleUnits[Products],$A63, tblGoogleUnits[cv_2025]) + SUMIF(tblMetaUnits[Products],$A63, tblMetaUnits[cv_2025]) + SUMIF(tblAmazonUnits[Products],$A63, tblAmazonUnits[cv_2025]) + SUMIF(tblMicrosoftUnits[Products],$A63, tblMicrosoftUnits[cv_2025]) + SUMIF(tblAppleUnits[Products],$A63, tblAppleUnits[cv_2025]) + SUMIF(tblAlibabaUnits[Products],$A63, tblAlibabaUnits[cv_2025]) + SUMIF(tblHuaweiUnits[Products],$A63, tblHuaweiUnits[cv_2025]) + SUMIF(tblTencentUnits[Products],$A63, tblTencentUnits[cv_2025]) + SUMIF(tblBaiduUnits[Products],$A63, tblBaiduUnits[cv_2025]) + SUMIF(tblByteDanceUnits[Products],$A63, tblByteDanceUnits[cv_2025]) + SUMIF(tblCloudAOUnits[Products],$A63, tblCloudAOUnits[cv_2025])</f>
        <v>0</v>
      </c>
      <c r="J63" s="8">
        <f xml:space="preserve"> SUMIF(tblGoogleUnits[Products],$A63, tblGoogleUnits[cv_2026]) + SUMIF(tblMetaUnits[Products],$A63, tblMetaUnits[cv_2026]) + SUMIF(tblAmazonUnits[Products],$A63, tblAmazonUnits[cv_2026]) + SUMIF(tblMicrosoftUnits[Products],$A63, tblMicrosoftUnits[cv_2026]) + SUMIF(tblAppleUnits[Products],$A63, tblAppleUnits[cv_2026]) + SUMIF(tblAlibabaUnits[Products],$A63, tblAlibabaUnits[cv_2026]) + SUMIF(tblHuaweiUnits[Products],$A63, tblHuaweiUnits[cv_2026]) + SUMIF(tblTencentUnits[Products],$A63, tblTencentUnits[cv_2026]) + SUMIF(tblBaiduUnits[Products],$A63, tblBaiduUnits[cv_2026]) + SUMIF(tblByteDanceUnits[Products],$A63, tblByteDanceUnits[cv_2026]) + SUMIF(tblCloudAOUnits[Products],$A63, tblCloudAOUnits[cv_2026])</f>
        <v>0</v>
      </c>
      <c r="K63" s="8">
        <f xml:space="preserve"> SUMIF(tblGoogleUnits[Products],$A63, tblGoogleUnits[cv_2027]) + SUMIF(tblMetaUnits[Products],$A63, tblMetaUnits[cv_2027]) + SUMIF(tblAmazonUnits[Products],$A63, tblAmazonUnits[cv_2027]) + SUMIF(tblMicrosoftUnits[Products],$A63, tblMicrosoftUnits[cv_2027]) + SUMIF(tblAppleUnits[Products],$A63, tblAppleUnits[cv_2027]) + SUMIF(tblAlibabaUnits[Products],$A63, tblAlibabaUnits[cv_2027]) + SUMIF(tblHuaweiUnits[Products],$A63, tblHuaweiUnits[cv_2027]) + SUMIF(tblTencentUnits[Products],$A63, tblTencentUnits[cv_2027]) + SUMIF(tblBaiduUnits[Products],$A63, tblBaiduUnits[cv_2027]) + SUMIF(tblByteDanceUnits[Products],$A63, tblByteDanceUnits[cv_2027]) + SUMIF(tblCloudAOUnits[Products],$A63, tblCloudAOUnits[cv_2027])</f>
        <v>0</v>
      </c>
      <c r="L63" s="8">
        <f xml:space="preserve"> SUMIF(tblGoogleUnits[Products],$A63, tblGoogleUnits[cv_2028]) + SUMIF(tblMetaUnits[Products],$A63, tblMetaUnits[cv_2028]) + SUMIF(tblAmazonUnits[Products],$A63, tblAmazonUnits[cv_2028]) + SUMIF(tblMicrosoftUnits[Products],$A63, tblMicrosoftUnits[cv_2028]) + SUMIF(tblAppleUnits[Products],$A63, tblAppleUnits[cv_2028]) + SUMIF(tblAlibabaUnits[Products],$A63, tblAlibabaUnits[cv_2028]) + SUMIF(tblHuaweiUnits[Products],$A63, tblHuaweiUnits[cv_2028]) + SUMIF(tblTencentUnits[Products],$A63, tblTencentUnits[cv_2028]) + SUMIF(tblBaiduUnits[Products],$A63, tblBaiduUnits[cv_2028]) + SUMIF(tblByteDanceUnits[Products],$A63, tblByteDanceUnits[cv_2028]) + SUMIF(tblCloudAOUnits[Products],$A63, tblCloudAOUnits[cv_2028])</f>
        <v>0</v>
      </c>
      <c r="M63" s="122">
        <f>10^-6*B63*INDEX(TotalMarket!$M$26:$W$125,MATCH($A63,$A$11:$A$132,0),MATCH(M$10,$M$10:$W$10))</f>
        <v>0</v>
      </c>
      <c r="N63" s="122">
        <f>10^-6*C63*INDEX(TotalMarket!$M$26:$W$125,MATCH($A63,$A$11:$A$132,0),MATCH(N$10,$M$10:$W$10))</f>
        <v>0</v>
      </c>
      <c r="O63" s="122">
        <f>10^-6*D63*INDEX(TotalMarket!$M$26:$W$125,MATCH($A63,$A$11:$A$132,0),MATCH(O$10,$M$10:$W$10))</f>
        <v>0</v>
      </c>
      <c r="P63" s="122">
        <f>10^-6*E63*INDEX(TotalMarket!$M$26:$W$125,MATCH($A63,$A$11:$A$132,0),MATCH(P$10,$M$10:$W$10))</f>
        <v>0</v>
      </c>
      <c r="Q63" s="122">
        <f>10^-6*F63*INDEX(TotalMarket!$M$26:$W$125,MATCH($A63,$A$11:$A$132,0),MATCH(Q$10,$M$10:$W$10))</f>
        <v>0</v>
      </c>
      <c r="R63" s="122">
        <f>10^-6*G63*INDEX(TotalMarket!$M$26:$W$125,MATCH($A63,$A$11:$A$132,0),MATCH(R$10,$M$10:$W$10))</f>
        <v>0</v>
      </c>
      <c r="S63" s="122">
        <f>10^-6*H63*INDEX(TotalMarket!$M$26:$W$125,MATCH($A63,$A$11:$A$132,0),MATCH(S$10,$M$10:$W$10))</f>
        <v>0</v>
      </c>
      <c r="T63" s="122">
        <f>10^-6*I63*INDEX(TotalMarket!$M$26:$W$125,MATCH($A63,$A$11:$A$132,0),MATCH(T$10,$M$10:$W$10))</f>
        <v>0</v>
      </c>
      <c r="U63" s="122">
        <f>10^-6*J63*INDEX(TotalMarket!$M$26:$W$125,MATCH($A63,$A$11:$A$132,0),MATCH(U$10,$M$10:$W$10))</f>
        <v>0</v>
      </c>
      <c r="V63" s="122">
        <f>10^-6*K63*INDEX(TotalMarket!$M$26:$W$125,MATCH($A63,$A$11:$A$132,0),MATCH(V$10,$M$10:$W$10))</f>
        <v>0</v>
      </c>
      <c r="W63" s="122">
        <f>10^-6*L63*INDEX(TotalMarket!$M$26:$W$125,MATCH($A63,$A$11:$A$132,0),MATCH(W$10,$M$10:$W$10))</f>
        <v>0</v>
      </c>
      <c r="X63" s="1">
        <f>VLOOKUP(A63,Products!$A$29:$F$110,6,FALSE)</f>
        <v>200</v>
      </c>
    </row>
    <row r="64" spans="1:24">
      <c r="A64" s="15" t="s">
        <v>41</v>
      </c>
      <c r="B64" s="8">
        <f xml:space="preserve"> SUMIF(tblGoogleUnits[Products],$A64, tblGoogleUnits[cv_2018]) + SUMIF(tblMetaUnits[Products],$A64, tblMetaUnits[cv_2018]) + SUMIF(tblAmazonUnits[Products],$A64, tblAmazonUnits[cv_2018]) + SUMIF(tblMicrosoftUnits[Products],$A64, tblMicrosoftUnits[cv_2018]) + SUMIF(tblAppleUnits[Products],$A64, tblAppleUnits[cv_2018]) + SUMIF(tblAlibabaUnits[Products],$A64, tblAlibabaUnits[cv_2018]) + SUMIF(tblHuaweiUnits[Products],$A64, tblHuaweiUnits[cv_2018]) + SUMIF(tblTencentUnits[Products],$A64, tblTencentUnits[cv_2018]) + SUMIF(tblBaiduUnits[Products],$A64, tblBaiduUnits[cv_2018]) + SUMIF(tblByteDanceUnits[Products],$A64, tblByteDanceUnits[cv_2018]) + SUMIF(tblCloudAOUnits[Products],$A64, tblCloudAOUnits[cv_2018])</f>
        <v>500</v>
      </c>
      <c r="C64" s="8">
        <f xml:space="preserve"> SUMIF(tblGoogleUnits[Products],$A64, tblGoogleUnits[cv_2019]) + SUMIF(tblMetaUnits[Products],$A64, tblMetaUnits[cv_2019]) + SUMIF(tblAmazonUnits[Products],$A64, tblAmazonUnits[cv_2019]) + SUMIF(tblMicrosoftUnits[Products],$A64, tblMicrosoftUnits[cv_2019]) + SUMIF(tblAppleUnits[Products],$A64, tblAppleUnits[cv_2019]) + SUMIF(tblAlibabaUnits[Products],$A64, tblAlibabaUnits[cv_2019]) + SUMIF(tblHuaweiUnits[Products],$A64, tblHuaweiUnits[cv_2019]) + SUMIF(tblTencentUnits[Products],$A64, tblTencentUnits[cv_2019]) + SUMIF(tblBaiduUnits[Products],$A64, tblBaiduUnits[cv_2019]) + SUMIF(tblByteDanceUnits[Products],$A64, tblByteDanceUnits[cv_2019]) + SUMIF(tblCloudAOUnits[Products],$A64, tblCloudAOUnits[cv_2019])</f>
        <v>6072</v>
      </c>
      <c r="D64" s="8">
        <f xml:space="preserve"> SUMIF(tblGoogleUnits[Products],$A64, tblGoogleUnits[cv_2020]) + SUMIF(tblMetaUnits[Products],$A64, tblMetaUnits[cv_2020]) + SUMIF(tblAmazonUnits[Products],$A64, tblAmazonUnits[cv_2020]) + SUMIF(tblMicrosoftUnits[Products],$A64, tblMicrosoftUnits[cv_2020]) + SUMIF(tblAppleUnits[Products],$A64, tblAppleUnits[cv_2020]) + SUMIF(tblAlibabaUnits[Products],$A64, tblAlibabaUnits[cv_2020]) + SUMIF(tblHuaweiUnits[Products],$A64, tblHuaweiUnits[cv_2020]) + SUMIF(tblTencentUnits[Products],$A64, tblTencentUnits[cv_2020]) + SUMIF(tblBaiduUnits[Products],$A64, tblBaiduUnits[cv_2020]) + SUMIF(tblByteDanceUnits[Products],$A64, tblByteDanceUnits[cv_2020]) + SUMIF(tblCloudAOUnits[Products],$A64, tblCloudAOUnits[cv_2020])</f>
        <v>0</v>
      </c>
      <c r="E64" s="8">
        <f xml:space="preserve"> SUMIF(tblGoogleUnits[Products],$A64, tblGoogleUnits[cv_2021]) + SUMIF(tblMetaUnits[Products],$A64, tblMetaUnits[cv_2021]) + SUMIF(tblAmazonUnits[Products],$A64, tblAmazonUnits[cv_2021]) + SUMIF(tblMicrosoftUnits[Products],$A64, tblMicrosoftUnits[cv_2021]) + SUMIF(tblAppleUnits[Products],$A64, tblAppleUnits[cv_2021]) + SUMIF(tblAlibabaUnits[Products],$A64, tblAlibabaUnits[cv_2021]) + SUMIF(tblHuaweiUnits[Products],$A64, tblHuaweiUnits[cv_2021]) + SUMIF(tblTencentUnits[Products],$A64, tblTencentUnits[cv_2021]) + SUMIF(tblBaiduUnits[Products],$A64, tblBaiduUnits[cv_2021]) + SUMIF(tblByteDanceUnits[Products],$A64, tblByteDanceUnits[cv_2021]) + SUMIF(tblCloudAOUnits[Products],$A64, tblCloudAOUnits[cv_2021])</f>
        <v>0</v>
      </c>
      <c r="F64" s="8">
        <f xml:space="preserve"> SUMIF(tblGoogleUnits[Products],$A64, tblGoogleUnits[cv_2022]) + SUMIF(tblMetaUnits[Products],$A64, tblMetaUnits[cv_2022]) + SUMIF(tblAmazonUnits[Products],$A64, tblAmazonUnits[cv_2022]) + SUMIF(tblMicrosoftUnits[Products],$A64, tblMicrosoftUnits[cv_2022]) + SUMIF(tblAppleUnits[Products],$A64, tblAppleUnits[cv_2022]) + SUMIF(tblAlibabaUnits[Products],$A64, tblAlibabaUnits[cv_2022]) + SUMIF(tblHuaweiUnits[Products],$A64, tblHuaweiUnits[cv_2022]) + SUMIF(tblTencentUnits[Products],$A64, tblTencentUnits[cv_2022]) + SUMIF(tblBaiduUnits[Products],$A64, tblBaiduUnits[cv_2022]) + SUMIF(tblByteDanceUnits[Products],$A64, tblByteDanceUnits[cv_2022]) + SUMIF(tblCloudAOUnits[Products],$A64, tblCloudAOUnits[cv_2022])</f>
        <v>0</v>
      </c>
      <c r="G64" s="8">
        <f xml:space="preserve"> SUMIF(tblGoogleUnits[Products],$A64, tblGoogleUnits[cv_2023]) + SUMIF(tblMetaUnits[Products],$A64, tblMetaUnits[cv_2023]) + SUMIF(tblAmazonUnits[Products],$A64, tblAmazonUnits[cv_2023]) + SUMIF(tblMicrosoftUnits[Products],$A64, tblMicrosoftUnits[cv_2023]) + SUMIF(tblAppleUnits[Products],$A64, tblAppleUnits[cv_2023]) + SUMIF(tblAlibabaUnits[Products],$A64, tblAlibabaUnits[cv_2023]) + SUMIF(tblHuaweiUnits[Products],$A64, tblHuaweiUnits[cv_2023]) + SUMIF(tblTencentUnits[Products],$A64, tblTencentUnits[cv_2023]) + SUMIF(tblBaiduUnits[Products],$A64, tblBaiduUnits[cv_2023]) + SUMIF(tblByteDanceUnits[Products],$A64, tblByteDanceUnits[cv_2023]) + SUMIF(tblCloudAOUnits[Products],$A64, tblCloudAOUnits[cv_2023])</f>
        <v>0</v>
      </c>
      <c r="H64" s="8">
        <f xml:space="preserve"> SUMIF(tblGoogleUnits[Products],$A64, tblGoogleUnits[cv_2024]) + SUMIF(tblMetaUnits[Products],$A64, tblMetaUnits[cv_2024]) + SUMIF(tblAmazonUnits[Products],$A64, tblAmazonUnits[cv_2024]) + SUMIF(tblMicrosoftUnits[Products],$A64, tblMicrosoftUnits[cv_2024]) + SUMIF(tblAppleUnits[Products],$A64, tblAppleUnits[cv_2024]) + SUMIF(tblAlibabaUnits[Products],$A64, tblAlibabaUnits[cv_2024]) + SUMIF(tblHuaweiUnits[Products],$A64, tblHuaweiUnits[cv_2024]) + SUMIF(tblTencentUnits[Products],$A64, tblTencentUnits[cv_2024]) + SUMIF(tblBaiduUnits[Products],$A64, tblBaiduUnits[cv_2024]) + SUMIF(tblByteDanceUnits[Products],$A64, tblByteDanceUnits[cv_2024]) + SUMIF(tblCloudAOUnits[Products],$A64, tblCloudAOUnits[cv_2024])</f>
        <v>0</v>
      </c>
      <c r="I64" s="8">
        <f xml:space="preserve"> SUMIF(tblGoogleUnits[Products],$A64, tblGoogleUnits[cv_2025]) + SUMIF(tblMetaUnits[Products],$A64, tblMetaUnits[cv_2025]) + SUMIF(tblAmazonUnits[Products],$A64, tblAmazonUnits[cv_2025]) + SUMIF(tblMicrosoftUnits[Products],$A64, tblMicrosoftUnits[cv_2025]) + SUMIF(tblAppleUnits[Products],$A64, tblAppleUnits[cv_2025]) + SUMIF(tblAlibabaUnits[Products],$A64, tblAlibabaUnits[cv_2025]) + SUMIF(tblHuaweiUnits[Products],$A64, tblHuaweiUnits[cv_2025]) + SUMIF(tblTencentUnits[Products],$A64, tblTencentUnits[cv_2025]) + SUMIF(tblBaiduUnits[Products],$A64, tblBaiduUnits[cv_2025]) + SUMIF(tblByteDanceUnits[Products],$A64, tblByteDanceUnits[cv_2025]) + SUMIF(tblCloudAOUnits[Products],$A64, tblCloudAOUnits[cv_2025])</f>
        <v>0</v>
      </c>
      <c r="J64" s="8">
        <f xml:space="preserve"> SUMIF(tblGoogleUnits[Products],$A64, tblGoogleUnits[cv_2026]) + SUMIF(tblMetaUnits[Products],$A64, tblMetaUnits[cv_2026]) + SUMIF(tblAmazonUnits[Products],$A64, tblAmazonUnits[cv_2026]) + SUMIF(tblMicrosoftUnits[Products],$A64, tblMicrosoftUnits[cv_2026]) + SUMIF(tblAppleUnits[Products],$A64, tblAppleUnits[cv_2026]) + SUMIF(tblAlibabaUnits[Products],$A64, tblAlibabaUnits[cv_2026]) + SUMIF(tblHuaweiUnits[Products],$A64, tblHuaweiUnits[cv_2026]) + SUMIF(tblTencentUnits[Products],$A64, tblTencentUnits[cv_2026]) + SUMIF(tblBaiduUnits[Products],$A64, tblBaiduUnits[cv_2026]) + SUMIF(tblByteDanceUnits[Products],$A64, tblByteDanceUnits[cv_2026]) + SUMIF(tblCloudAOUnits[Products],$A64, tblCloudAOUnits[cv_2026])</f>
        <v>0</v>
      </c>
      <c r="K64" s="8">
        <f xml:space="preserve"> SUMIF(tblGoogleUnits[Products],$A64, tblGoogleUnits[cv_2027]) + SUMIF(tblMetaUnits[Products],$A64, tblMetaUnits[cv_2027]) + SUMIF(tblAmazonUnits[Products],$A64, tblAmazonUnits[cv_2027]) + SUMIF(tblMicrosoftUnits[Products],$A64, tblMicrosoftUnits[cv_2027]) + SUMIF(tblAppleUnits[Products],$A64, tblAppleUnits[cv_2027]) + SUMIF(tblAlibabaUnits[Products],$A64, tblAlibabaUnits[cv_2027]) + SUMIF(tblHuaweiUnits[Products],$A64, tblHuaweiUnits[cv_2027]) + SUMIF(tblTencentUnits[Products],$A64, tblTencentUnits[cv_2027]) + SUMIF(tblBaiduUnits[Products],$A64, tblBaiduUnits[cv_2027]) + SUMIF(tblByteDanceUnits[Products],$A64, tblByteDanceUnits[cv_2027]) + SUMIF(tblCloudAOUnits[Products],$A64, tblCloudAOUnits[cv_2027])</f>
        <v>0</v>
      </c>
      <c r="L64" s="8">
        <f xml:space="preserve"> SUMIF(tblGoogleUnits[Products],$A64, tblGoogleUnits[cv_2028]) + SUMIF(tblMetaUnits[Products],$A64, tblMetaUnits[cv_2028]) + SUMIF(tblAmazonUnits[Products],$A64, tblAmazonUnits[cv_2028]) + SUMIF(tblMicrosoftUnits[Products],$A64, tblMicrosoftUnits[cv_2028]) + SUMIF(tblAppleUnits[Products],$A64, tblAppleUnits[cv_2028]) + SUMIF(tblAlibabaUnits[Products],$A64, tblAlibabaUnits[cv_2028]) + SUMIF(tblHuaweiUnits[Products],$A64, tblHuaweiUnits[cv_2028]) + SUMIF(tblTencentUnits[Products],$A64, tblTencentUnits[cv_2028]) + SUMIF(tblBaiduUnits[Products],$A64, tblBaiduUnits[cv_2028]) + SUMIF(tblByteDanceUnits[Products],$A64, tblByteDanceUnits[cv_2028]) + SUMIF(tblCloudAOUnits[Products],$A64, tblCloudAOUnits[cv_2028])</f>
        <v>0</v>
      </c>
      <c r="M64" s="122">
        <f>10^-6*B64*INDEX(TotalMarket!$M$26:$W$125,MATCH($A64,$A$11:$A$132,0),MATCH(M$10,$M$10:$W$10))</f>
        <v>0.75</v>
      </c>
      <c r="N64" s="122">
        <f>10^-6*C64*INDEX(TotalMarket!$M$26:$W$125,MATCH($A64,$A$11:$A$132,0),MATCH(N$10,$M$10:$W$10))</f>
        <v>3.0945</v>
      </c>
      <c r="O64" s="122">
        <f>10^-6*D64*INDEX(TotalMarket!$M$26:$W$125,MATCH($A64,$A$11:$A$132,0),MATCH(O$10,$M$10:$W$10))</f>
        <v>0</v>
      </c>
      <c r="P64" s="122">
        <f>10^-6*E64*INDEX(TotalMarket!$M$26:$W$125,MATCH($A64,$A$11:$A$132,0),MATCH(P$10,$M$10:$W$10))</f>
        <v>0</v>
      </c>
      <c r="Q64" s="122">
        <f>10^-6*F64*INDEX(TotalMarket!$M$26:$W$125,MATCH($A64,$A$11:$A$132,0),MATCH(Q$10,$M$10:$W$10))</f>
        <v>0</v>
      </c>
      <c r="R64" s="122">
        <f>10^-6*G64*INDEX(TotalMarket!$M$26:$W$125,MATCH($A64,$A$11:$A$132,0),MATCH(R$10,$M$10:$W$10))</f>
        <v>0</v>
      </c>
      <c r="S64" s="122">
        <f>10^-6*H64*INDEX(TotalMarket!$M$26:$W$125,MATCH($A64,$A$11:$A$132,0),MATCH(S$10,$M$10:$W$10))</f>
        <v>0</v>
      </c>
      <c r="T64" s="122">
        <f>10^-6*I64*INDEX(TotalMarket!$M$26:$W$125,MATCH($A64,$A$11:$A$132,0),MATCH(T$10,$M$10:$W$10))</f>
        <v>0</v>
      </c>
      <c r="U64" s="122">
        <f>10^-6*J64*INDEX(TotalMarket!$M$26:$W$125,MATCH($A64,$A$11:$A$132,0),MATCH(U$10,$M$10:$W$10))</f>
        <v>0</v>
      </c>
      <c r="V64" s="122">
        <f>10^-6*K64*INDEX(TotalMarket!$M$26:$W$125,MATCH($A64,$A$11:$A$132,0),MATCH(V$10,$M$10:$W$10))</f>
        <v>0</v>
      </c>
      <c r="W64" s="122">
        <f>10^-6*L64*INDEX(TotalMarket!$M$26:$W$125,MATCH($A64,$A$11:$A$132,0),MATCH(W$10,$M$10:$W$10))</f>
        <v>0</v>
      </c>
      <c r="X64" s="1">
        <f>VLOOKUP(A64,Products!$A$29:$F$110,6,FALSE)</f>
        <v>200</v>
      </c>
    </row>
    <row r="65" spans="1:24">
      <c r="A65" s="15" t="s">
        <v>188</v>
      </c>
      <c r="B65" s="8">
        <f xml:space="preserve"> SUMIF(tblGoogleUnits[Products],$A65, tblGoogleUnits[cv_2018]) + SUMIF(tblMetaUnits[Products],$A65, tblMetaUnits[cv_2018]) + SUMIF(tblAmazonUnits[Products],$A65, tblAmazonUnits[cv_2018]) + SUMIF(tblMicrosoftUnits[Products],$A65, tblMicrosoftUnits[cv_2018]) + SUMIF(tblAppleUnits[Products],$A65, tblAppleUnits[cv_2018]) + SUMIF(tblAlibabaUnits[Products],$A65, tblAlibabaUnits[cv_2018]) + SUMIF(tblHuaweiUnits[Products],$A65, tblHuaweiUnits[cv_2018]) + SUMIF(tblTencentUnits[Products],$A65, tblTencentUnits[cv_2018]) + SUMIF(tblBaiduUnits[Products],$A65, tblBaiduUnits[cv_2018]) + SUMIF(tblByteDanceUnits[Products],$A65, tblByteDanceUnits[cv_2018]) + SUMIF(tblCloudAOUnits[Products],$A65, tblCloudAOUnits[cv_2018])</f>
        <v>0</v>
      </c>
      <c r="C65" s="8">
        <f xml:space="preserve"> SUMIF(tblGoogleUnits[Products],$A65, tblGoogleUnits[cv_2019]) + SUMIF(tblMetaUnits[Products],$A65, tblMetaUnits[cv_2019]) + SUMIF(tblAmazonUnits[Products],$A65, tblAmazonUnits[cv_2019]) + SUMIF(tblMicrosoftUnits[Products],$A65, tblMicrosoftUnits[cv_2019]) + SUMIF(tblAppleUnits[Products],$A65, tblAppleUnits[cv_2019]) + SUMIF(tblAlibabaUnits[Products],$A65, tblAlibabaUnits[cv_2019]) + SUMIF(tblHuaweiUnits[Products],$A65, tblHuaweiUnits[cv_2019]) + SUMIF(tblTencentUnits[Products],$A65, tblTencentUnits[cv_2019]) + SUMIF(tblBaiduUnits[Products],$A65, tblBaiduUnits[cv_2019]) + SUMIF(tblByteDanceUnits[Products],$A65, tblByteDanceUnits[cv_2019]) + SUMIF(tblCloudAOUnits[Products],$A65, tblCloudAOUnits[cv_2019])</f>
        <v>0</v>
      </c>
      <c r="D65" s="8">
        <f xml:space="preserve"> SUMIF(tblGoogleUnits[Products],$A65, tblGoogleUnits[cv_2020]) + SUMIF(tblMetaUnits[Products],$A65, tblMetaUnits[cv_2020]) + SUMIF(tblAmazonUnits[Products],$A65, tblAmazonUnits[cv_2020]) + SUMIF(tblMicrosoftUnits[Products],$A65, tblMicrosoftUnits[cv_2020]) + SUMIF(tblAppleUnits[Products],$A65, tblAppleUnits[cv_2020]) + SUMIF(tblAlibabaUnits[Products],$A65, tblAlibabaUnits[cv_2020]) + SUMIF(tblHuaweiUnits[Products],$A65, tblHuaweiUnits[cv_2020]) + SUMIF(tblTencentUnits[Products],$A65, tblTencentUnits[cv_2020]) + SUMIF(tblBaiduUnits[Products],$A65, tblBaiduUnits[cv_2020]) + SUMIF(tblByteDanceUnits[Products],$A65, tblByteDanceUnits[cv_2020]) + SUMIF(tblCloudAOUnits[Products],$A65, tblCloudAOUnits[cv_2020])</f>
        <v>0</v>
      </c>
      <c r="E65" s="8">
        <f xml:space="preserve"> SUMIF(tblGoogleUnits[Products],$A65, tblGoogleUnits[cv_2021]) + SUMIF(tblMetaUnits[Products],$A65, tblMetaUnits[cv_2021]) + SUMIF(tblAmazonUnits[Products],$A65, tblAmazonUnits[cv_2021]) + SUMIF(tblMicrosoftUnits[Products],$A65, tblMicrosoftUnits[cv_2021]) + SUMIF(tblAppleUnits[Products],$A65, tblAppleUnits[cv_2021]) + SUMIF(tblAlibabaUnits[Products],$A65, tblAlibabaUnits[cv_2021]) + SUMIF(tblHuaweiUnits[Products],$A65, tblHuaweiUnits[cv_2021]) + SUMIF(tblTencentUnits[Products],$A65, tblTencentUnits[cv_2021]) + SUMIF(tblBaiduUnits[Products],$A65, tblBaiduUnits[cv_2021]) + SUMIF(tblByteDanceUnits[Products],$A65, tblByteDanceUnits[cv_2021]) + SUMIF(tblCloudAOUnits[Products],$A65, tblCloudAOUnits[cv_2021])</f>
        <v>0</v>
      </c>
      <c r="F65" s="8">
        <f xml:space="preserve"> SUMIF(tblGoogleUnits[Products],$A65, tblGoogleUnits[cv_2022]) + SUMIF(tblMetaUnits[Products],$A65, tblMetaUnits[cv_2022]) + SUMIF(tblAmazonUnits[Products],$A65, tblAmazonUnits[cv_2022]) + SUMIF(tblMicrosoftUnits[Products],$A65, tblMicrosoftUnits[cv_2022]) + SUMIF(tblAppleUnits[Products],$A65, tblAppleUnits[cv_2022]) + SUMIF(tblAlibabaUnits[Products],$A65, tblAlibabaUnits[cv_2022]) + SUMIF(tblHuaweiUnits[Products],$A65, tblHuaweiUnits[cv_2022]) + SUMIF(tblTencentUnits[Products],$A65, tblTencentUnits[cv_2022]) + SUMIF(tblBaiduUnits[Products],$A65, tblBaiduUnits[cv_2022]) + SUMIF(tblByteDanceUnits[Products],$A65, tblByteDanceUnits[cv_2022]) + SUMIF(tblCloudAOUnits[Products],$A65, tblCloudAOUnits[cv_2022])</f>
        <v>0</v>
      </c>
      <c r="G65" s="8">
        <f xml:space="preserve"> SUMIF(tblGoogleUnits[Products],$A65, tblGoogleUnits[cv_2023]) + SUMIF(tblMetaUnits[Products],$A65, tblMetaUnits[cv_2023]) + SUMIF(tblAmazonUnits[Products],$A65, tblAmazonUnits[cv_2023]) + SUMIF(tblMicrosoftUnits[Products],$A65, tblMicrosoftUnits[cv_2023]) + SUMIF(tblAppleUnits[Products],$A65, tblAppleUnits[cv_2023]) + SUMIF(tblAlibabaUnits[Products],$A65, tblAlibabaUnits[cv_2023]) + SUMIF(tblHuaweiUnits[Products],$A65, tblHuaweiUnits[cv_2023]) + SUMIF(tblTencentUnits[Products],$A65, tblTencentUnits[cv_2023]) + SUMIF(tblBaiduUnits[Products],$A65, tblBaiduUnits[cv_2023]) + SUMIF(tblByteDanceUnits[Products],$A65, tblByteDanceUnits[cv_2023]) + SUMIF(tblCloudAOUnits[Products],$A65, tblCloudAOUnits[cv_2023])</f>
        <v>0</v>
      </c>
      <c r="H65" s="8">
        <f xml:space="preserve"> SUMIF(tblGoogleUnits[Products],$A65, tblGoogleUnits[cv_2024]) + SUMIF(tblMetaUnits[Products],$A65, tblMetaUnits[cv_2024]) + SUMIF(tblAmazonUnits[Products],$A65, tblAmazonUnits[cv_2024]) + SUMIF(tblMicrosoftUnits[Products],$A65, tblMicrosoftUnits[cv_2024]) + SUMIF(tblAppleUnits[Products],$A65, tblAppleUnits[cv_2024]) + SUMIF(tblAlibabaUnits[Products],$A65, tblAlibabaUnits[cv_2024]) + SUMIF(tblHuaweiUnits[Products],$A65, tblHuaweiUnits[cv_2024]) + SUMIF(tblTencentUnits[Products],$A65, tblTencentUnits[cv_2024]) + SUMIF(tblBaiduUnits[Products],$A65, tblBaiduUnits[cv_2024]) + SUMIF(tblByteDanceUnits[Products],$A65, tblByteDanceUnits[cv_2024]) + SUMIF(tblCloudAOUnits[Products],$A65, tblCloudAOUnits[cv_2024])</f>
        <v>0</v>
      </c>
      <c r="I65" s="8">
        <f xml:space="preserve"> SUMIF(tblGoogleUnits[Products],$A65, tblGoogleUnits[cv_2025]) + SUMIF(tblMetaUnits[Products],$A65, tblMetaUnits[cv_2025]) + SUMIF(tblAmazonUnits[Products],$A65, tblAmazonUnits[cv_2025]) + SUMIF(tblMicrosoftUnits[Products],$A65, tblMicrosoftUnits[cv_2025]) + SUMIF(tblAppleUnits[Products],$A65, tblAppleUnits[cv_2025]) + SUMIF(tblAlibabaUnits[Products],$A65, tblAlibabaUnits[cv_2025]) + SUMIF(tblHuaweiUnits[Products],$A65, tblHuaweiUnits[cv_2025]) + SUMIF(tblTencentUnits[Products],$A65, tblTencentUnits[cv_2025]) + SUMIF(tblBaiduUnits[Products],$A65, tblBaiduUnits[cv_2025]) + SUMIF(tblByteDanceUnits[Products],$A65, tblByteDanceUnits[cv_2025]) + SUMIF(tblCloudAOUnits[Products],$A65, tblCloudAOUnits[cv_2025])</f>
        <v>0</v>
      </c>
      <c r="J65" s="8">
        <f xml:space="preserve"> SUMIF(tblGoogleUnits[Products],$A65, tblGoogleUnits[cv_2026]) + SUMIF(tblMetaUnits[Products],$A65, tblMetaUnits[cv_2026]) + SUMIF(tblAmazonUnits[Products],$A65, tblAmazonUnits[cv_2026]) + SUMIF(tblMicrosoftUnits[Products],$A65, tblMicrosoftUnits[cv_2026]) + SUMIF(tblAppleUnits[Products],$A65, tblAppleUnits[cv_2026]) + SUMIF(tblAlibabaUnits[Products],$A65, tblAlibabaUnits[cv_2026]) + SUMIF(tblHuaweiUnits[Products],$A65, tblHuaweiUnits[cv_2026]) + SUMIF(tblTencentUnits[Products],$A65, tblTencentUnits[cv_2026]) + SUMIF(tblBaiduUnits[Products],$A65, tblBaiduUnits[cv_2026]) + SUMIF(tblByteDanceUnits[Products],$A65, tblByteDanceUnits[cv_2026]) + SUMIF(tblCloudAOUnits[Products],$A65, tblCloudAOUnits[cv_2026])</f>
        <v>0</v>
      </c>
      <c r="K65" s="8">
        <f xml:space="preserve"> SUMIF(tblGoogleUnits[Products],$A65, tblGoogleUnits[cv_2027]) + SUMIF(tblMetaUnits[Products],$A65, tblMetaUnits[cv_2027]) + SUMIF(tblAmazonUnits[Products],$A65, tblAmazonUnits[cv_2027]) + SUMIF(tblMicrosoftUnits[Products],$A65, tblMicrosoftUnits[cv_2027]) + SUMIF(tblAppleUnits[Products],$A65, tblAppleUnits[cv_2027]) + SUMIF(tblAlibabaUnits[Products],$A65, tblAlibabaUnits[cv_2027]) + SUMIF(tblHuaweiUnits[Products],$A65, tblHuaweiUnits[cv_2027]) + SUMIF(tblTencentUnits[Products],$A65, tblTencentUnits[cv_2027]) + SUMIF(tblBaiduUnits[Products],$A65, tblBaiduUnits[cv_2027]) + SUMIF(tblByteDanceUnits[Products],$A65, tblByteDanceUnits[cv_2027]) + SUMIF(tblCloudAOUnits[Products],$A65, tblCloudAOUnits[cv_2027])</f>
        <v>0</v>
      </c>
      <c r="L65" s="8">
        <f xml:space="preserve"> SUMIF(tblGoogleUnits[Products],$A65, tblGoogleUnits[cv_2028]) + SUMIF(tblMetaUnits[Products],$A65, tblMetaUnits[cv_2028]) + SUMIF(tblAmazonUnits[Products],$A65, tblAmazonUnits[cv_2028]) + SUMIF(tblMicrosoftUnits[Products],$A65, tblMicrosoftUnits[cv_2028]) + SUMIF(tblAppleUnits[Products],$A65, tblAppleUnits[cv_2028]) + SUMIF(tblAlibabaUnits[Products],$A65, tblAlibabaUnits[cv_2028]) + SUMIF(tblHuaweiUnits[Products],$A65, tblHuaweiUnits[cv_2028]) + SUMIF(tblTencentUnits[Products],$A65, tblTencentUnits[cv_2028]) + SUMIF(tblBaiduUnits[Products],$A65, tblBaiduUnits[cv_2028]) + SUMIF(tblByteDanceUnits[Products],$A65, tblByteDanceUnits[cv_2028]) + SUMIF(tblCloudAOUnits[Products],$A65, tblCloudAOUnits[cv_2028])</f>
        <v>0</v>
      </c>
      <c r="M65" s="122">
        <f>10^-6*B65*INDEX(TotalMarket!$M$26:$W$125,MATCH($A65,$A$11:$A$132,0),MATCH(M$10,$M$10:$W$10))</f>
        <v>0</v>
      </c>
      <c r="N65" s="122">
        <f>10^-6*C65*INDEX(TotalMarket!$M$26:$W$125,MATCH($A65,$A$11:$A$132,0),MATCH(N$10,$M$10:$W$10))</f>
        <v>0</v>
      </c>
      <c r="O65" s="122">
        <f>10^-6*D65*INDEX(TotalMarket!$M$26:$W$125,MATCH($A65,$A$11:$A$132,0),MATCH(O$10,$M$10:$W$10))</f>
        <v>0</v>
      </c>
      <c r="P65" s="122">
        <f>10^-6*E65*INDEX(TotalMarket!$M$26:$W$125,MATCH($A65,$A$11:$A$132,0),MATCH(P$10,$M$10:$W$10))</f>
        <v>0</v>
      </c>
      <c r="Q65" s="122">
        <f>10^-6*F65*INDEX(TotalMarket!$M$26:$W$125,MATCH($A65,$A$11:$A$132,0),MATCH(Q$10,$M$10:$W$10))</f>
        <v>0</v>
      </c>
      <c r="R65" s="122">
        <f>10^-6*G65*INDEX(TotalMarket!$M$26:$W$125,MATCH($A65,$A$11:$A$132,0),MATCH(R$10,$M$10:$W$10))</f>
        <v>0</v>
      </c>
      <c r="S65" s="122">
        <f>10^-6*H65*INDEX(TotalMarket!$M$26:$W$125,MATCH($A65,$A$11:$A$132,0),MATCH(S$10,$M$10:$W$10))</f>
        <v>0</v>
      </c>
      <c r="T65" s="122">
        <f>10^-6*I65*INDEX(TotalMarket!$M$26:$W$125,MATCH($A65,$A$11:$A$132,0),MATCH(T$10,$M$10:$W$10))</f>
        <v>0</v>
      </c>
      <c r="U65" s="122">
        <f>10^-6*J65*INDEX(TotalMarket!$M$26:$W$125,MATCH($A65,$A$11:$A$132,0),MATCH(U$10,$M$10:$W$10))</f>
        <v>0</v>
      </c>
      <c r="V65" s="122">
        <f>10^-6*K65*INDEX(TotalMarket!$M$26:$W$125,MATCH($A65,$A$11:$A$132,0),MATCH(V$10,$M$10:$W$10))</f>
        <v>0</v>
      </c>
      <c r="W65" s="122">
        <f>10^-6*L65*INDEX(TotalMarket!$M$26:$W$125,MATCH($A65,$A$11:$A$132,0),MATCH(W$10,$M$10:$W$10))</f>
        <v>0</v>
      </c>
      <c r="X65" s="1">
        <f>VLOOKUP(A65,Products!$A$29:$F$110,6,FALSE)</f>
        <v>200</v>
      </c>
    </row>
    <row r="66" spans="1:24">
      <c r="A66" s="15" t="s">
        <v>189</v>
      </c>
      <c r="B66" s="8">
        <f xml:space="preserve"> SUMIF(tblGoogleUnits[Products],$A66, tblGoogleUnits[cv_2018]) + SUMIF(tblMetaUnits[Products],$A66, tblMetaUnits[cv_2018]) + SUMIF(tblAmazonUnits[Products],$A66, tblAmazonUnits[cv_2018]) + SUMIF(tblMicrosoftUnits[Products],$A66, tblMicrosoftUnits[cv_2018]) + SUMIF(tblAppleUnits[Products],$A66, tblAppleUnits[cv_2018]) + SUMIF(tblAlibabaUnits[Products],$A66, tblAlibabaUnits[cv_2018]) + SUMIF(tblHuaweiUnits[Products],$A66, tblHuaweiUnits[cv_2018]) + SUMIF(tblTencentUnits[Products],$A66, tblTencentUnits[cv_2018]) + SUMIF(tblBaiduUnits[Products],$A66, tblBaiduUnits[cv_2018]) + SUMIF(tblByteDanceUnits[Products],$A66, tblByteDanceUnits[cv_2018]) + SUMIF(tblCloudAOUnits[Products],$A66, tblCloudAOUnits[cv_2018])</f>
        <v>0</v>
      </c>
      <c r="C66" s="8">
        <f xml:space="preserve"> SUMIF(tblGoogleUnits[Products],$A66, tblGoogleUnits[cv_2019]) + SUMIF(tblMetaUnits[Products],$A66, tblMetaUnits[cv_2019]) + SUMIF(tblAmazonUnits[Products],$A66, tblAmazonUnits[cv_2019]) + SUMIF(tblMicrosoftUnits[Products],$A66, tblMicrosoftUnits[cv_2019]) + SUMIF(tblAppleUnits[Products],$A66, tblAppleUnits[cv_2019]) + SUMIF(tblAlibabaUnits[Products],$A66, tblAlibabaUnits[cv_2019]) + SUMIF(tblHuaweiUnits[Products],$A66, tblHuaweiUnits[cv_2019]) + SUMIF(tblTencentUnits[Products],$A66, tblTencentUnits[cv_2019]) + SUMIF(tblBaiduUnits[Products],$A66, tblBaiduUnits[cv_2019]) + SUMIF(tblByteDanceUnits[Products],$A66, tblByteDanceUnits[cv_2019]) + SUMIF(tblCloudAOUnits[Products],$A66, tblCloudAOUnits[cv_2019])</f>
        <v>0</v>
      </c>
      <c r="D66" s="8">
        <f xml:space="preserve"> SUMIF(tblGoogleUnits[Products],$A66, tblGoogleUnits[cv_2020]) + SUMIF(tblMetaUnits[Products],$A66, tblMetaUnits[cv_2020]) + SUMIF(tblAmazonUnits[Products],$A66, tblAmazonUnits[cv_2020]) + SUMIF(tblMicrosoftUnits[Products],$A66, tblMicrosoftUnits[cv_2020]) + SUMIF(tblAppleUnits[Products],$A66, tblAppleUnits[cv_2020]) + SUMIF(tblAlibabaUnits[Products],$A66, tblAlibabaUnits[cv_2020]) + SUMIF(tblHuaweiUnits[Products],$A66, tblHuaweiUnits[cv_2020]) + SUMIF(tblTencentUnits[Products],$A66, tblTencentUnits[cv_2020]) + SUMIF(tblBaiduUnits[Products],$A66, tblBaiduUnits[cv_2020]) + SUMIF(tblByteDanceUnits[Products],$A66, tblByteDanceUnits[cv_2020]) + SUMIF(tblCloudAOUnits[Products],$A66, tblCloudAOUnits[cv_2020])</f>
        <v>0</v>
      </c>
      <c r="E66" s="8">
        <f xml:space="preserve"> SUMIF(tblGoogleUnits[Products],$A66, tblGoogleUnits[cv_2021]) + SUMIF(tblMetaUnits[Products],$A66, tblMetaUnits[cv_2021]) + SUMIF(tblAmazonUnits[Products],$A66, tblAmazonUnits[cv_2021]) + SUMIF(tblMicrosoftUnits[Products],$A66, tblMicrosoftUnits[cv_2021]) + SUMIF(tblAppleUnits[Products],$A66, tblAppleUnits[cv_2021]) + SUMIF(tblAlibabaUnits[Products],$A66, tblAlibabaUnits[cv_2021]) + SUMIF(tblHuaweiUnits[Products],$A66, tblHuaweiUnits[cv_2021]) + SUMIF(tblTencentUnits[Products],$A66, tblTencentUnits[cv_2021]) + SUMIF(tblBaiduUnits[Products],$A66, tblBaiduUnits[cv_2021]) + SUMIF(tblByteDanceUnits[Products],$A66, tblByteDanceUnits[cv_2021]) + SUMIF(tblCloudAOUnits[Products],$A66, tblCloudAOUnits[cv_2021])</f>
        <v>0</v>
      </c>
      <c r="F66" s="8">
        <f xml:space="preserve"> SUMIF(tblGoogleUnits[Products],$A66, tblGoogleUnits[cv_2022]) + SUMIF(tblMetaUnits[Products],$A66, tblMetaUnits[cv_2022]) + SUMIF(tblAmazonUnits[Products],$A66, tblAmazonUnits[cv_2022]) + SUMIF(tblMicrosoftUnits[Products],$A66, tblMicrosoftUnits[cv_2022]) + SUMIF(tblAppleUnits[Products],$A66, tblAppleUnits[cv_2022]) + SUMIF(tblAlibabaUnits[Products],$A66, tblAlibabaUnits[cv_2022]) + SUMIF(tblHuaweiUnits[Products],$A66, tblHuaweiUnits[cv_2022]) + SUMIF(tblTencentUnits[Products],$A66, tblTencentUnits[cv_2022]) + SUMIF(tblBaiduUnits[Products],$A66, tblBaiduUnits[cv_2022]) + SUMIF(tblByteDanceUnits[Products],$A66, tblByteDanceUnits[cv_2022]) + SUMIF(tblCloudAOUnits[Products],$A66, tblCloudAOUnits[cv_2022])</f>
        <v>0</v>
      </c>
      <c r="G66" s="8">
        <f xml:space="preserve"> SUMIF(tblGoogleUnits[Products],$A66, tblGoogleUnits[cv_2023]) + SUMIF(tblMetaUnits[Products],$A66, tblMetaUnits[cv_2023]) + SUMIF(tblAmazonUnits[Products],$A66, tblAmazonUnits[cv_2023]) + SUMIF(tblMicrosoftUnits[Products],$A66, tblMicrosoftUnits[cv_2023]) + SUMIF(tblAppleUnits[Products],$A66, tblAppleUnits[cv_2023]) + SUMIF(tblAlibabaUnits[Products],$A66, tblAlibabaUnits[cv_2023]) + SUMIF(tblHuaweiUnits[Products],$A66, tblHuaweiUnits[cv_2023]) + SUMIF(tblTencentUnits[Products],$A66, tblTencentUnits[cv_2023]) + SUMIF(tblBaiduUnits[Products],$A66, tblBaiduUnits[cv_2023]) + SUMIF(tblByteDanceUnits[Products],$A66, tblByteDanceUnits[cv_2023]) + SUMIF(tblCloudAOUnits[Products],$A66, tblCloudAOUnits[cv_2023])</f>
        <v>0</v>
      </c>
      <c r="H66" s="8">
        <f xml:space="preserve"> SUMIF(tblGoogleUnits[Products],$A66, tblGoogleUnits[cv_2024]) + SUMIF(tblMetaUnits[Products],$A66, tblMetaUnits[cv_2024]) + SUMIF(tblAmazonUnits[Products],$A66, tblAmazonUnits[cv_2024]) + SUMIF(tblMicrosoftUnits[Products],$A66, tblMicrosoftUnits[cv_2024]) + SUMIF(tblAppleUnits[Products],$A66, tblAppleUnits[cv_2024]) + SUMIF(tblAlibabaUnits[Products],$A66, tblAlibabaUnits[cv_2024]) + SUMIF(tblHuaweiUnits[Products],$A66, tblHuaweiUnits[cv_2024]) + SUMIF(tblTencentUnits[Products],$A66, tblTencentUnits[cv_2024]) + SUMIF(tblBaiduUnits[Products],$A66, tblBaiduUnits[cv_2024]) + SUMIF(tblByteDanceUnits[Products],$A66, tblByteDanceUnits[cv_2024]) + SUMIF(tblCloudAOUnits[Products],$A66, tblCloudAOUnits[cv_2024])</f>
        <v>0</v>
      </c>
      <c r="I66" s="8">
        <f xml:space="preserve"> SUMIF(tblGoogleUnits[Products],$A66, tblGoogleUnits[cv_2025]) + SUMIF(tblMetaUnits[Products],$A66, tblMetaUnits[cv_2025]) + SUMIF(tblAmazonUnits[Products],$A66, tblAmazonUnits[cv_2025]) + SUMIF(tblMicrosoftUnits[Products],$A66, tblMicrosoftUnits[cv_2025]) + SUMIF(tblAppleUnits[Products],$A66, tblAppleUnits[cv_2025]) + SUMIF(tblAlibabaUnits[Products],$A66, tblAlibabaUnits[cv_2025]) + SUMIF(tblHuaweiUnits[Products],$A66, tblHuaweiUnits[cv_2025]) + SUMIF(tblTencentUnits[Products],$A66, tblTencentUnits[cv_2025]) + SUMIF(tblBaiduUnits[Products],$A66, tblBaiduUnits[cv_2025]) + SUMIF(tblByteDanceUnits[Products],$A66, tblByteDanceUnits[cv_2025]) + SUMIF(tblCloudAOUnits[Products],$A66, tblCloudAOUnits[cv_2025])</f>
        <v>0</v>
      </c>
      <c r="J66" s="8">
        <f xml:space="preserve"> SUMIF(tblGoogleUnits[Products],$A66, tblGoogleUnits[cv_2026]) + SUMIF(tblMetaUnits[Products],$A66, tblMetaUnits[cv_2026]) + SUMIF(tblAmazonUnits[Products],$A66, tblAmazonUnits[cv_2026]) + SUMIF(tblMicrosoftUnits[Products],$A66, tblMicrosoftUnits[cv_2026]) + SUMIF(tblAppleUnits[Products],$A66, tblAppleUnits[cv_2026]) + SUMIF(tblAlibabaUnits[Products],$A66, tblAlibabaUnits[cv_2026]) + SUMIF(tblHuaweiUnits[Products],$A66, tblHuaweiUnits[cv_2026]) + SUMIF(tblTencentUnits[Products],$A66, tblTencentUnits[cv_2026]) + SUMIF(tblBaiduUnits[Products],$A66, tblBaiduUnits[cv_2026]) + SUMIF(tblByteDanceUnits[Products],$A66, tblByteDanceUnits[cv_2026]) + SUMIF(tblCloudAOUnits[Products],$A66, tblCloudAOUnits[cv_2026])</f>
        <v>0</v>
      </c>
      <c r="K66" s="8">
        <f xml:space="preserve"> SUMIF(tblGoogleUnits[Products],$A66, tblGoogleUnits[cv_2027]) + SUMIF(tblMetaUnits[Products],$A66, tblMetaUnits[cv_2027]) + SUMIF(tblAmazonUnits[Products],$A66, tblAmazonUnits[cv_2027]) + SUMIF(tblMicrosoftUnits[Products],$A66, tblMicrosoftUnits[cv_2027]) + SUMIF(tblAppleUnits[Products],$A66, tblAppleUnits[cv_2027]) + SUMIF(tblAlibabaUnits[Products],$A66, tblAlibabaUnits[cv_2027]) + SUMIF(tblHuaweiUnits[Products],$A66, tblHuaweiUnits[cv_2027]) + SUMIF(tblTencentUnits[Products],$A66, tblTencentUnits[cv_2027]) + SUMIF(tblBaiduUnits[Products],$A66, tblBaiduUnits[cv_2027]) + SUMIF(tblByteDanceUnits[Products],$A66, tblByteDanceUnits[cv_2027]) + SUMIF(tblCloudAOUnits[Products],$A66, tblCloudAOUnits[cv_2027])</f>
        <v>0</v>
      </c>
      <c r="L66" s="8">
        <f xml:space="preserve"> SUMIF(tblGoogleUnits[Products],$A66, tblGoogleUnits[cv_2028]) + SUMIF(tblMetaUnits[Products],$A66, tblMetaUnits[cv_2028]) + SUMIF(tblAmazonUnits[Products],$A66, tblAmazonUnits[cv_2028]) + SUMIF(tblMicrosoftUnits[Products],$A66, tblMicrosoftUnits[cv_2028]) + SUMIF(tblAppleUnits[Products],$A66, tblAppleUnits[cv_2028]) + SUMIF(tblAlibabaUnits[Products],$A66, tblAlibabaUnits[cv_2028]) + SUMIF(tblHuaweiUnits[Products],$A66, tblHuaweiUnits[cv_2028]) + SUMIF(tblTencentUnits[Products],$A66, tblTencentUnits[cv_2028]) + SUMIF(tblBaiduUnits[Products],$A66, tblBaiduUnits[cv_2028]) + SUMIF(tblByteDanceUnits[Products],$A66, tblByteDanceUnits[cv_2028]) + SUMIF(tblCloudAOUnits[Products],$A66, tblCloudAOUnits[cv_2028])</f>
        <v>0</v>
      </c>
      <c r="M66" s="122">
        <f>10^-6*B66*INDEX(TotalMarket!$M$26:$W$125,MATCH($A66,$A$11:$A$132,0),MATCH(M$10,$M$10:$W$10))</f>
        <v>0</v>
      </c>
      <c r="N66" s="122">
        <f>10^-6*C66*INDEX(TotalMarket!$M$26:$W$125,MATCH($A66,$A$11:$A$132,0),MATCH(N$10,$M$10:$W$10))</f>
        <v>0</v>
      </c>
      <c r="O66" s="122">
        <f>10^-6*D66*INDEX(TotalMarket!$M$26:$W$125,MATCH($A66,$A$11:$A$132,0),MATCH(O$10,$M$10:$W$10))</f>
        <v>0</v>
      </c>
      <c r="P66" s="122">
        <f>10^-6*E66*INDEX(TotalMarket!$M$26:$W$125,MATCH($A66,$A$11:$A$132,0),MATCH(P$10,$M$10:$W$10))</f>
        <v>0</v>
      </c>
      <c r="Q66" s="122">
        <f>10^-6*F66*INDEX(TotalMarket!$M$26:$W$125,MATCH($A66,$A$11:$A$132,0),MATCH(Q$10,$M$10:$W$10))</f>
        <v>0</v>
      </c>
      <c r="R66" s="122">
        <f>10^-6*G66*INDEX(TotalMarket!$M$26:$W$125,MATCH($A66,$A$11:$A$132,0),MATCH(R$10,$M$10:$W$10))</f>
        <v>0</v>
      </c>
      <c r="S66" s="122">
        <f>10^-6*H66*INDEX(TotalMarket!$M$26:$W$125,MATCH($A66,$A$11:$A$132,0),MATCH(S$10,$M$10:$W$10))</f>
        <v>0</v>
      </c>
      <c r="T66" s="122">
        <f>10^-6*I66*INDEX(TotalMarket!$M$26:$W$125,MATCH($A66,$A$11:$A$132,0),MATCH(T$10,$M$10:$W$10))</f>
        <v>0</v>
      </c>
      <c r="U66" s="122">
        <f>10^-6*J66*INDEX(TotalMarket!$M$26:$W$125,MATCH($A66,$A$11:$A$132,0),MATCH(U$10,$M$10:$W$10))</f>
        <v>0</v>
      </c>
      <c r="V66" s="122">
        <f>10^-6*K66*INDEX(TotalMarket!$M$26:$W$125,MATCH($A66,$A$11:$A$132,0),MATCH(V$10,$M$10:$W$10))</f>
        <v>0</v>
      </c>
      <c r="W66" s="122">
        <f>10^-6*L66*INDEX(TotalMarket!$M$26:$W$125,MATCH($A66,$A$11:$A$132,0),MATCH(W$10,$M$10:$W$10))</f>
        <v>0</v>
      </c>
      <c r="X66" s="1">
        <f>VLOOKUP(A66,Products!$A$29:$F$110,6,FALSE)</f>
        <v>200</v>
      </c>
    </row>
    <row r="67" spans="1:24">
      <c r="A67" s="15" t="s">
        <v>9</v>
      </c>
      <c r="B67" s="8">
        <f xml:space="preserve"> SUMIF(tblGoogleUnits[Products],$A67, tblGoogleUnits[cv_2018]) + SUMIF(tblMetaUnits[Products],$A67, tblMetaUnits[cv_2018]) + SUMIF(tblAmazonUnits[Products],$A67, tblAmazonUnits[cv_2018]) + SUMIF(tblMicrosoftUnits[Products],$A67, tblMicrosoftUnits[cv_2018]) + SUMIF(tblAppleUnits[Products],$A67, tblAppleUnits[cv_2018]) + SUMIF(tblAlibabaUnits[Products],$A67, tblAlibabaUnits[cv_2018]) + SUMIF(tblHuaweiUnits[Products],$A67, tblHuaweiUnits[cv_2018]) + SUMIF(tblTencentUnits[Products],$A67, tblTencentUnits[cv_2018]) + SUMIF(tblBaiduUnits[Products],$A67, tblBaiduUnits[cv_2018]) + SUMIF(tblByteDanceUnits[Products],$A67, tblByteDanceUnits[cv_2018]) + SUMIF(tblCloudAOUnits[Products],$A67, tblCloudAOUnits[cv_2018])</f>
        <v>23000</v>
      </c>
      <c r="C67" s="8">
        <f xml:space="preserve"> SUMIF(tblGoogleUnits[Products],$A67, tblGoogleUnits[cv_2019]) + SUMIF(tblMetaUnits[Products],$A67, tblMetaUnits[cv_2019]) + SUMIF(tblAmazonUnits[Products],$A67, tblAmazonUnits[cv_2019]) + SUMIF(tblMicrosoftUnits[Products],$A67, tblMicrosoftUnits[cv_2019]) + SUMIF(tblAppleUnits[Products],$A67, tblAppleUnits[cv_2019]) + SUMIF(tblAlibabaUnits[Products],$A67, tblAlibabaUnits[cv_2019]) + SUMIF(tblHuaweiUnits[Products],$A67, tblHuaweiUnits[cv_2019]) + SUMIF(tblTencentUnits[Products],$A67, tblTencentUnits[cv_2019]) + SUMIF(tblBaiduUnits[Products],$A67, tblBaiduUnits[cv_2019]) + SUMIF(tblByteDanceUnits[Products],$A67, tblByteDanceUnits[cv_2019]) + SUMIF(tblCloudAOUnits[Products],$A67, tblCloudAOUnits[cv_2019])</f>
        <v>60000</v>
      </c>
      <c r="D67" s="8">
        <f xml:space="preserve"> SUMIF(tblGoogleUnits[Products],$A67, tblGoogleUnits[cv_2020]) + SUMIF(tblMetaUnits[Products],$A67, tblMetaUnits[cv_2020]) + SUMIF(tblAmazonUnits[Products],$A67, tblAmazonUnits[cv_2020]) + SUMIF(tblMicrosoftUnits[Products],$A67, tblMicrosoftUnits[cv_2020]) + SUMIF(tblAppleUnits[Products],$A67, tblAppleUnits[cv_2020]) + SUMIF(tblAlibabaUnits[Products],$A67, tblAlibabaUnits[cv_2020]) + SUMIF(tblHuaweiUnits[Products],$A67, tblHuaweiUnits[cv_2020]) + SUMIF(tblTencentUnits[Products],$A67, tblTencentUnits[cv_2020]) + SUMIF(tblBaiduUnits[Products],$A67, tblBaiduUnits[cv_2020]) + SUMIF(tblByteDanceUnits[Products],$A67, tblByteDanceUnits[cv_2020]) + SUMIF(tblCloudAOUnits[Products],$A67, tblCloudAOUnits[cv_2020])</f>
        <v>0</v>
      </c>
      <c r="E67" s="8">
        <f xml:space="preserve"> SUMIF(tblGoogleUnits[Products],$A67, tblGoogleUnits[cv_2021]) + SUMIF(tblMetaUnits[Products],$A67, tblMetaUnits[cv_2021]) + SUMIF(tblAmazonUnits[Products],$A67, tblAmazonUnits[cv_2021]) + SUMIF(tblMicrosoftUnits[Products],$A67, tblMicrosoftUnits[cv_2021]) + SUMIF(tblAppleUnits[Products],$A67, tblAppleUnits[cv_2021]) + SUMIF(tblAlibabaUnits[Products],$A67, tblAlibabaUnits[cv_2021]) + SUMIF(tblHuaweiUnits[Products],$A67, tblHuaweiUnits[cv_2021]) + SUMIF(tblTencentUnits[Products],$A67, tblTencentUnits[cv_2021]) + SUMIF(tblBaiduUnits[Products],$A67, tblBaiduUnits[cv_2021]) + SUMIF(tblByteDanceUnits[Products],$A67, tblByteDanceUnits[cv_2021]) + SUMIF(tblCloudAOUnits[Products],$A67, tblCloudAOUnits[cv_2021])</f>
        <v>0</v>
      </c>
      <c r="F67" s="8">
        <f xml:space="preserve"> SUMIF(tblGoogleUnits[Products],$A67, tblGoogleUnits[cv_2022]) + SUMIF(tblMetaUnits[Products],$A67, tblMetaUnits[cv_2022]) + SUMIF(tblAmazonUnits[Products],$A67, tblAmazonUnits[cv_2022]) + SUMIF(tblMicrosoftUnits[Products],$A67, tblMicrosoftUnits[cv_2022]) + SUMIF(tblAppleUnits[Products],$A67, tblAppleUnits[cv_2022]) + SUMIF(tblAlibabaUnits[Products],$A67, tblAlibabaUnits[cv_2022]) + SUMIF(tblHuaweiUnits[Products],$A67, tblHuaweiUnits[cv_2022]) + SUMIF(tblTencentUnits[Products],$A67, tblTencentUnits[cv_2022]) + SUMIF(tblBaiduUnits[Products],$A67, tblBaiduUnits[cv_2022]) + SUMIF(tblByteDanceUnits[Products],$A67, tblByteDanceUnits[cv_2022]) + SUMIF(tblCloudAOUnits[Products],$A67, tblCloudAOUnits[cv_2022])</f>
        <v>0</v>
      </c>
      <c r="G67" s="8">
        <f xml:space="preserve"> SUMIF(tblGoogleUnits[Products],$A67, tblGoogleUnits[cv_2023]) + SUMIF(tblMetaUnits[Products],$A67, tblMetaUnits[cv_2023]) + SUMIF(tblAmazonUnits[Products],$A67, tblAmazonUnits[cv_2023]) + SUMIF(tblMicrosoftUnits[Products],$A67, tblMicrosoftUnits[cv_2023]) + SUMIF(tblAppleUnits[Products],$A67, tblAppleUnits[cv_2023]) + SUMIF(tblAlibabaUnits[Products],$A67, tblAlibabaUnits[cv_2023]) + SUMIF(tblHuaweiUnits[Products],$A67, tblHuaweiUnits[cv_2023]) + SUMIF(tblTencentUnits[Products],$A67, tblTencentUnits[cv_2023]) + SUMIF(tblBaiduUnits[Products],$A67, tblBaiduUnits[cv_2023]) + SUMIF(tblByteDanceUnits[Products],$A67, tblByteDanceUnits[cv_2023]) + SUMIF(tblCloudAOUnits[Products],$A67, tblCloudAOUnits[cv_2023])</f>
        <v>0</v>
      </c>
      <c r="H67" s="8">
        <f xml:space="preserve"> SUMIF(tblGoogleUnits[Products],$A67, tblGoogleUnits[cv_2024]) + SUMIF(tblMetaUnits[Products],$A67, tblMetaUnits[cv_2024]) + SUMIF(tblAmazonUnits[Products],$A67, tblAmazonUnits[cv_2024]) + SUMIF(tblMicrosoftUnits[Products],$A67, tblMicrosoftUnits[cv_2024]) + SUMIF(tblAppleUnits[Products],$A67, tblAppleUnits[cv_2024]) + SUMIF(tblAlibabaUnits[Products],$A67, tblAlibabaUnits[cv_2024]) + SUMIF(tblHuaweiUnits[Products],$A67, tblHuaweiUnits[cv_2024]) + SUMIF(tblTencentUnits[Products],$A67, tblTencentUnits[cv_2024]) + SUMIF(tblBaiduUnits[Products],$A67, tblBaiduUnits[cv_2024]) + SUMIF(tblByteDanceUnits[Products],$A67, tblByteDanceUnits[cv_2024]) + SUMIF(tblCloudAOUnits[Products],$A67, tblCloudAOUnits[cv_2024])</f>
        <v>0</v>
      </c>
      <c r="I67" s="8">
        <f xml:space="preserve"> SUMIF(tblGoogleUnits[Products],$A67, tblGoogleUnits[cv_2025]) + SUMIF(tblMetaUnits[Products],$A67, tblMetaUnits[cv_2025]) + SUMIF(tblAmazonUnits[Products],$A67, tblAmazonUnits[cv_2025]) + SUMIF(tblMicrosoftUnits[Products],$A67, tblMicrosoftUnits[cv_2025]) + SUMIF(tblAppleUnits[Products],$A67, tblAppleUnits[cv_2025]) + SUMIF(tblAlibabaUnits[Products],$A67, tblAlibabaUnits[cv_2025]) + SUMIF(tblHuaweiUnits[Products],$A67, tblHuaweiUnits[cv_2025]) + SUMIF(tblTencentUnits[Products],$A67, tblTencentUnits[cv_2025]) + SUMIF(tblBaiduUnits[Products],$A67, tblBaiduUnits[cv_2025]) + SUMIF(tblByteDanceUnits[Products],$A67, tblByteDanceUnits[cv_2025]) + SUMIF(tblCloudAOUnits[Products],$A67, tblCloudAOUnits[cv_2025])</f>
        <v>0</v>
      </c>
      <c r="J67" s="8">
        <f xml:space="preserve"> SUMIF(tblGoogleUnits[Products],$A67, tblGoogleUnits[cv_2026]) + SUMIF(tblMetaUnits[Products],$A67, tblMetaUnits[cv_2026]) + SUMIF(tblAmazonUnits[Products],$A67, tblAmazonUnits[cv_2026]) + SUMIF(tblMicrosoftUnits[Products],$A67, tblMicrosoftUnits[cv_2026]) + SUMIF(tblAppleUnits[Products],$A67, tblAppleUnits[cv_2026]) + SUMIF(tblAlibabaUnits[Products],$A67, tblAlibabaUnits[cv_2026]) + SUMIF(tblHuaweiUnits[Products],$A67, tblHuaweiUnits[cv_2026]) + SUMIF(tblTencentUnits[Products],$A67, tblTencentUnits[cv_2026]) + SUMIF(tblBaiduUnits[Products],$A67, tblBaiduUnits[cv_2026]) + SUMIF(tblByteDanceUnits[Products],$A67, tblByteDanceUnits[cv_2026]) + SUMIF(tblCloudAOUnits[Products],$A67, tblCloudAOUnits[cv_2026])</f>
        <v>0</v>
      </c>
      <c r="K67" s="8">
        <f xml:space="preserve"> SUMIF(tblGoogleUnits[Products],$A67, tblGoogleUnits[cv_2027]) + SUMIF(tblMetaUnits[Products],$A67, tblMetaUnits[cv_2027]) + SUMIF(tblAmazonUnits[Products],$A67, tblAmazonUnits[cv_2027]) + SUMIF(tblMicrosoftUnits[Products],$A67, tblMicrosoftUnits[cv_2027]) + SUMIF(tblAppleUnits[Products],$A67, tblAppleUnits[cv_2027]) + SUMIF(tblAlibabaUnits[Products],$A67, tblAlibabaUnits[cv_2027]) + SUMIF(tblHuaweiUnits[Products],$A67, tblHuaweiUnits[cv_2027]) + SUMIF(tblTencentUnits[Products],$A67, tblTencentUnits[cv_2027]) + SUMIF(tblBaiduUnits[Products],$A67, tblBaiduUnits[cv_2027]) + SUMIF(tblByteDanceUnits[Products],$A67, tblByteDanceUnits[cv_2027]) + SUMIF(tblCloudAOUnits[Products],$A67, tblCloudAOUnits[cv_2027])</f>
        <v>0</v>
      </c>
      <c r="L67" s="8">
        <f xml:space="preserve"> SUMIF(tblGoogleUnits[Products],$A67, tblGoogleUnits[cv_2028]) + SUMIF(tblMetaUnits[Products],$A67, tblMetaUnits[cv_2028]) + SUMIF(tblAmazonUnits[Products],$A67, tblAmazonUnits[cv_2028]) + SUMIF(tblMicrosoftUnits[Products],$A67, tblMicrosoftUnits[cv_2028]) + SUMIF(tblAppleUnits[Products],$A67, tblAppleUnits[cv_2028]) + SUMIF(tblAlibabaUnits[Products],$A67, tblAlibabaUnits[cv_2028]) + SUMIF(tblHuaweiUnits[Products],$A67, tblHuaweiUnits[cv_2028]) + SUMIF(tblTencentUnits[Products],$A67, tblTencentUnits[cv_2028]) + SUMIF(tblBaiduUnits[Products],$A67, tblBaiduUnits[cv_2028]) + SUMIF(tblByteDanceUnits[Products],$A67, tblByteDanceUnits[cv_2028]) + SUMIF(tblCloudAOUnits[Products],$A67, tblCloudAOUnits[cv_2028])</f>
        <v>0</v>
      </c>
      <c r="M67" s="122">
        <f>10^-6*B67*INDEX(TotalMarket!$M$26:$W$125,MATCH($A67,$A$11:$A$132,0),MATCH(M$10,$M$10:$W$10))</f>
        <v>14.811999999999999</v>
      </c>
      <c r="N67" s="122">
        <f>10^-6*C67*INDEX(TotalMarket!$M$26:$W$125,MATCH($A67,$A$11:$A$132,0),MATCH(N$10,$M$10:$W$10))</f>
        <v>31.2</v>
      </c>
      <c r="O67" s="122">
        <f>10^-6*D67*INDEX(TotalMarket!$M$26:$W$125,MATCH($A67,$A$11:$A$132,0),MATCH(O$10,$M$10:$W$10))</f>
        <v>0</v>
      </c>
      <c r="P67" s="122">
        <f>10^-6*E67*INDEX(TotalMarket!$M$26:$W$125,MATCH($A67,$A$11:$A$132,0),MATCH(P$10,$M$10:$W$10))</f>
        <v>0</v>
      </c>
      <c r="Q67" s="122">
        <f>10^-6*F67*INDEX(TotalMarket!$M$26:$W$125,MATCH($A67,$A$11:$A$132,0),MATCH(Q$10,$M$10:$W$10))</f>
        <v>0</v>
      </c>
      <c r="R67" s="122">
        <f>10^-6*G67*INDEX(TotalMarket!$M$26:$W$125,MATCH($A67,$A$11:$A$132,0),MATCH(R$10,$M$10:$W$10))</f>
        <v>0</v>
      </c>
      <c r="S67" s="122">
        <f>10^-6*H67*INDEX(TotalMarket!$M$26:$W$125,MATCH($A67,$A$11:$A$132,0),MATCH(S$10,$M$10:$W$10))</f>
        <v>0</v>
      </c>
      <c r="T67" s="122">
        <f>10^-6*I67*INDEX(TotalMarket!$M$26:$W$125,MATCH($A67,$A$11:$A$132,0),MATCH(T$10,$M$10:$W$10))</f>
        <v>0</v>
      </c>
      <c r="U67" s="122">
        <f>10^-6*J67*INDEX(TotalMarket!$M$26:$W$125,MATCH($A67,$A$11:$A$132,0),MATCH(U$10,$M$10:$W$10))</f>
        <v>0</v>
      </c>
      <c r="V67" s="122">
        <f>10^-6*K67*INDEX(TotalMarket!$M$26:$W$125,MATCH($A67,$A$11:$A$132,0),MATCH(V$10,$M$10:$W$10))</f>
        <v>0</v>
      </c>
      <c r="W67" s="122">
        <f>10^-6*L67*INDEX(TotalMarket!$M$26:$W$125,MATCH($A67,$A$11:$A$132,0),MATCH(W$10,$M$10:$W$10))</f>
        <v>0</v>
      </c>
      <c r="X67" s="1">
        <f>VLOOKUP(A67,Products!$A$29:$F$110,6,FALSE)</f>
        <v>400</v>
      </c>
    </row>
    <row r="68" spans="1:24">
      <c r="A68" s="15" t="s">
        <v>339</v>
      </c>
      <c r="B68" s="8">
        <f xml:space="preserve"> SUMIF(tblGoogleUnits[Products],$A68, tblGoogleUnits[cv_2018]) + SUMIF(tblMetaUnits[Products],$A68, tblMetaUnits[cv_2018]) + SUMIF(tblAmazonUnits[Products],$A68, tblAmazonUnits[cv_2018]) + SUMIF(tblMicrosoftUnits[Products],$A68, tblMicrosoftUnits[cv_2018]) + SUMIF(tblAppleUnits[Products],$A68, tblAppleUnits[cv_2018]) + SUMIF(tblAlibabaUnits[Products],$A68, tblAlibabaUnits[cv_2018]) + SUMIF(tblHuaweiUnits[Products],$A68, tblHuaweiUnits[cv_2018]) + SUMIF(tblTencentUnits[Products],$A68, tblTencentUnits[cv_2018]) + SUMIF(tblBaiduUnits[Products],$A68, tblBaiduUnits[cv_2018]) + SUMIF(tblByteDanceUnits[Products],$A68, tblByteDanceUnits[cv_2018]) + SUMIF(tblCloudAOUnits[Products],$A68, tblCloudAOUnits[cv_2018])</f>
        <v>0</v>
      </c>
      <c r="C68" s="8">
        <f xml:space="preserve"> SUMIF(tblGoogleUnits[Products],$A68, tblGoogleUnits[cv_2019]) + SUMIF(tblMetaUnits[Products],$A68, tblMetaUnits[cv_2019]) + SUMIF(tblAmazonUnits[Products],$A68, tblAmazonUnits[cv_2019]) + SUMIF(tblMicrosoftUnits[Products],$A68, tblMicrosoftUnits[cv_2019]) + SUMIF(tblAppleUnits[Products],$A68, tblAppleUnits[cv_2019]) + SUMIF(tblAlibabaUnits[Products],$A68, tblAlibabaUnits[cv_2019]) + SUMIF(tblHuaweiUnits[Products],$A68, tblHuaweiUnits[cv_2019]) + SUMIF(tblTencentUnits[Products],$A68, tblTencentUnits[cv_2019]) + SUMIF(tblBaiduUnits[Products],$A68, tblBaiduUnits[cv_2019]) + SUMIF(tblByteDanceUnits[Products],$A68, tblByteDanceUnits[cv_2019]) + SUMIF(tblCloudAOUnits[Products],$A68, tblCloudAOUnits[cv_2019])</f>
        <v>0</v>
      </c>
      <c r="D68" s="8">
        <f xml:space="preserve"> SUMIF(tblGoogleUnits[Products],$A68, tblGoogleUnits[cv_2020]) + SUMIF(tblMetaUnits[Products],$A68, tblMetaUnits[cv_2020]) + SUMIF(tblAmazonUnits[Products],$A68, tblAmazonUnits[cv_2020]) + SUMIF(tblMicrosoftUnits[Products],$A68, tblMicrosoftUnits[cv_2020]) + SUMIF(tblAppleUnits[Products],$A68, tblAppleUnits[cv_2020]) + SUMIF(tblAlibabaUnits[Products],$A68, tblAlibabaUnits[cv_2020]) + SUMIF(tblHuaweiUnits[Products],$A68, tblHuaweiUnits[cv_2020]) + SUMIF(tblTencentUnits[Products],$A68, tblTencentUnits[cv_2020]) + SUMIF(tblBaiduUnits[Products],$A68, tblBaiduUnits[cv_2020]) + SUMIF(tblByteDanceUnits[Products],$A68, tblByteDanceUnits[cv_2020]) + SUMIF(tblCloudAOUnits[Products],$A68, tblCloudAOUnits[cv_2020])</f>
        <v>0</v>
      </c>
      <c r="E68" s="8">
        <f xml:space="preserve"> SUMIF(tblGoogleUnits[Products],$A68, tblGoogleUnits[cv_2021]) + SUMIF(tblMetaUnits[Products],$A68, tblMetaUnits[cv_2021]) + SUMIF(tblAmazonUnits[Products],$A68, tblAmazonUnits[cv_2021]) + SUMIF(tblMicrosoftUnits[Products],$A68, tblMicrosoftUnits[cv_2021]) + SUMIF(tblAppleUnits[Products],$A68, tblAppleUnits[cv_2021]) + SUMIF(tblAlibabaUnits[Products],$A68, tblAlibabaUnits[cv_2021]) + SUMIF(tblHuaweiUnits[Products],$A68, tblHuaweiUnits[cv_2021]) + SUMIF(tblTencentUnits[Products],$A68, tblTencentUnits[cv_2021]) + SUMIF(tblBaiduUnits[Products],$A68, tblBaiduUnits[cv_2021]) + SUMIF(tblByteDanceUnits[Products],$A68, tblByteDanceUnits[cv_2021]) + SUMIF(tblCloudAOUnits[Products],$A68, tblCloudAOUnits[cv_2021])</f>
        <v>0</v>
      </c>
      <c r="F68" s="8">
        <f xml:space="preserve"> SUMIF(tblGoogleUnits[Products],$A68, tblGoogleUnits[cv_2022]) + SUMIF(tblMetaUnits[Products],$A68, tblMetaUnits[cv_2022]) + SUMIF(tblAmazonUnits[Products],$A68, tblAmazonUnits[cv_2022]) + SUMIF(tblMicrosoftUnits[Products],$A68, tblMicrosoftUnits[cv_2022]) + SUMIF(tblAppleUnits[Products],$A68, tblAppleUnits[cv_2022]) + SUMIF(tblAlibabaUnits[Products],$A68, tblAlibabaUnits[cv_2022]) + SUMIF(tblHuaweiUnits[Products],$A68, tblHuaweiUnits[cv_2022]) + SUMIF(tblTencentUnits[Products],$A68, tblTencentUnits[cv_2022]) + SUMIF(tblBaiduUnits[Products],$A68, tblBaiduUnits[cv_2022]) + SUMIF(tblByteDanceUnits[Products],$A68, tblByteDanceUnits[cv_2022]) + SUMIF(tblCloudAOUnits[Products],$A68, tblCloudAOUnits[cv_2022])</f>
        <v>0</v>
      </c>
      <c r="G68" s="8">
        <f xml:space="preserve"> SUMIF(tblGoogleUnits[Products],$A68, tblGoogleUnits[cv_2023]) + SUMIF(tblMetaUnits[Products],$A68, tblMetaUnits[cv_2023]) + SUMIF(tblAmazonUnits[Products],$A68, tblAmazonUnits[cv_2023]) + SUMIF(tblMicrosoftUnits[Products],$A68, tblMicrosoftUnits[cv_2023]) + SUMIF(tblAppleUnits[Products],$A68, tblAppleUnits[cv_2023]) + SUMIF(tblAlibabaUnits[Products],$A68, tblAlibabaUnits[cv_2023]) + SUMIF(tblHuaweiUnits[Products],$A68, tblHuaweiUnits[cv_2023]) + SUMIF(tblTencentUnits[Products],$A68, tblTencentUnits[cv_2023]) + SUMIF(tblBaiduUnits[Products],$A68, tblBaiduUnits[cv_2023]) + SUMIF(tblByteDanceUnits[Products],$A68, tblByteDanceUnits[cv_2023]) + SUMIF(tblCloudAOUnits[Products],$A68, tblCloudAOUnits[cv_2023])</f>
        <v>0</v>
      </c>
      <c r="H68" s="8">
        <f xml:space="preserve"> SUMIF(tblGoogleUnits[Products],$A68, tblGoogleUnits[cv_2024]) + SUMIF(tblMetaUnits[Products],$A68, tblMetaUnits[cv_2024]) + SUMIF(tblAmazonUnits[Products],$A68, tblAmazonUnits[cv_2024]) + SUMIF(tblMicrosoftUnits[Products],$A68, tblMicrosoftUnits[cv_2024]) + SUMIF(tblAppleUnits[Products],$A68, tblAppleUnits[cv_2024]) + SUMIF(tblAlibabaUnits[Products],$A68, tblAlibabaUnits[cv_2024]) + SUMIF(tblHuaweiUnits[Products],$A68, tblHuaweiUnits[cv_2024]) + SUMIF(tblTencentUnits[Products],$A68, tblTencentUnits[cv_2024]) + SUMIF(tblBaiduUnits[Products],$A68, tblBaiduUnits[cv_2024]) + SUMIF(tblByteDanceUnits[Products],$A68, tblByteDanceUnits[cv_2024]) + SUMIF(tblCloudAOUnits[Products],$A68, tblCloudAOUnits[cv_2024])</f>
        <v>0</v>
      </c>
      <c r="I68" s="8">
        <f xml:space="preserve"> SUMIF(tblGoogleUnits[Products],$A68, tblGoogleUnits[cv_2025]) + SUMIF(tblMetaUnits[Products],$A68, tblMetaUnits[cv_2025]) + SUMIF(tblAmazonUnits[Products],$A68, tblAmazonUnits[cv_2025]) + SUMIF(tblMicrosoftUnits[Products],$A68, tblMicrosoftUnits[cv_2025]) + SUMIF(tblAppleUnits[Products],$A68, tblAppleUnits[cv_2025]) + SUMIF(tblAlibabaUnits[Products],$A68, tblAlibabaUnits[cv_2025]) + SUMIF(tblHuaweiUnits[Products],$A68, tblHuaweiUnits[cv_2025]) + SUMIF(tblTencentUnits[Products],$A68, tblTencentUnits[cv_2025]) + SUMIF(tblBaiduUnits[Products],$A68, tblBaiduUnits[cv_2025]) + SUMIF(tblByteDanceUnits[Products],$A68, tblByteDanceUnits[cv_2025]) + SUMIF(tblCloudAOUnits[Products],$A68, tblCloudAOUnits[cv_2025])</f>
        <v>0</v>
      </c>
      <c r="J68" s="8">
        <f xml:space="preserve"> SUMIF(tblGoogleUnits[Products],$A68, tblGoogleUnits[cv_2026]) + SUMIF(tblMetaUnits[Products],$A68, tblMetaUnits[cv_2026]) + SUMIF(tblAmazonUnits[Products],$A68, tblAmazonUnits[cv_2026]) + SUMIF(tblMicrosoftUnits[Products],$A68, tblMicrosoftUnits[cv_2026]) + SUMIF(tblAppleUnits[Products],$A68, tblAppleUnits[cv_2026]) + SUMIF(tblAlibabaUnits[Products],$A68, tblAlibabaUnits[cv_2026]) + SUMIF(tblHuaweiUnits[Products],$A68, tblHuaweiUnits[cv_2026]) + SUMIF(tblTencentUnits[Products],$A68, tblTencentUnits[cv_2026]) + SUMIF(tblBaiduUnits[Products],$A68, tblBaiduUnits[cv_2026]) + SUMIF(tblByteDanceUnits[Products],$A68, tblByteDanceUnits[cv_2026]) + SUMIF(tblCloudAOUnits[Products],$A68, tblCloudAOUnits[cv_2026])</f>
        <v>0</v>
      </c>
      <c r="K68" s="8">
        <f xml:space="preserve"> SUMIF(tblGoogleUnits[Products],$A68, tblGoogleUnits[cv_2027]) + SUMIF(tblMetaUnits[Products],$A68, tblMetaUnits[cv_2027]) + SUMIF(tblAmazonUnits[Products],$A68, tblAmazonUnits[cv_2027]) + SUMIF(tblMicrosoftUnits[Products],$A68, tblMicrosoftUnits[cv_2027]) + SUMIF(tblAppleUnits[Products],$A68, tblAppleUnits[cv_2027]) + SUMIF(tblAlibabaUnits[Products],$A68, tblAlibabaUnits[cv_2027]) + SUMIF(tblHuaweiUnits[Products],$A68, tblHuaweiUnits[cv_2027]) + SUMIF(tblTencentUnits[Products],$A68, tblTencentUnits[cv_2027]) + SUMIF(tblBaiduUnits[Products],$A68, tblBaiduUnits[cv_2027]) + SUMIF(tblByteDanceUnits[Products],$A68, tblByteDanceUnits[cv_2027]) + SUMIF(tblCloudAOUnits[Products],$A68, tblCloudAOUnits[cv_2027])</f>
        <v>0</v>
      </c>
      <c r="L68" s="8">
        <f xml:space="preserve"> SUMIF(tblGoogleUnits[Products],$A68, tblGoogleUnits[cv_2028]) + SUMIF(tblMetaUnits[Products],$A68, tblMetaUnits[cv_2028]) + SUMIF(tblAmazonUnits[Products],$A68, tblAmazonUnits[cv_2028]) + SUMIF(tblMicrosoftUnits[Products],$A68, tblMicrosoftUnits[cv_2028]) + SUMIF(tblAppleUnits[Products],$A68, tblAppleUnits[cv_2028]) + SUMIF(tblAlibabaUnits[Products],$A68, tblAlibabaUnits[cv_2028]) + SUMIF(tblHuaweiUnits[Products],$A68, tblHuaweiUnits[cv_2028]) + SUMIF(tblTencentUnits[Products],$A68, tblTencentUnits[cv_2028]) + SUMIF(tblBaiduUnits[Products],$A68, tblBaiduUnits[cv_2028]) + SUMIF(tblByteDanceUnits[Products],$A68, tblByteDanceUnits[cv_2028]) + SUMIF(tblCloudAOUnits[Products],$A68, tblCloudAOUnits[cv_2028])</f>
        <v>0</v>
      </c>
      <c r="M68" s="122">
        <f>10^-6*B68*INDEX(TotalMarket!$M$26:$W$125,MATCH($A68,$A$11:$A$132,0),MATCH(M$10,$M$10:$W$10))</f>
        <v>0</v>
      </c>
      <c r="N68" s="122">
        <f>10^-6*C68*INDEX(TotalMarket!$M$26:$W$125,MATCH($A68,$A$11:$A$132,0),MATCH(N$10,$M$10:$W$10))</f>
        <v>0</v>
      </c>
      <c r="O68" s="122">
        <f>10^-6*D68*INDEX(TotalMarket!$M$26:$W$125,MATCH($A68,$A$11:$A$132,0),MATCH(O$10,$M$10:$W$10))</f>
        <v>0</v>
      </c>
      <c r="P68" s="122">
        <f>10^-6*E68*INDEX(TotalMarket!$M$26:$W$125,MATCH($A68,$A$11:$A$132,0),MATCH(P$10,$M$10:$W$10))</f>
        <v>0</v>
      </c>
      <c r="Q68" s="122">
        <f>10^-6*F68*INDEX(TotalMarket!$M$26:$W$125,MATCH($A68,$A$11:$A$132,0),MATCH(Q$10,$M$10:$W$10))</f>
        <v>0</v>
      </c>
      <c r="R68" s="122">
        <f>10^-6*G68*INDEX(TotalMarket!$M$26:$W$125,MATCH($A68,$A$11:$A$132,0),MATCH(R$10,$M$10:$W$10))</f>
        <v>0</v>
      </c>
      <c r="S68" s="122">
        <f>10^-6*H68*INDEX(TotalMarket!$M$26:$W$125,MATCH($A68,$A$11:$A$132,0),MATCH(S$10,$M$10:$W$10))</f>
        <v>0</v>
      </c>
      <c r="T68" s="122">
        <f>10^-6*I68*INDEX(TotalMarket!$M$26:$W$125,MATCH($A68,$A$11:$A$132,0),MATCH(T$10,$M$10:$W$10))</f>
        <v>0</v>
      </c>
      <c r="U68" s="122">
        <f>10^-6*J68*INDEX(TotalMarket!$M$26:$W$125,MATCH($A68,$A$11:$A$132,0),MATCH(U$10,$M$10:$W$10))</f>
        <v>0</v>
      </c>
      <c r="V68" s="122">
        <f>10^-6*K68*INDEX(TotalMarket!$M$26:$W$125,MATCH($A68,$A$11:$A$132,0),MATCH(V$10,$M$10:$W$10))</f>
        <v>0</v>
      </c>
      <c r="W68" s="122">
        <f>10^-6*L68*INDEX(TotalMarket!$M$26:$W$125,MATCH($A68,$A$11:$A$132,0),MATCH(W$10,$M$10:$W$10))</f>
        <v>0</v>
      </c>
      <c r="X68" s="1">
        <f>VLOOKUP(A68,Products!$A$29:$F$110,6,FALSE)</f>
        <v>400</v>
      </c>
    </row>
    <row r="69" spans="1:24">
      <c r="A69" s="15" t="s">
        <v>11</v>
      </c>
      <c r="B69" s="8">
        <f xml:space="preserve"> SUMIF(tblGoogleUnits[Products],$A69, tblGoogleUnits[cv_2018]) + SUMIF(tblMetaUnits[Products],$A69, tblMetaUnits[cv_2018]) + SUMIF(tblAmazonUnits[Products],$A69, tblAmazonUnits[cv_2018]) + SUMIF(tblMicrosoftUnits[Products],$A69, tblMicrosoftUnits[cv_2018]) + SUMIF(tblAppleUnits[Products],$A69, tblAppleUnits[cv_2018]) + SUMIF(tblAlibabaUnits[Products],$A69, tblAlibabaUnits[cv_2018]) + SUMIF(tblHuaweiUnits[Products],$A69, tblHuaweiUnits[cv_2018]) + SUMIF(tblTencentUnits[Products],$A69, tblTencentUnits[cv_2018]) + SUMIF(tblBaiduUnits[Products],$A69, tblBaiduUnits[cv_2018]) + SUMIF(tblByteDanceUnits[Products],$A69, tblByteDanceUnits[cv_2018]) + SUMIF(tblCloudAOUnits[Products],$A69, tblCloudAOUnits[cv_2018])</f>
        <v>2000</v>
      </c>
      <c r="C69" s="8">
        <f xml:space="preserve"> SUMIF(tblGoogleUnits[Products],$A69, tblGoogleUnits[cv_2019]) + SUMIF(tblMetaUnits[Products],$A69, tblMetaUnits[cv_2019]) + SUMIF(tblAmazonUnits[Products],$A69, tblAmazonUnits[cv_2019]) + SUMIF(tblMicrosoftUnits[Products],$A69, tblMicrosoftUnits[cv_2019]) + SUMIF(tblAppleUnits[Products],$A69, tblAppleUnits[cv_2019]) + SUMIF(tblAlibabaUnits[Products],$A69, tblAlibabaUnits[cv_2019]) + SUMIF(tblHuaweiUnits[Products],$A69, tblHuaweiUnits[cv_2019]) + SUMIF(tblTencentUnits[Products],$A69, tblTencentUnits[cv_2019]) + SUMIF(tblBaiduUnits[Products],$A69, tblBaiduUnits[cv_2019]) + SUMIF(tblByteDanceUnits[Products],$A69, tblByteDanceUnits[cv_2019]) + SUMIF(tblCloudAOUnits[Products],$A69, tblCloudAOUnits[cv_2019])</f>
        <v>29283</v>
      </c>
      <c r="D69" s="8">
        <f xml:space="preserve"> SUMIF(tblGoogleUnits[Products],$A69, tblGoogleUnits[cv_2020]) + SUMIF(tblMetaUnits[Products],$A69, tblMetaUnits[cv_2020]) + SUMIF(tblAmazonUnits[Products],$A69, tblAmazonUnits[cv_2020]) + SUMIF(tblMicrosoftUnits[Products],$A69, tblMicrosoftUnits[cv_2020]) + SUMIF(tblAppleUnits[Products],$A69, tblAppleUnits[cv_2020]) + SUMIF(tblAlibabaUnits[Products],$A69, tblAlibabaUnits[cv_2020]) + SUMIF(tblHuaweiUnits[Products],$A69, tblHuaweiUnits[cv_2020]) + SUMIF(tblTencentUnits[Products],$A69, tblTencentUnits[cv_2020]) + SUMIF(tblBaiduUnits[Products],$A69, tblBaiduUnits[cv_2020]) + SUMIF(tblByteDanceUnits[Products],$A69, tblByteDanceUnits[cv_2020]) + SUMIF(tblCloudAOUnits[Products],$A69, tblCloudAOUnits[cv_2020])</f>
        <v>0</v>
      </c>
      <c r="E69" s="8">
        <f xml:space="preserve"> SUMIF(tblGoogleUnits[Products],$A69, tblGoogleUnits[cv_2021]) + SUMIF(tblMetaUnits[Products],$A69, tblMetaUnits[cv_2021]) + SUMIF(tblAmazonUnits[Products],$A69, tblAmazonUnits[cv_2021]) + SUMIF(tblMicrosoftUnits[Products],$A69, tblMicrosoftUnits[cv_2021]) + SUMIF(tblAppleUnits[Products],$A69, tblAppleUnits[cv_2021]) + SUMIF(tblAlibabaUnits[Products],$A69, tblAlibabaUnits[cv_2021]) + SUMIF(tblHuaweiUnits[Products],$A69, tblHuaweiUnits[cv_2021]) + SUMIF(tblTencentUnits[Products],$A69, tblTencentUnits[cv_2021]) + SUMIF(tblBaiduUnits[Products],$A69, tblBaiduUnits[cv_2021]) + SUMIF(tblByteDanceUnits[Products],$A69, tblByteDanceUnits[cv_2021]) + SUMIF(tblCloudAOUnits[Products],$A69, tblCloudAOUnits[cv_2021])</f>
        <v>0</v>
      </c>
      <c r="F69" s="8">
        <f xml:space="preserve"> SUMIF(tblGoogleUnits[Products],$A69, tblGoogleUnits[cv_2022]) + SUMIF(tblMetaUnits[Products],$A69, tblMetaUnits[cv_2022]) + SUMIF(tblAmazonUnits[Products],$A69, tblAmazonUnits[cv_2022]) + SUMIF(tblMicrosoftUnits[Products],$A69, tblMicrosoftUnits[cv_2022]) + SUMIF(tblAppleUnits[Products],$A69, tblAppleUnits[cv_2022]) + SUMIF(tblAlibabaUnits[Products],$A69, tblAlibabaUnits[cv_2022]) + SUMIF(tblHuaweiUnits[Products],$A69, tblHuaweiUnits[cv_2022]) + SUMIF(tblTencentUnits[Products],$A69, tblTencentUnits[cv_2022]) + SUMIF(tblBaiduUnits[Products],$A69, tblBaiduUnits[cv_2022]) + SUMIF(tblByteDanceUnits[Products],$A69, tblByteDanceUnits[cv_2022]) + SUMIF(tblCloudAOUnits[Products],$A69, tblCloudAOUnits[cv_2022])</f>
        <v>0</v>
      </c>
      <c r="G69" s="8">
        <f xml:space="preserve"> SUMIF(tblGoogleUnits[Products],$A69, tblGoogleUnits[cv_2023]) + SUMIF(tblMetaUnits[Products],$A69, tblMetaUnits[cv_2023]) + SUMIF(tblAmazonUnits[Products],$A69, tblAmazonUnits[cv_2023]) + SUMIF(tblMicrosoftUnits[Products],$A69, tblMicrosoftUnits[cv_2023]) + SUMIF(tblAppleUnits[Products],$A69, tblAppleUnits[cv_2023]) + SUMIF(tblAlibabaUnits[Products],$A69, tblAlibabaUnits[cv_2023]) + SUMIF(tblHuaweiUnits[Products],$A69, tblHuaweiUnits[cv_2023]) + SUMIF(tblTencentUnits[Products],$A69, tblTencentUnits[cv_2023]) + SUMIF(tblBaiduUnits[Products],$A69, tblBaiduUnits[cv_2023]) + SUMIF(tblByteDanceUnits[Products],$A69, tblByteDanceUnits[cv_2023]) + SUMIF(tblCloudAOUnits[Products],$A69, tblCloudAOUnits[cv_2023])</f>
        <v>0</v>
      </c>
      <c r="H69" s="8">
        <f xml:space="preserve"> SUMIF(tblGoogleUnits[Products],$A69, tblGoogleUnits[cv_2024]) + SUMIF(tblMetaUnits[Products],$A69, tblMetaUnits[cv_2024]) + SUMIF(tblAmazonUnits[Products],$A69, tblAmazonUnits[cv_2024]) + SUMIF(tblMicrosoftUnits[Products],$A69, tblMicrosoftUnits[cv_2024]) + SUMIF(tblAppleUnits[Products],$A69, tblAppleUnits[cv_2024]) + SUMIF(tblAlibabaUnits[Products],$A69, tblAlibabaUnits[cv_2024]) + SUMIF(tblHuaweiUnits[Products],$A69, tblHuaweiUnits[cv_2024]) + SUMIF(tblTencentUnits[Products],$A69, tblTencentUnits[cv_2024]) + SUMIF(tblBaiduUnits[Products],$A69, tblBaiduUnits[cv_2024]) + SUMIF(tblByteDanceUnits[Products],$A69, tblByteDanceUnits[cv_2024]) + SUMIF(tblCloudAOUnits[Products],$A69, tblCloudAOUnits[cv_2024])</f>
        <v>0</v>
      </c>
      <c r="I69" s="8">
        <f xml:space="preserve"> SUMIF(tblGoogleUnits[Products],$A69, tblGoogleUnits[cv_2025]) + SUMIF(tblMetaUnits[Products],$A69, tblMetaUnits[cv_2025]) + SUMIF(tblAmazonUnits[Products],$A69, tblAmazonUnits[cv_2025]) + SUMIF(tblMicrosoftUnits[Products],$A69, tblMicrosoftUnits[cv_2025]) + SUMIF(tblAppleUnits[Products],$A69, tblAppleUnits[cv_2025]) + SUMIF(tblAlibabaUnits[Products],$A69, tblAlibabaUnits[cv_2025]) + SUMIF(tblHuaweiUnits[Products],$A69, tblHuaweiUnits[cv_2025]) + SUMIF(tblTencentUnits[Products],$A69, tblTencentUnits[cv_2025]) + SUMIF(tblBaiduUnits[Products],$A69, tblBaiduUnits[cv_2025]) + SUMIF(tblByteDanceUnits[Products],$A69, tblByteDanceUnits[cv_2025]) + SUMIF(tblCloudAOUnits[Products],$A69, tblCloudAOUnits[cv_2025])</f>
        <v>0</v>
      </c>
      <c r="J69" s="8">
        <f xml:space="preserve"> SUMIF(tblGoogleUnits[Products],$A69, tblGoogleUnits[cv_2026]) + SUMIF(tblMetaUnits[Products],$A69, tblMetaUnits[cv_2026]) + SUMIF(tblAmazonUnits[Products],$A69, tblAmazonUnits[cv_2026]) + SUMIF(tblMicrosoftUnits[Products],$A69, tblMicrosoftUnits[cv_2026]) + SUMIF(tblAppleUnits[Products],$A69, tblAppleUnits[cv_2026]) + SUMIF(tblAlibabaUnits[Products],$A69, tblAlibabaUnits[cv_2026]) + SUMIF(tblHuaweiUnits[Products],$A69, tblHuaweiUnits[cv_2026]) + SUMIF(tblTencentUnits[Products],$A69, tblTencentUnits[cv_2026]) + SUMIF(tblBaiduUnits[Products],$A69, tblBaiduUnits[cv_2026]) + SUMIF(tblByteDanceUnits[Products],$A69, tblByteDanceUnits[cv_2026]) + SUMIF(tblCloudAOUnits[Products],$A69, tblCloudAOUnits[cv_2026])</f>
        <v>0</v>
      </c>
      <c r="K69" s="8">
        <f xml:space="preserve"> SUMIF(tblGoogleUnits[Products],$A69, tblGoogleUnits[cv_2027]) + SUMIF(tblMetaUnits[Products],$A69, tblMetaUnits[cv_2027]) + SUMIF(tblAmazonUnits[Products],$A69, tblAmazonUnits[cv_2027]) + SUMIF(tblMicrosoftUnits[Products],$A69, tblMicrosoftUnits[cv_2027]) + SUMIF(tblAppleUnits[Products],$A69, tblAppleUnits[cv_2027]) + SUMIF(tblAlibabaUnits[Products],$A69, tblAlibabaUnits[cv_2027]) + SUMIF(tblHuaweiUnits[Products],$A69, tblHuaweiUnits[cv_2027]) + SUMIF(tblTencentUnits[Products],$A69, tblTencentUnits[cv_2027]) + SUMIF(tblBaiduUnits[Products],$A69, tblBaiduUnits[cv_2027]) + SUMIF(tblByteDanceUnits[Products],$A69, tblByteDanceUnits[cv_2027]) + SUMIF(tblCloudAOUnits[Products],$A69, tblCloudAOUnits[cv_2027])</f>
        <v>0</v>
      </c>
      <c r="L69" s="8">
        <f xml:space="preserve"> SUMIF(tblGoogleUnits[Products],$A69, tblGoogleUnits[cv_2028]) + SUMIF(tblMetaUnits[Products],$A69, tblMetaUnits[cv_2028]) + SUMIF(tblAmazonUnits[Products],$A69, tblAmazonUnits[cv_2028]) + SUMIF(tblMicrosoftUnits[Products],$A69, tblMicrosoftUnits[cv_2028]) + SUMIF(tblAppleUnits[Products],$A69, tblAppleUnits[cv_2028]) + SUMIF(tblAlibabaUnits[Products],$A69, tblAlibabaUnits[cv_2028]) + SUMIF(tblHuaweiUnits[Products],$A69, tblHuaweiUnits[cv_2028]) + SUMIF(tblTencentUnits[Products],$A69, tblTencentUnits[cv_2028]) + SUMIF(tblBaiduUnits[Products],$A69, tblBaiduUnits[cv_2028]) + SUMIF(tblByteDanceUnits[Products],$A69, tblByteDanceUnits[cv_2028]) + SUMIF(tblCloudAOUnits[Products],$A69, tblCloudAOUnits[cv_2028])</f>
        <v>0</v>
      </c>
      <c r="M69" s="122">
        <f>10^-6*B69*INDEX(TotalMarket!$M$26:$W$125,MATCH($A69,$A$11:$A$132,0),MATCH(M$10,$M$10:$W$10))</f>
        <v>2.2000000000000002</v>
      </c>
      <c r="N69" s="122">
        <f>10^-6*C69*INDEX(TotalMarket!$M$26:$W$125,MATCH($A69,$A$11:$A$132,0),MATCH(N$10,$M$10:$W$10))</f>
        <v>23.873893630000001</v>
      </c>
      <c r="O69" s="122">
        <f>10^-6*D69*INDEX(TotalMarket!$M$26:$W$125,MATCH($A69,$A$11:$A$132,0),MATCH(O$10,$M$10:$W$10))</f>
        <v>0</v>
      </c>
      <c r="P69" s="122">
        <f>10^-6*E69*INDEX(TotalMarket!$M$26:$W$125,MATCH($A69,$A$11:$A$132,0),MATCH(P$10,$M$10:$W$10))</f>
        <v>0</v>
      </c>
      <c r="Q69" s="122">
        <f>10^-6*F69*INDEX(TotalMarket!$M$26:$W$125,MATCH($A69,$A$11:$A$132,0),MATCH(Q$10,$M$10:$W$10))</f>
        <v>0</v>
      </c>
      <c r="R69" s="122">
        <f>10^-6*G69*INDEX(TotalMarket!$M$26:$W$125,MATCH($A69,$A$11:$A$132,0),MATCH(R$10,$M$10:$W$10))</f>
        <v>0</v>
      </c>
      <c r="S69" s="122">
        <f>10^-6*H69*INDEX(TotalMarket!$M$26:$W$125,MATCH($A69,$A$11:$A$132,0),MATCH(S$10,$M$10:$W$10))</f>
        <v>0</v>
      </c>
      <c r="T69" s="122">
        <f>10^-6*I69*INDEX(TotalMarket!$M$26:$W$125,MATCH($A69,$A$11:$A$132,0),MATCH(T$10,$M$10:$W$10))</f>
        <v>0</v>
      </c>
      <c r="U69" s="122">
        <f>10^-6*J69*INDEX(TotalMarket!$M$26:$W$125,MATCH($A69,$A$11:$A$132,0),MATCH(U$10,$M$10:$W$10))</f>
        <v>0</v>
      </c>
      <c r="V69" s="122">
        <f>10^-6*K69*INDEX(TotalMarket!$M$26:$W$125,MATCH($A69,$A$11:$A$132,0),MATCH(V$10,$M$10:$W$10))</f>
        <v>0</v>
      </c>
      <c r="W69" s="122">
        <f>10^-6*L69*INDEX(TotalMarket!$M$26:$W$125,MATCH($A69,$A$11:$A$132,0),MATCH(W$10,$M$10:$W$10))</f>
        <v>0</v>
      </c>
      <c r="X69" s="1">
        <f>VLOOKUP(A69,Products!$A$29:$F$110,6,FALSE)</f>
        <v>400</v>
      </c>
    </row>
    <row r="70" spans="1:24">
      <c r="A70" s="15" t="s">
        <v>10</v>
      </c>
      <c r="B70" s="8">
        <f xml:space="preserve"> SUMIF(tblGoogleUnits[Products],$A70, tblGoogleUnits[cv_2018]) + SUMIF(tblMetaUnits[Products],$A70, tblMetaUnits[cv_2018]) + SUMIF(tblAmazonUnits[Products],$A70, tblAmazonUnits[cv_2018]) + SUMIF(tblMicrosoftUnits[Products],$A70, tblMicrosoftUnits[cv_2018]) + SUMIF(tblAppleUnits[Products],$A70, tblAppleUnits[cv_2018]) + SUMIF(tblAlibabaUnits[Products],$A70, tblAlibabaUnits[cv_2018]) + SUMIF(tblHuaweiUnits[Products],$A70, tblHuaweiUnits[cv_2018]) + SUMIF(tblTencentUnits[Products],$A70, tblTencentUnits[cv_2018]) + SUMIF(tblBaiduUnits[Products],$A70, tblBaiduUnits[cv_2018]) + SUMIF(tblByteDanceUnits[Products],$A70, tblByteDanceUnits[cv_2018]) + SUMIF(tblCloudAOUnits[Products],$A70, tblCloudAOUnits[cv_2018])</f>
        <v>12000</v>
      </c>
      <c r="C70" s="8">
        <f xml:space="preserve"> SUMIF(tblGoogleUnits[Products],$A70, tblGoogleUnits[cv_2019]) + SUMIF(tblMetaUnits[Products],$A70, tblMetaUnits[cv_2019]) + SUMIF(tblAmazonUnits[Products],$A70, tblAmazonUnits[cv_2019]) + SUMIF(tblMicrosoftUnits[Products],$A70, tblMicrosoftUnits[cv_2019]) + SUMIF(tblAppleUnits[Products],$A70, tblAppleUnits[cv_2019]) + SUMIF(tblAlibabaUnits[Products],$A70, tblAlibabaUnits[cv_2019]) + SUMIF(tblHuaweiUnits[Products],$A70, tblHuaweiUnits[cv_2019]) + SUMIF(tblTencentUnits[Products],$A70, tblTencentUnits[cv_2019]) + SUMIF(tblBaiduUnits[Products],$A70, tblBaiduUnits[cv_2019]) + SUMIF(tblByteDanceUnits[Products],$A70, tblByteDanceUnits[cv_2019]) + SUMIF(tblCloudAOUnits[Products],$A70, tblCloudAOUnits[cv_2019])</f>
        <v>53000</v>
      </c>
      <c r="D70" s="8">
        <f xml:space="preserve"> SUMIF(tblGoogleUnits[Products],$A70, tblGoogleUnits[cv_2020]) + SUMIF(tblMetaUnits[Products],$A70, tblMetaUnits[cv_2020]) + SUMIF(tblAmazonUnits[Products],$A70, tblAmazonUnits[cv_2020]) + SUMIF(tblMicrosoftUnits[Products],$A70, tblMicrosoftUnits[cv_2020]) + SUMIF(tblAppleUnits[Products],$A70, tblAppleUnits[cv_2020]) + SUMIF(tblAlibabaUnits[Products],$A70, tblAlibabaUnits[cv_2020]) + SUMIF(tblHuaweiUnits[Products],$A70, tblHuaweiUnits[cv_2020]) + SUMIF(tblTencentUnits[Products],$A70, tblTencentUnits[cv_2020]) + SUMIF(tblBaiduUnits[Products],$A70, tblBaiduUnits[cv_2020]) + SUMIF(tblByteDanceUnits[Products],$A70, tblByteDanceUnits[cv_2020]) + SUMIF(tblCloudAOUnits[Products],$A70, tblCloudAOUnits[cv_2020])</f>
        <v>0</v>
      </c>
      <c r="E70" s="8">
        <f xml:space="preserve"> SUMIF(tblGoogleUnits[Products],$A70, tblGoogleUnits[cv_2021]) + SUMIF(tblMetaUnits[Products],$A70, tblMetaUnits[cv_2021]) + SUMIF(tblAmazonUnits[Products],$A70, tblAmazonUnits[cv_2021]) + SUMIF(tblMicrosoftUnits[Products],$A70, tblMicrosoftUnits[cv_2021]) + SUMIF(tblAppleUnits[Products],$A70, tblAppleUnits[cv_2021]) + SUMIF(tblAlibabaUnits[Products],$A70, tblAlibabaUnits[cv_2021]) + SUMIF(tblHuaweiUnits[Products],$A70, tblHuaweiUnits[cv_2021]) + SUMIF(tblTencentUnits[Products],$A70, tblTencentUnits[cv_2021]) + SUMIF(tblBaiduUnits[Products],$A70, tblBaiduUnits[cv_2021]) + SUMIF(tblByteDanceUnits[Products],$A70, tblByteDanceUnits[cv_2021]) + SUMIF(tblCloudAOUnits[Products],$A70, tblCloudAOUnits[cv_2021])</f>
        <v>0</v>
      </c>
      <c r="F70" s="8">
        <f xml:space="preserve"> SUMIF(tblGoogleUnits[Products],$A70, tblGoogleUnits[cv_2022]) + SUMIF(tblMetaUnits[Products],$A70, tblMetaUnits[cv_2022]) + SUMIF(tblAmazonUnits[Products],$A70, tblAmazonUnits[cv_2022]) + SUMIF(tblMicrosoftUnits[Products],$A70, tblMicrosoftUnits[cv_2022]) + SUMIF(tblAppleUnits[Products],$A70, tblAppleUnits[cv_2022]) + SUMIF(tblAlibabaUnits[Products],$A70, tblAlibabaUnits[cv_2022]) + SUMIF(tblHuaweiUnits[Products],$A70, tblHuaweiUnits[cv_2022]) + SUMIF(tblTencentUnits[Products],$A70, tblTencentUnits[cv_2022]) + SUMIF(tblBaiduUnits[Products],$A70, tblBaiduUnits[cv_2022]) + SUMIF(tblByteDanceUnits[Products],$A70, tblByteDanceUnits[cv_2022]) + SUMIF(tblCloudAOUnits[Products],$A70, tblCloudAOUnits[cv_2022])</f>
        <v>0</v>
      </c>
      <c r="G70" s="8">
        <f xml:space="preserve"> SUMIF(tblGoogleUnits[Products],$A70, tblGoogleUnits[cv_2023]) + SUMIF(tblMetaUnits[Products],$A70, tblMetaUnits[cv_2023]) + SUMIF(tblAmazonUnits[Products],$A70, tblAmazonUnits[cv_2023]) + SUMIF(tblMicrosoftUnits[Products],$A70, tblMicrosoftUnits[cv_2023]) + SUMIF(tblAppleUnits[Products],$A70, tblAppleUnits[cv_2023]) + SUMIF(tblAlibabaUnits[Products],$A70, tblAlibabaUnits[cv_2023]) + SUMIF(tblHuaweiUnits[Products],$A70, tblHuaweiUnits[cv_2023]) + SUMIF(tblTencentUnits[Products],$A70, tblTencentUnits[cv_2023]) + SUMIF(tblBaiduUnits[Products],$A70, tblBaiduUnits[cv_2023]) + SUMIF(tblByteDanceUnits[Products],$A70, tblByteDanceUnits[cv_2023]) + SUMIF(tblCloudAOUnits[Products],$A70, tblCloudAOUnits[cv_2023])</f>
        <v>0</v>
      </c>
      <c r="H70" s="8">
        <f xml:space="preserve"> SUMIF(tblGoogleUnits[Products],$A70, tblGoogleUnits[cv_2024]) + SUMIF(tblMetaUnits[Products],$A70, tblMetaUnits[cv_2024]) + SUMIF(tblAmazonUnits[Products],$A70, tblAmazonUnits[cv_2024]) + SUMIF(tblMicrosoftUnits[Products],$A70, tblMicrosoftUnits[cv_2024]) + SUMIF(tblAppleUnits[Products],$A70, tblAppleUnits[cv_2024]) + SUMIF(tblAlibabaUnits[Products],$A70, tblAlibabaUnits[cv_2024]) + SUMIF(tblHuaweiUnits[Products],$A70, tblHuaweiUnits[cv_2024]) + SUMIF(tblTencentUnits[Products],$A70, tblTencentUnits[cv_2024]) + SUMIF(tblBaiduUnits[Products],$A70, tblBaiduUnits[cv_2024]) + SUMIF(tblByteDanceUnits[Products],$A70, tblByteDanceUnits[cv_2024]) + SUMIF(tblCloudAOUnits[Products],$A70, tblCloudAOUnits[cv_2024])</f>
        <v>0</v>
      </c>
      <c r="I70" s="8">
        <f xml:space="preserve"> SUMIF(tblGoogleUnits[Products],$A70, tblGoogleUnits[cv_2025]) + SUMIF(tblMetaUnits[Products],$A70, tblMetaUnits[cv_2025]) + SUMIF(tblAmazonUnits[Products],$A70, tblAmazonUnits[cv_2025]) + SUMIF(tblMicrosoftUnits[Products],$A70, tblMicrosoftUnits[cv_2025]) + SUMIF(tblAppleUnits[Products],$A70, tblAppleUnits[cv_2025]) + SUMIF(tblAlibabaUnits[Products],$A70, tblAlibabaUnits[cv_2025]) + SUMIF(tblHuaweiUnits[Products],$A70, tblHuaweiUnits[cv_2025]) + SUMIF(tblTencentUnits[Products],$A70, tblTencentUnits[cv_2025]) + SUMIF(tblBaiduUnits[Products],$A70, tblBaiduUnits[cv_2025]) + SUMIF(tblByteDanceUnits[Products],$A70, tblByteDanceUnits[cv_2025]) + SUMIF(tblCloudAOUnits[Products],$A70, tblCloudAOUnits[cv_2025])</f>
        <v>0</v>
      </c>
      <c r="J70" s="8">
        <f xml:space="preserve"> SUMIF(tblGoogleUnits[Products],$A70, tblGoogleUnits[cv_2026]) + SUMIF(tblMetaUnits[Products],$A70, tblMetaUnits[cv_2026]) + SUMIF(tblAmazonUnits[Products],$A70, tblAmazonUnits[cv_2026]) + SUMIF(tblMicrosoftUnits[Products],$A70, tblMicrosoftUnits[cv_2026]) + SUMIF(tblAppleUnits[Products],$A70, tblAppleUnits[cv_2026]) + SUMIF(tblAlibabaUnits[Products],$A70, tblAlibabaUnits[cv_2026]) + SUMIF(tblHuaweiUnits[Products],$A70, tblHuaweiUnits[cv_2026]) + SUMIF(tblTencentUnits[Products],$A70, tblTencentUnits[cv_2026]) + SUMIF(tblBaiduUnits[Products],$A70, tblBaiduUnits[cv_2026]) + SUMIF(tblByteDanceUnits[Products],$A70, tblByteDanceUnits[cv_2026]) + SUMIF(tblCloudAOUnits[Products],$A70, tblCloudAOUnits[cv_2026])</f>
        <v>0</v>
      </c>
      <c r="K70" s="8">
        <f xml:space="preserve"> SUMIF(tblGoogleUnits[Products],$A70, tblGoogleUnits[cv_2027]) + SUMIF(tblMetaUnits[Products],$A70, tblMetaUnits[cv_2027]) + SUMIF(tblAmazonUnits[Products],$A70, tblAmazonUnits[cv_2027]) + SUMIF(tblMicrosoftUnits[Products],$A70, tblMicrosoftUnits[cv_2027]) + SUMIF(tblAppleUnits[Products],$A70, tblAppleUnits[cv_2027]) + SUMIF(tblAlibabaUnits[Products],$A70, tblAlibabaUnits[cv_2027]) + SUMIF(tblHuaweiUnits[Products],$A70, tblHuaweiUnits[cv_2027]) + SUMIF(tblTencentUnits[Products],$A70, tblTencentUnits[cv_2027]) + SUMIF(tblBaiduUnits[Products],$A70, tblBaiduUnits[cv_2027]) + SUMIF(tblByteDanceUnits[Products],$A70, tblByteDanceUnits[cv_2027]) + SUMIF(tblCloudAOUnits[Products],$A70, tblCloudAOUnits[cv_2027])</f>
        <v>0</v>
      </c>
      <c r="L70" s="8">
        <f xml:space="preserve"> SUMIF(tblGoogleUnits[Products],$A70, tblGoogleUnits[cv_2028]) + SUMIF(tblMetaUnits[Products],$A70, tblMetaUnits[cv_2028]) + SUMIF(tblAmazonUnits[Products],$A70, tblAmazonUnits[cv_2028]) + SUMIF(tblMicrosoftUnits[Products],$A70, tblMicrosoftUnits[cv_2028]) + SUMIF(tblAppleUnits[Products],$A70, tblAppleUnits[cv_2028]) + SUMIF(tblAlibabaUnits[Products],$A70, tblAlibabaUnits[cv_2028]) + SUMIF(tblHuaweiUnits[Products],$A70, tblHuaweiUnits[cv_2028]) + SUMIF(tblTencentUnits[Products],$A70, tblTencentUnits[cv_2028]) + SUMIF(tblBaiduUnits[Products],$A70, tblBaiduUnits[cv_2028]) + SUMIF(tblByteDanceUnits[Products],$A70, tblByteDanceUnits[cv_2028]) + SUMIF(tblCloudAOUnits[Products],$A70, tblCloudAOUnits[cv_2028])</f>
        <v>0</v>
      </c>
      <c r="M70" s="122">
        <f>10^-6*B70*INDEX(TotalMarket!$M$26:$W$125,MATCH($A70,$A$11:$A$132,0),MATCH(M$10,$M$10:$W$10))</f>
        <v>22.2</v>
      </c>
      <c r="N70" s="122">
        <f>10^-6*C70*INDEX(TotalMarket!$M$26:$W$125,MATCH($A70,$A$11:$A$132,0),MATCH(N$10,$M$10:$W$10))</f>
        <v>53</v>
      </c>
      <c r="O70" s="122">
        <f>10^-6*D70*INDEX(TotalMarket!$M$26:$W$125,MATCH($A70,$A$11:$A$132,0),MATCH(O$10,$M$10:$W$10))</f>
        <v>0</v>
      </c>
      <c r="P70" s="122">
        <f>10^-6*E70*INDEX(TotalMarket!$M$26:$W$125,MATCH($A70,$A$11:$A$132,0),MATCH(P$10,$M$10:$W$10))</f>
        <v>0</v>
      </c>
      <c r="Q70" s="122">
        <f>10^-6*F70*INDEX(TotalMarket!$M$26:$W$125,MATCH($A70,$A$11:$A$132,0),MATCH(Q$10,$M$10:$W$10))</f>
        <v>0</v>
      </c>
      <c r="R70" s="122">
        <f>10^-6*G70*INDEX(TotalMarket!$M$26:$W$125,MATCH($A70,$A$11:$A$132,0),MATCH(R$10,$M$10:$W$10))</f>
        <v>0</v>
      </c>
      <c r="S70" s="122">
        <f>10^-6*H70*INDEX(TotalMarket!$M$26:$W$125,MATCH($A70,$A$11:$A$132,0),MATCH(S$10,$M$10:$W$10))</f>
        <v>0</v>
      </c>
      <c r="T70" s="122">
        <f>10^-6*I70*INDEX(TotalMarket!$M$26:$W$125,MATCH($A70,$A$11:$A$132,0),MATCH(T$10,$M$10:$W$10))</f>
        <v>0</v>
      </c>
      <c r="U70" s="122">
        <f>10^-6*J70*INDEX(TotalMarket!$M$26:$W$125,MATCH($A70,$A$11:$A$132,0),MATCH(U$10,$M$10:$W$10))</f>
        <v>0</v>
      </c>
      <c r="V70" s="122">
        <f>10^-6*K70*INDEX(TotalMarket!$M$26:$W$125,MATCH($A70,$A$11:$A$132,0),MATCH(V$10,$M$10:$W$10))</f>
        <v>0</v>
      </c>
      <c r="W70" s="122">
        <f>10^-6*L70*INDEX(TotalMarket!$M$26:$W$125,MATCH($A70,$A$11:$A$132,0),MATCH(W$10,$M$10:$W$10))</f>
        <v>0</v>
      </c>
      <c r="X70" s="1">
        <f>VLOOKUP(A70,Products!$A$29:$F$110,6,FALSE)</f>
        <v>400</v>
      </c>
    </row>
    <row r="71" spans="1:24">
      <c r="A71" s="15" t="s">
        <v>42</v>
      </c>
      <c r="B71" s="8">
        <f xml:space="preserve"> SUMIF(tblGoogleUnits[Products],$A71, tblGoogleUnits[cv_2018]) + SUMIF(tblMetaUnits[Products],$A71, tblMetaUnits[cv_2018]) + SUMIF(tblAmazonUnits[Products],$A71, tblAmazonUnits[cv_2018]) + SUMIF(tblMicrosoftUnits[Products],$A71, tblMicrosoftUnits[cv_2018]) + SUMIF(tblAppleUnits[Products],$A71, tblAppleUnits[cv_2018]) + SUMIF(tblAlibabaUnits[Products],$A71, tblAlibabaUnits[cv_2018]) + SUMIF(tblHuaweiUnits[Products],$A71, tblHuaweiUnits[cv_2018]) + SUMIF(tblTencentUnits[Products],$A71, tblTencentUnits[cv_2018]) + SUMIF(tblBaiduUnits[Products],$A71, tblBaiduUnits[cv_2018]) + SUMIF(tblByteDanceUnits[Products],$A71, tblByteDanceUnits[cv_2018]) + SUMIF(tblCloudAOUnits[Products],$A71, tblCloudAOUnits[cv_2018])</f>
        <v>1000</v>
      </c>
      <c r="C71" s="8">
        <f xml:space="preserve"> SUMIF(tblGoogleUnits[Products],$A71, tblGoogleUnits[cv_2019]) + SUMIF(tblMetaUnits[Products],$A71, tblMetaUnits[cv_2019]) + SUMIF(tblAmazonUnits[Products],$A71, tblAmazonUnits[cv_2019]) + SUMIF(tblMicrosoftUnits[Products],$A71, tblMicrosoftUnits[cv_2019]) + SUMIF(tblAppleUnits[Products],$A71, tblAppleUnits[cv_2019]) + SUMIF(tblAlibabaUnits[Products],$A71, tblAlibabaUnits[cv_2019]) + SUMIF(tblHuaweiUnits[Products],$A71, tblHuaweiUnits[cv_2019]) + SUMIF(tblTencentUnits[Products],$A71, tblTencentUnits[cv_2019]) + SUMIF(tblBaiduUnits[Products],$A71, tblBaiduUnits[cv_2019]) + SUMIF(tblByteDanceUnits[Products],$A71, tblByteDanceUnits[cv_2019]) + SUMIF(tblCloudAOUnits[Products],$A71, tblCloudAOUnits[cv_2019])</f>
        <v>2555</v>
      </c>
      <c r="D71" s="8">
        <f xml:space="preserve"> SUMIF(tblGoogleUnits[Products],$A71, tblGoogleUnits[cv_2020]) + SUMIF(tblMetaUnits[Products],$A71, tblMetaUnits[cv_2020]) + SUMIF(tblAmazonUnits[Products],$A71, tblAmazonUnits[cv_2020]) + SUMIF(tblMicrosoftUnits[Products],$A71, tblMicrosoftUnits[cv_2020]) + SUMIF(tblAppleUnits[Products],$A71, tblAppleUnits[cv_2020]) + SUMIF(tblAlibabaUnits[Products],$A71, tblAlibabaUnits[cv_2020]) + SUMIF(tblHuaweiUnits[Products],$A71, tblHuaweiUnits[cv_2020]) + SUMIF(tblTencentUnits[Products],$A71, tblTencentUnits[cv_2020]) + SUMIF(tblBaiduUnits[Products],$A71, tblBaiduUnits[cv_2020]) + SUMIF(tblByteDanceUnits[Products],$A71, tblByteDanceUnits[cv_2020]) + SUMIF(tblCloudAOUnits[Products],$A71, tblCloudAOUnits[cv_2020])</f>
        <v>0</v>
      </c>
      <c r="E71" s="8">
        <f xml:space="preserve"> SUMIF(tblGoogleUnits[Products],$A71, tblGoogleUnits[cv_2021]) + SUMIF(tblMetaUnits[Products],$A71, tblMetaUnits[cv_2021]) + SUMIF(tblAmazonUnits[Products],$A71, tblAmazonUnits[cv_2021]) + SUMIF(tblMicrosoftUnits[Products],$A71, tblMicrosoftUnits[cv_2021]) + SUMIF(tblAppleUnits[Products],$A71, tblAppleUnits[cv_2021]) + SUMIF(tblAlibabaUnits[Products],$A71, tblAlibabaUnits[cv_2021]) + SUMIF(tblHuaweiUnits[Products],$A71, tblHuaweiUnits[cv_2021]) + SUMIF(tblTencentUnits[Products],$A71, tblTencentUnits[cv_2021]) + SUMIF(tblBaiduUnits[Products],$A71, tblBaiduUnits[cv_2021]) + SUMIF(tblByteDanceUnits[Products],$A71, tblByteDanceUnits[cv_2021]) + SUMIF(tblCloudAOUnits[Products],$A71, tblCloudAOUnits[cv_2021])</f>
        <v>0</v>
      </c>
      <c r="F71" s="8">
        <f xml:space="preserve"> SUMIF(tblGoogleUnits[Products],$A71, tblGoogleUnits[cv_2022]) + SUMIF(tblMetaUnits[Products],$A71, tblMetaUnits[cv_2022]) + SUMIF(tblAmazonUnits[Products],$A71, tblAmazonUnits[cv_2022]) + SUMIF(tblMicrosoftUnits[Products],$A71, tblMicrosoftUnits[cv_2022]) + SUMIF(tblAppleUnits[Products],$A71, tblAppleUnits[cv_2022]) + SUMIF(tblAlibabaUnits[Products],$A71, tblAlibabaUnits[cv_2022]) + SUMIF(tblHuaweiUnits[Products],$A71, tblHuaweiUnits[cv_2022]) + SUMIF(tblTencentUnits[Products],$A71, tblTencentUnits[cv_2022]) + SUMIF(tblBaiduUnits[Products],$A71, tblBaiduUnits[cv_2022]) + SUMIF(tblByteDanceUnits[Products],$A71, tblByteDanceUnits[cv_2022]) + SUMIF(tblCloudAOUnits[Products],$A71, tblCloudAOUnits[cv_2022])</f>
        <v>0</v>
      </c>
      <c r="G71" s="8">
        <f xml:space="preserve"> SUMIF(tblGoogleUnits[Products],$A71, tblGoogleUnits[cv_2023]) + SUMIF(tblMetaUnits[Products],$A71, tblMetaUnits[cv_2023]) + SUMIF(tblAmazonUnits[Products],$A71, tblAmazonUnits[cv_2023]) + SUMIF(tblMicrosoftUnits[Products],$A71, tblMicrosoftUnits[cv_2023]) + SUMIF(tblAppleUnits[Products],$A71, tblAppleUnits[cv_2023]) + SUMIF(tblAlibabaUnits[Products],$A71, tblAlibabaUnits[cv_2023]) + SUMIF(tblHuaweiUnits[Products],$A71, tblHuaweiUnits[cv_2023]) + SUMIF(tblTencentUnits[Products],$A71, tblTencentUnits[cv_2023]) + SUMIF(tblBaiduUnits[Products],$A71, tblBaiduUnits[cv_2023]) + SUMIF(tblByteDanceUnits[Products],$A71, tblByteDanceUnits[cv_2023]) + SUMIF(tblCloudAOUnits[Products],$A71, tblCloudAOUnits[cv_2023])</f>
        <v>0</v>
      </c>
      <c r="H71" s="8">
        <f xml:space="preserve"> SUMIF(tblGoogleUnits[Products],$A71, tblGoogleUnits[cv_2024]) + SUMIF(tblMetaUnits[Products],$A71, tblMetaUnits[cv_2024]) + SUMIF(tblAmazonUnits[Products],$A71, tblAmazonUnits[cv_2024]) + SUMIF(tblMicrosoftUnits[Products],$A71, tblMicrosoftUnits[cv_2024]) + SUMIF(tblAppleUnits[Products],$A71, tblAppleUnits[cv_2024]) + SUMIF(tblAlibabaUnits[Products],$A71, tblAlibabaUnits[cv_2024]) + SUMIF(tblHuaweiUnits[Products],$A71, tblHuaweiUnits[cv_2024]) + SUMIF(tblTencentUnits[Products],$A71, tblTencentUnits[cv_2024]) + SUMIF(tblBaiduUnits[Products],$A71, tblBaiduUnits[cv_2024]) + SUMIF(tblByteDanceUnits[Products],$A71, tblByteDanceUnits[cv_2024]) + SUMIF(tblCloudAOUnits[Products],$A71, tblCloudAOUnits[cv_2024])</f>
        <v>0</v>
      </c>
      <c r="I71" s="8">
        <f xml:space="preserve"> SUMIF(tblGoogleUnits[Products],$A71, tblGoogleUnits[cv_2025]) + SUMIF(tblMetaUnits[Products],$A71, tblMetaUnits[cv_2025]) + SUMIF(tblAmazonUnits[Products],$A71, tblAmazonUnits[cv_2025]) + SUMIF(tblMicrosoftUnits[Products],$A71, tblMicrosoftUnits[cv_2025]) + SUMIF(tblAppleUnits[Products],$A71, tblAppleUnits[cv_2025]) + SUMIF(tblAlibabaUnits[Products],$A71, tblAlibabaUnits[cv_2025]) + SUMIF(tblHuaweiUnits[Products],$A71, tblHuaweiUnits[cv_2025]) + SUMIF(tblTencentUnits[Products],$A71, tblTencentUnits[cv_2025]) + SUMIF(tblBaiduUnits[Products],$A71, tblBaiduUnits[cv_2025]) + SUMIF(tblByteDanceUnits[Products],$A71, tblByteDanceUnits[cv_2025]) + SUMIF(tblCloudAOUnits[Products],$A71, tblCloudAOUnits[cv_2025])</f>
        <v>0</v>
      </c>
      <c r="J71" s="8">
        <f xml:space="preserve"> SUMIF(tblGoogleUnits[Products],$A71, tblGoogleUnits[cv_2026]) + SUMIF(tblMetaUnits[Products],$A71, tblMetaUnits[cv_2026]) + SUMIF(tblAmazonUnits[Products],$A71, tblAmazonUnits[cv_2026]) + SUMIF(tblMicrosoftUnits[Products],$A71, tblMicrosoftUnits[cv_2026]) + SUMIF(tblAppleUnits[Products],$A71, tblAppleUnits[cv_2026]) + SUMIF(tblAlibabaUnits[Products],$A71, tblAlibabaUnits[cv_2026]) + SUMIF(tblHuaweiUnits[Products],$A71, tblHuaweiUnits[cv_2026]) + SUMIF(tblTencentUnits[Products],$A71, tblTencentUnits[cv_2026]) + SUMIF(tblBaiduUnits[Products],$A71, tblBaiduUnits[cv_2026]) + SUMIF(tblByteDanceUnits[Products],$A71, tblByteDanceUnits[cv_2026]) + SUMIF(tblCloudAOUnits[Products],$A71, tblCloudAOUnits[cv_2026])</f>
        <v>0</v>
      </c>
      <c r="K71" s="8">
        <f xml:space="preserve"> SUMIF(tblGoogleUnits[Products],$A71, tblGoogleUnits[cv_2027]) + SUMIF(tblMetaUnits[Products],$A71, tblMetaUnits[cv_2027]) + SUMIF(tblAmazonUnits[Products],$A71, tblAmazonUnits[cv_2027]) + SUMIF(tblMicrosoftUnits[Products],$A71, tblMicrosoftUnits[cv_2027]) + SUMIF(tblAppleUnits[Products],$A71, tblAppleUnits[cv_2027]) + SUMIF(tblAlibabaUnits[Products],$A71, tblAlibabaUnits[cv_2027]) + SUMIF(tblHuaweiUnits[Products],$A71, tblHuaweiUnits[cv_2027]) + SUMIF(tblTencentUnits[Products],$A71, tblTencentUnits[cv_2027]) + SUMIF(tblBaiduUnits[Products],$A71, tblBaiduUnits[cv_2027]) + SUMIF(tblByteDanceUnits[Products],$A71, tblByteDanceUnits[cv_2027]) + SUMIF(tblCloudAOUnits[Products],$A71, tblCloudAOUnits[cv_2027])</f>
        <v>0</v>
      </c>
      <c r="L71" s="8">
        <f xml:space="preserve"> SUMIF(tblGoogleUnits[Products],$A71, tblGoogleUnits[cv_2028]) + SUMIF(tblMetaUnits[Products],$A71, tblMetaUnits[cv_2028]) + SUMIF(tblAmazonUnits[Products],$A71, tblAmazonUnits[cv_2028]) + SUMIF(tblMicrosoftUnits[Products],$A71, tblMicrosoftUnits[cv_2028]) + SUMIF(tblAppleUnits[Products],$A71, tblAppleUnits[cv_2028]) + SUMIF(tblAlibabaUnits[Products],$A71, tblAlibabaUnits[cv_2028]) + SUMIF(tblHuaweiUnits[Products],$A71, tblHuaweiUnits[cv_2028]) + SUMIF(tblTencentUnits[Products],$A71, tblTencentUnits[cv_2028]) + SUMIF(tblBaiduUnits[Products],$A71, tblBaiduUnits[cv_2028]) + SUMIF(tblByteDanceUnits[Products],$A71, tblByteDanceUnits[cv_2028]) + SUMIF(tblCloudAOUnits[Products],$A71, tblCloudAOUnits[cv_2028])</f>
        <v>0</v>
      </c>
      <c r="M71" s="122">
        <f>10^-6*B71*INDEX(TotalMarket!$M$26:$W$125,MATCH($A71,$A$11:$A$132,0),MATCH(M$10,$M$10:$W$10))</f>
        <v>2</v>
      </c>
      <c r="N71" s="122">
        <f>10^-6*C71*INDEX(TotalMarket!$M$26:$W$125,MATCH($A71,$A$11:$A$132,0),MATCH(N$10,$M$10:$W$10))</f>
        <v>3.8726706791818861</v>
      </c>
      <c r="O71" s="122">
        <f>10^-6*D71*INDEX(TotalMarket!$M$26:$W$125,MATCH($A71,$A$11:$A$132,0),MATCH(O$10,$M$10:$W$10))</f>
        <v>0</v>
      </c>
      <c r="P71" s="122">
        <f>10^-6*E71*INDEX(TotalMarket!$M$26:$W$125,MATCH($A71,$A$11:$A$132,0),MATCH(P$10,$M$10:$W$10))</f>
        <v>0</v>
      </c>
      <c r="Q71" s="122">
        <f>10^-6*F71*INDEX(TotalMarket!$M$26:$W$125,MATCH($A71,$A$11:$A$132,0),MATCH(Q$10,$M$10:$W$10))</f>
        <v>0</v>
      </c>
      <c r="R71" s="122">
        <f>10^-6*G71*INDEX(TotalMarket!$M$26:$W$125,MATCH($A71,$A$11:$A$132,0),MATCH(R$10,$M$10:$W$10))</f>
        <v>0</v>
      </c>
      <c r="S71" s="122">
        <f>10^-6*H71*INDEX(TotalMarket!$M$26:$W$125,MATCH($A71,$A$11:$A$132,0),MATCH(S$10,$M$10:$W$10))</f>
        <v>0</v>
      </c>
      <c r="T71" s="122">
        <f>10^-6*I71*INDEX(TotalMarket!$M$26:$W$125,MATCH($A71,$A$11:$A$132,0),MATCH(T$10,$M$10:$W$10))</f>
        <v>0</v>
      </c>
      <c r="U71" s="122">
        <f>10^-6*J71*INDEX(TotalMarket!$M$26:$W$125,MATCH($A71,$A$11:$A$132,0),MATCH(U$10,$M$10:$W$10))</f>
        <v>0</v>
      </c>
      <c r="V71" s="122">
        <f>10^-6*K71*INDEX(TotalMarket!$M$26:$W$125,MATCH($A71,$A$11:$A$132,0),MATCH(V$10,$M$10:$W$10))</f>
        <v>0</v>
      </c>
      <c r="W71" s="122">
        <f>10^-6*L71*INDEX(TotalMarket!$M$26:$W$125,MATCH($A71,$A$11:$A$132,0),MATCH(W$10,$M$10:$W$10))</f>
        <v>0</v>
      </c>
      <c r="X71" s="1">
        <f>VLOOKUP(A71,Products!$A$29:$F$110,6,FALSE)</f>
        <v>400</v>
      </c>
    </row>
    <row r="72" spans="1:24">
      <c r="A72" s="15" t="s">
        <v>12</v>
      </c>
      <c r="B72" s="8">
        <f xml:space="preserve"> SUMIF(tblGoogleUnits[Products],$A72, tblGoogleUnits[cv_2018]) + SUMIF(tblMetaUnits[Products],$A72, tblMetaUnits[cv_2018]) + SUMIF(tblAmazonUnits[Products],$A72, tblAmazonUnits[cv_2018]) + SUMIF(tblMicrosoftUnits[Products],$A72, tblMicrosoftUnits[cv_2018]) + SUMIF(tblAppleUnits[Products],$A72, tblAppleUnits[cv_2018]) + SUMIF(tblAlibabaUnits[Products],$A72, tblAlibabaUnits[cv_2018]) + SUMIF(tblHuaweiUnits[Products],$A72, tblHuaweiUnits[cv_2018]) + SUMIF(tblTencentUnits[Products],$A72, tblTencentUnits[cv_2018]) + SUMIF(tblBaiduUnits[Products],$A72, tblBaiduUnits[cv_2018]) + SUMIF(tblByteDanceUnits[Products],$A72, tblByteDanceUnits[cv_2018]) + SUMIF(tblCloudAOUnits[Products],$A72, tblCloudAOUnits[cv_2018])</f>
        <v>99.999999999999972</v>
      </c>
      <c r="C72" s="8">
        <f xml:space="preserve"> SUMIF(tblGoogleUnits[Products],$A72, tblGoogleUnits[cv_2019]) + SUMIF(tblMetaUnits[Products],$A72, tblMetaUnits[cv_2019]) + SUMIF(tblAmazonUnits[Products],$A72, tblAmazonUnits[cv_2019]) + SUMIF(tblMicrosoftUnits[Products],$A72, tblMicrosoftUnits[cv_2019]) + SUMIF(tblAppleUnits[Products],$A72, tblAppleUnits[cv_2019]) + SUMIF(tblAlibabaUnits[Products],$A72, tblAlibabaUnits[cv_2019]) + SUMIF(tblHuaweiUnits[Products],$A72, tblHuaweiUnits[cv_2019]) + SUMIF(tblTencentUnits[Products],$A72, tblTencentUnits[cv_2019]) + SUMIF(tblBaiduUnits[Products],$A72, tblBaiduUnits[cv_2019]) + SUMIF(tblByteDanceUnits[Products],$A72, tblByteDanceUnits[cv_2019]) + SUMIF(tblCloudAOUnits[Products],$A72, tblCloudAOUnits[cv_2019])</f>
        <v>363.52527472527464</v>
      </c>
      <c r="D72" s="8">
        <f xml:space="preserve"> SUMIF(tblGoogleUnits[Products],$A72, tblGoogleUnits[cv_2020]) + SUMIF(tblMetaUnits[Products],$A72, tblMetaUnits[cv_2020]) + SUMIF(tblAmazonUnits[Products],$A72, tblAmazonUnits[cv_2020]) + SUMIF(tblMicrosoftUnits[Products],$A72, tblMicrosoftUnits[cv_2020]) + SUMIF(tblAppleUnits[Products],$A72, tblAppleUnits[cv_2020]) + SUMIF(tblAlibabaUnits[Products],$A72, tblAlibabaUnits[cv_2020]) + SUMIF(tblHuaweiUnits[Products],$A72, tblHuaweiUnits[cv_2020]) + SUMIF(tblTencentUnits[Products],$A72, tblTencentUnits[cv_2020]) + SUMIF(tblBaiduUnits[Products],$A72, tblBaiduUnits[cv_2020]) + SUMIF(tblByteDanceUnits[Products],$A72, tblByteDanceUnits[cv_2020]) + SUMIF(tblCloudAOUnits[Products],$A72, tblCloudAOUnits[cv_2020])</f>
        <v>0</v>
      </c>
      <c r="E72" s="8">
        <f xml:space="preserve"> SUMIF(tblGoogleUnits[Products],$A72, tblGoogleUnits[cv_2021]) + SUMIF(tblMetaUnits[Products],$A72, tblMetaUnits[cv_2021]) + SUMIF(tblAmazonUnits[Products],$A72, tblAmazonUnits[cv_2021]) + SUMIF(tblMicrosoftUnits[Products],$A72, tblMicrosoftUnits[cv_2021]) + SUMIF(tblAppleUnits[Products],$A72, tblAppleUnits[cv_2021]) + SUMIF(tblAlibabaUnits[Products],$A72, tblAlibabaUnits[cv_2021]) + SUMIF(tblHuaweiUnits[Products],$A72, tblHuaweiUnits[cv_2021]) + SUMIF(tblTencentUnits[Products],$A72, tblTencentUnits[cv_2021]) + SUMIF(tblBaiduUnits[Products],$A72, tblBaiduUnits[cv_2021]) + SUMIF(tblByteDanceUnits[Products],$A72, tblByteDanceUnits[cv_2021]) + SUMIF(tblCloudAOUnits[Products],$A72, tblCloudAOUnits[cv_2021])</f>
        <v>0</v>
      </c>
      <c r="F72" s="8">
        <f xml:space="preserve"> SUMIF(tblGoogleUnits[Products],$A72, tblGoogleUnits[cv_2022]) + SUMIF(tblMetaUnits[Products],$A72, tblMetaUnits[cv_2022]) + SUMIF(tblAmazonUnits[Products],$A72, tblAmazonUnits[cv_2022]) + SUMIF(tblMicrosoftUnits[Products],$A72, tblMicrosoftUnits[cv_2022]) + SUMIF(tblAppleUnits[Products],$A72, tblAppleUnits[cv_2022]) + SUMIF(tblAlibabaUnits[Products],$A72, tblAlibabaUnits[cv_2022]) + SUMIF(tblHuaweiUnits[Products],$A72, tblHuaweiUnits[cv_2022]) + SUMIF(tblTencentUnits[Products],$A72, tblTencentUnits[cv_2022]) + SUMIF(tblBaiduUnits[Products],$A72, tblBaiduUnits[cv_2022]) + SUMIF(tblByteDanceUnits[Products],$A72, tblByteDanceUnits[cv_2022]) + SUMIF(tblCloudAOUnits[Products],$A72, tblCloudAOUnits[cv_2022])</f>
        <v>0</v>
      </c>
      <c r="G72" s="8">
        <f xml:space="preserve"> SUMIF(tblGoogleUnits[Products],$A72, tblGoogleUnits[cv_2023]) + SUMIF(tblMetaUnits[Products],$A72, tblMetaUnits[cv_2023]) + SUMIF(tblAmazonUnits[Products],$A72, tblAmazonUnits[cv_2023]) + SUMIF(tblMicrosoftUnits[Products],$A72, tblMicrosoftUnits[cv_2023]) + SUMIF(tblAppleUnits[Products],$A72, tblAppleUnits[cv_2023]) + SUMIF(tblAlibabaUnits[Products],$A72, tblAlibabaUnits[cv_2023]) + SUMIF(tblHuaweiUnits[Products],$A72, tblHuaweiUnits[cv_2023]) + SUMIF(tblTencentUnits[Products],$A72, tblTencentUnits[cv_2023]) + SUMIF(tblBaiduUnits[Products],$A72, tblBaiduUnits[cv_2023]) + SUMIF(tblByteDanceUnits[Products],$A72, tblByteDanceUnits[cv_2023]) + SUMIF(tblCloudAOUnits[Products],$A72, tblCloudAOUnits[cv_2023])</f>
        <v>0</v>
      </c>
      <c r="H72" s="8">
        <f xml:space="preserve"> SUMIF(tblGoogleUnits[Products],$A72, tblGoogleUnits[cv_2024]) + SUMIF(tblMetaUnits[Products],$A72, tblMetaUnits[cv_2024]) + SUMIF(tblAmazonUnits[Products],$A72, tblAmazonUnits[cv_2024]) + SUMIF(tblMicrosoftUnits[Products],$A72, tblMicrosoftUnits[cv_2024]) + SUMIF(tblAppleUnits[Products],$A72, tblAppleUnits[cv_2024]) + SUMIF(tblAlibabaUnits[Products],$A72, tblAlibabaUnits[cv_2024]) + SUMIF(tblHuaweiUnits[Products],$A72, tblHuaweiUnits[cv_2024]) + SUMIF(tblTencentUnits[Products],$A72, tblTencentUnits[cv_2024]) + SUMIF(tblBaiduUnits[Products],$A72, tblBaiduUnits[cv_2024]) + SUMIF(tblByteDanceUnits[Products],$A72, tblByteDanceUnits[cv_2024]) + SUMIF(tblCloudAOUnits[Products],$A72, tblCloudAOUnits[cv_2024])</f>
        <v>0</v>
      </c>
      <c r="I72" s="8">
        <f xml:space="preserve"> SUMIF(tblGoogleUnits[Products],$A72, tblGoogleUnits[cv_2025]) + SUMIF(tblMetaUnits[Products],$A72, tblMetaUnits[cv_2025]) + SUMIF(tblAmazonUnits[Products],$A72, tblAmazonUnits[cv_2025]) + SUMIF(tblMicrosoftUnits[Products],$A72, tblMicrosoftUnits[cv_2025]) + SUMIF(tblAppleUnits[Products],$A72, tblAppleUnits[cv_2025]) + SUMIF(tblAlibabaUnits[Products],$A72, tblAlibabaUnits[cv_2025]) + SUMIF(tblHuaweiUnits[Products],$A72, tblHuaweiUnits[cv_2025]) + SUMIF(tblTencentUnits[Products],$A72, tblTencentUnits[cv_2025]) + SUMIF(tblBaiduUnits[Products],$A72, tblBaiduUnits[cv_2025]) + SUMIF(tblByteDanceUnits[Products],$A72, tblByteDanceUnits[cv_2025]) + SUMIF(tblCloudAOUnits[Products],$A72, tblCloudAOUnits[cv_2025])</f>
        <v>0</v>
      </c>
      <c r="J72" s="8">
        <f xml:space="preserve"> SUMIF(tblGoogleUnits[Products],$A72, tblGoogleUnits[cv_2026]) + SUMIF(tblMetaUnits[Products],$A72, tblMetaUnits[cv_2026]) + SUMIF(tblAmazonUnits[Products],$A72, tblAmazonUnits[cv_2026]) + SUMIF(tblMicrosoftUnits[Products],$A72, tblMicrosoftUnits[cv_2026]) + SUMIF(tblAppleUnits[Products],$A72, tblAppleUnits[cv_2026]) + SUMIF(tblAlibabaUnits[Products],$A72, tblAlibabaUnits[cv_2026]) + SUMIF(tblHuaweiUnits[Products],$A72, tblHuaweiUnits[cv_2026]) + SUMIF(tblTencentUnits[Products],$A72, tblTencentUnits[cv_2026]) + SUMIF(tblBaiduUnits[Products],$A72, tblBaiduUnits[cv_2026]) + SUMIF(tblByteDanceUnits[Products],$A72, tblByteDanceUnits[cv_2026]) + SUMIF(tblCloudAOUnits[Products],$A72, tblCloudAOUnits[cv_2026])</f>
        <v>0</v>
      </c>
      <c r="K72" s="8">
        <f xml:space="preserve"> SUMIF(tblGoogleUnits[Products],$A72, tblGoogleUnits[cv_2027]) + SUMIF(tblMetaUnits[Products],$A72, tblMetaUnits[cv_2027]) + SUMIF(tblAmazonUnits[Products],$A72, tblAmazonUnits[cv_2027]) + SUMIF(tblMicrosoftUnits[Products],$A72, tblMicrosoftUnits[cv_2027]) + SUMIF(tblAppleUnits[Products],$A72, tblAppleUnits[cv_2027]) + SUMIF(tblAlibabaUnits[Products],$A72, tblAlibabaUnits[cv_2027]) + SUMIF(tblHuaweiUnits[Products],$A72, tblHuaweiUnits[cv_2027]) + SUMIF(tblTencentUnits[Products],$A72, tblTencentUnits[cv_2027]) + SUMIF(tblBaiduUnits[Products],$A72, tblBaiduUnits[cv_2027]) + SUMIF(tblByteDanceUnits[Products],$A72, tblByteDanceUnits[cv_2027]) + SUMIF(tblCloudAOUnits[Products],$A72, tblCloudAOUnits[cv_2027])</f>
        <v>0</v>
      </c>
      <c r="L72" s="8">
        <f xml:space="preserve"> SUMIF(tblGoogleUnits[Products],$A72, tblGoogleUnits[cv_2028]) + SUMIF(tblMetaUnits[Products],$A72, tblMetaUnits[cv_2028]) + SUMIF(tblAmazonUnits[Products],$A72, tblAmazonUnits[cv_2028]) + SUMIF(tblMicrosoftUnits[Products],$A72, tblMicrosoftUnits[cv_2028]) + SUMIF(tblAppleUnits[Products],$A72, tblAppleUnits[cv_2028]) + SUMIF(tblAlibabaUnits[Products],$A72, tblAlibabaUnits[cv_2028]) + SUMIF(tblHuaweiUnits[Products],$A72, tblHuaweiUnits[cv_2028]) + SUMIF(tblTencentUnits[Products],$A72, tblTencentUnits[cv_2028]) + SUMIF(tblBaiduUnits[Products],$A72, tblBaiduUnits[cv_2028]) + SUMIF(tblByteDanceUnits[Products],$A72, tblByteDanceUnits[cv_2028]) + SUMIF(tblCloudAOUnits[Products],$A72, tblCloudAOUnits[cv_2028])</f>
        <v>0</v>
      </c>
      <c r="M72" s="122">
        <f>10^-6*B72*INDEX(TotalMarket!$M$26:$W$125,MATCH($A72,$A$11:$A$132,0),MATCH(M$10,$M$10:$W$10))</f>
        <v>0.79999999999999971</v>
      </c>
      <c r="N72" s="122">
        <f>10^-6*C72*INDEX(TotalMarket!$M$26:$W$125,MATCH($A72,$A$11:$A$132,0),MATCH(N$10,$M$10:$W$10))</f>
        <v>2.4034810775999991</v>
      </c>
      <c r="O72" s="122">
        <f>10^-6*D72*INDEX(TotalMarket!$M$26:$W$125,MATCH($A72,$A$11:$A$132,0),MATCH(O$10,$M$10:$W$10))</f>
        <v>0</v>
      </c>
      <c r="P72" s="122">
        <f>10^-6*E72*INDEX(TotalMarket!$M$26:$W$125,MATCH($A72,$A$11:$A$132,0),MATCH(P$10,$M$10:$W$10))</f>
        <v>0</v>
      </c>
      <c r="Q72" s="122">
        <f>10^-6*F72*INDEX(TotalMarket!$M$26:$W$125,MATCH($A72,$A$11:$A$132,0),MATCH(Q$10,$M$10:$W$10))</f>
        <v>0</v>
      </c>
      <c r="R72" s="122">
        <f>10^-6*G72*INDEX(TotalMarket!$M$26:$W$125,MATCH($A72,$A$11:$A$132,0),MATCH(R$10,$M$10:$W$10))</f>
        <v>0</v>
      </c>
      <c r="S72" s="122">
        <f>10^-6*H72*INDEX(TotalMarket!$M$26:$W$125,MATCH($A72,$A$11:$A$132,0),MATCH(S$10,$M$10:$W$10))</f>
        <v>0</v>
      </c>
      <c r="T72" s="122">
        <f>10^-6*I72*INDEX(TotalMarket!$M$26:$W$125,MATCH($A72,$A$11:$A$132,0),MATCH(T$10,$M$10:$W$10))</f>
        <v>0</v>
      </c>
      <c r="U72" s="122">
        <f>10^-6*J72*INDEX(TotalMarket!$M$26:$W$125,MATCH($A72,$A$11:$A$132,0),MATCH(U$10,$M$10:$W$10))</f>
        <v>0</v>
      </c>
      <c r="V72" s="122">
        <f>10^-6*K72*INDEX(TotalMarket!$M$26:$W$125,MATCH($A72,$A$11:$A$132,0),MATCH(V$10,$M$10:$W$10))</f>
        <v>0</v>
      </c>
      <c r="W72" s="122">
        <f>10^-6*L72*INDEX(TotalMarket!$M$26:$W$125,MATCH($A72,$A$11:$A$132,0),MATCH(W$10,$M$10:$W$10))</f>
        <v>0</v>
      </c>
      <c r="X72" s="1">
        <f>VLOOKUP(A72,Products!$A$29:$F$110,6,FALSE)</f>
        <v>400</v>
      </c>
    </row>
    <row r="73" spans="1:24">
      <c r="A73" s="15" t="s">
        <v>190</v>
      </c>
      <c r="B73" s="8">
        <f xml:space="preserve"> SUMIF(tblGoogleUnits[Products],$A73, tblGoogleUnits[cv_2018]) + SUMIF(tblMetaUnits[Products],$A73, tblMetaUnits[cv_2018]) + SUMIF(tblAmazonUnits[Products],$A73, tblAmazonUnits[cv_2018]) + SUMIF(tblMicrosoftUnits[Products],$A73, tblMicrosoftUnits[cv_2018]) + SUMIF(tblAppleUnits[Products],$A73, tblAppleUnits[cv_2018]) + SUMIF(tblAlibabaUnits[Products],$A73, tblAlibabaUnits[cv_2018]) + SUMIF(tblHuaweiUnits[Products],$A73, tblHuaweiUnits[cv_2018]) + SUMIF(tblTencentUnits[Products],$A73, tblTencentUnits[cv_2018]) + SUMIF(tblBaiduUnits[Products],$A73, tblBaiduUnits[cv_2018]) + SUMIF(tblByteDanceUnits[Products],$A73, tblByteDanceUnits[cv_2018]) + SUMIF(tblCloudAOUnits[Products],$A73, tblCloudAOUnits[cv_2018])</f>
        <v>0</v>
      </c>
      <c r="C73" s="8">
        <f xml:space="preserve"> SUMIF(tblGoogleUnits[Products],$A73, tblGoogleUnits[cv_2019]) + SUMIF(tblMetaUnits[Products],$A73, tblMetaUnits[cv_2019]) + SUMIF(tblAmazonUnits[Products],$A73, tblAmazonUnits[cv_2019]) + SUMIF(tblMicrosoftUnits[Products],$A73, tblMicrosoftUnits[cv_2019]) + SUMIF(tblAppleUnits[Products],$A73, tblAppleUnits[cv_2019]) + SUMIF(tblAlibabaUnits[Products],$A73, tblAlibabaUnits[cv_2019]) + SUMIF(tblHuaweiUnits[Products],$A73, tblHuaweiUnits[cv_2019]) + SUMIF(tblTencentUnits[Products],$A73, tblTencentUnits[cv_2019]) + SUMIF(tblBaiduUnits[Products],$A73, tblBaiduUnits[cv_2019]) + SUMIF(tblByteDanceUnits[Products],$A73, tblByteDanceUnits[cv_2019]) + SUMIF(tblCloudAOUnits[Products],$A73, tblCloudAOUnits[cv_2019])</f>
        <v>0</v>
      </c>
      <c r="D73" s="8">
        <f xml:space="preserve"> SUMIF(tblGoogleUnits[Products],$A73, tblGoogleUnits[cv_2020]) + SUMIF(tblMetaUnits[Products],$A73, tblMetaUnits[cv_2020]) + SUMIF(tblAmazonUnits[Products],$A73, tblAmazonUnits[cv_2020]) + SUMIF(tblMicrosoftUnits[Products],$A73, tblMicrosoftUnits[cv_2020]) + SUMIF(tblAppleUnits[Products],$A73, tblAppleUnits[cv_2020]) + SUMIF(tblAlibabaUnits[Products],$A73, tblAlibabaUnits[cv_2020]) + SUMIF(tblHuaweiUnits[Products],$A73, tblHuaweiUnits[cv_2020]) + SUMIF(tblTencentUnits[Products],$A73, tblTencentUnits[cv_2020]) + SUMIF(tblBaiduUnits[Products],$A73, tblBaiduUnits[cv_2020]) + SUMIF(tblByteDanceUnits[Products],$A73, tblByteDanceUnits[cv_2020]) + SUMIF(tblCloudAOUnits[Products],$A73, tblCloudAOUnits[cv_2020])</f>
        <v>0</v>
      </c>
      <c r="E73" s="8">
        <f xml:space="preserve"> SUMIF(tblGoogleUnits[Products],$A73, tblGoogleUnits[cv_2021]) + SUMIF(tblMetaUnits[Products],$A73, tblMetaUnits[cv_2021]) + SUMIF(tblAmazonUnits[Products],$A73, tblAmazonUnits[cv_2021]) + SUMIF(tblMicrosoftUnits[Products],$A73, tblMicrosoftUnits[cv_2021]) + SUMIF(tblAppleUnits[Products],$A73, tblAppleUnits[cv_2021]) + SUMIF(tblAlibabaUnits[Products],$A73, tblAlibabaUnits[cv_2021]) + SUMIF(tblHuaweiUnits[Products],$A73, tblHuaweiUnits[cv_2021]) + SUMIF(tblTencentUnits[Products],$A73, tblTencentUnits[cv_2021]) + SUMIF(tblBaiduUnits[Products],$A73, tblBaiduUnits[cv_2021]) + SUMIF(tblByteDanceUnits[Products],$A73, tblByteDanceUnits[cv_2021]) + SUMIF(tblCloudAOUnits[Products],$A73, tblCloudAOUnits[cv_2021])</f>
        <v>0</v>
      </c>
      <c r="F73" s="8">
        <f xml:space="preserve"> SUMIF(tblGoogleUnits[Products],$A73, tblGoogleUnits[cv_2022]) + SUMIF(tblMetaUnits[Products],$A73, tblMetaUnits[cv_2022]) + SUMIF(tblAmazonUnits[Products],$A73, tblAmazonUnits[cv_2022]) + SUMIF(tblMicrosoftUnits[Products],$A73, tblMicrosoftUnits[cv_2022]) + SUMIF(tblAppleUnits[Products],$A73, tblAppleUnits[cv_2022]) + SUMIF(tblAlibabaUnits[Products],$A73, tblAlibabaUnits[cv_2022]) + SUMIF(tblHuaweiUnits[Products],$A73, tblHuaweiUnits[cv_2022]) + SUMIF(tblTencentUnits[Products],$A73, tblTencentUnits[cv_2022]) + SUMIF(tblBaiduUnits[Products],$A73, tblBaiduUnits[cv_2022]) + SUMIF(tblByteDanceUnits[Products],$A73, tblByteDanceUnits[cv_2022]) + SUMIF(tblCloudAOUnits[Products],$A73, tblCloudAOUnits[cv_2022])</f>
        <v>0</v>
      </c>
      <c r="G73" s="8">
        <f xml:space="preserve"> SUMIF(tblGoogleUnits[Products],$A73, tblGoogleUnits[cv_2023]) + SUMIF(tblMetaUnits[Products],$A73, tblMetaUnits[cv_2023]) + SUMIF(tblAmazonUnits[Products],$A73, tblAmazonUnits[cv_2023]) + SUMIF(tblMicrosoftUnits[Products],$A73, tblMicrosoftUnits[cv_2023]) + SUMIF(tblAppleUnits[Products],$A73, tblAppleUnits[cv_2023]) + SUMIF(tblAlibabaUnits[Products],$A73, tblAlibabaUnits[cv_2023]) + SUMIF(tblHuaweiUnits[Products],$A73, tblHuaweiUnits[cv_2023]) + SUMIF(tblTencentUnits[Products],$A73, tblTencentUnits[cv_2023]) + SUMIF(tblBaiduUnits[Products],$A73, tblBaiduUnits[cv_2023]) + SUMIF(tblByteDanceUnits[Products],$A73, tblByteDanceUnits[cv_2023]) + SUMIF(tblCloudAOUnits[Products],$A73, tblCloudAOUnits[cv_2023])</f>
        <v>0</v>
      </c>
      <c r="H73" s="8">
        <f xml:space="preserve"> SUMIF(tblGoogleUnits[Products],$A73, tblGoogleUnits[cv_2024]) + SUMIF(tblMetaUnits[Products],$A73, tblMetaUnits[cv_2024]) + SUMIF(tblAmazonUnits[Products],$A73, tblAmazonUnits[cv_2024]) + SUMIF(tblMicrosoftUnits[Products],$A73, tblMicrosoftUnits[cv_2024]) + SUMIF(tblAppleUnits[Products],$A73, tblAppleUnits[cv_2024]) + SUMIF(tblAlibabaUnits[Products],$A73, tblAlibabaUnits[cv_2024]) + SUMIF(tblHuaweiUnits[Products],$A73, tblHuaweiUnits[cv_2024]) + SUMIF(tblTencentUnits[Products],$A73, tblTencentUnits[cv_2024]) + SUMIF(tblBaiduUnits[Products],$A73, tblBaiduUnits[cv_2024]) + SUMIF(tblByteDanceUnits[Products],$A73, tblByteDanceUnits[cv_2024]) + SUMIF(tblCloudAOUnits[Products],$A73, tblCloudAOUnits[cv_2024])</f>
        <v>0</v>
      </c>
      <c r="I73" s="8">
        <f xml:space="preserve"> SUMIF(tblGoogleUnits[Products],$A73, tblGoogleUnits[cv_2025]) + SUMIF(tblMetaUnits[Products],$A73, tblMetaUnits[cv_2025]) + SUMIF(tblAmazonUnits[Products],$A73, tblAmazonUnits[cv_2025]) + SUMIF(tblMicrosoftUnits[Products],$A73, tblMicrosoftUnits[cv_2025]) + SUMIF(tblAppleUnits[Products],$A73, tblAppleUnits[cv_2025]) + SUMIF(tblAlibabaUnits[Products],$A73, tblAlibabaUnits[cv_2025]) + SUMIF(tblHuaweiUnits[Products],$A73, tblHuaweiUnits[cv_2025]) + SUMIF(tblTencentUnits[Products],$A73, tblTencentUnits[cv_2025]) + SUMIF(tblBaiduUnits[Products],$A73, tblBaiduUnits[cv_2025]) + SUMIF(tblByteDanceUnits[Products],$A73, tblByteDanceUnits[cv_2025]) + SUMIF(tblCloudAOUnits[Products],$A73, tblCloudAOUnits[cv_2025])</f>
        <v>0</v>
      </c>
      <c r="J73" s="8">
        <f xml:space="preserve"> SUMIF(tblGoogleUnits[Products],$A73, tblGoogleUnits[cv_2026]) + SUMIF(tblMetaUnits[Products],$A73, tblMetaUnits[cv_2026]) + SUMIF(tblAmazonUnits[Products],$A73, tblAmazonUnits[cv_2026]) + SUMIF(tblMicrosoftUnits[Products],$A73, tblMicrosoftUnits[cv_2026]) + SUMIF(tblAppleUnits[Products],$A73, tblAppleUnits[cv_2026]) + SUMIF(tblAlibabaUnits[Products],$A73, tblAlibabaUnits[cv_2026]) + SUMIF(tblHuaweiUnits[Products],$A73, tblHuaweiUnits[cv_2026]) + SUMIF(tblTencentUnits[Products],$A73, tblTencentUnits[cv_2026]) + SUMIF(tblBaiduUnits[Products],$A73, tblBaiduUnits[cv_2026]) + SUMIF(tblByteDanceUnits[Products],$A73, tblByteDanceUnits[cv_2026]) + SUMIF(tblCloudAOUnits[Products],$A73, tblCloudAOUnits[cv_2026])</f>
        <v>0</v>
      </c>
      <c r="K73" s="8">
        <f xml:space="preserve"> SUMIF(tblGoogleUnits[Products],$A73, tblGoogleUnits[cv_2027]) + SUMIF(tblMetaUnits[Products],$A73, tblMetaUnits[cv_2027]) + SUMIF(tblAmazonUnits[Products],$A73, tblAmazonUnits[cv_2027]) + SUMIF(tblMicrosoftUnits[Products],$A73, tblMicrosoftUnits[cv_2027]) + SUMIF(tblAppleUnits[Products],$A73, tblAppleUnits[cv_2027]) + SUMIF(tblAlibabaUnits[Products],$A73, tblAlibabaUnits[cv_2027]) + SUMIF(tblHuaweiUnits[Products],$A73, tblHuaweiUnits[cv_2027]) + SUMIF(tblTencentUnits[Products],$A73, tblTencentUnits[cv_2027]) + SUMIF(tblBaiduUnits[Products],$A73, tblBaiduUnits[cv_2027]) + SUMIF(tblByteDanceUnits[Products],$A73, tblByteDanceUnits[cv_2027]) + SUMIF(tblCloudAOUnits[Products],$A73, tblCloudAOUnits[cv_2027])</f>
        <v>0</v>
      </c>
      <c r="L73" s="8">
        <f xml:space="preserve"> SUMIF(tblGoogleUnits[Products],$A73, tblGoogleUnits[cv_2028]) + SUMIF(tblMetaUnits[Products],$A73, tblMetaUnits[cv_2028]) + SUMIF(tblAmazonUnits[Products],$A73, tblAmazonUnits[cv_2028]) + SUMIF(tblMicrosoftUnits[Products],$A73, tblMicrosoftUnits[cv_2028]) + SUMIF(tblAppleUnits[Products],$A73, tblAppleUnits[cv_2028]) + SUMIF(tblAlibabaUnits[Products],$A73, tblAlibabaUnits[cv_2028]) + SUMIF(tblHuaweiUnits[Products],$A73, tblHuaweiUnits[cv_2028]) + SUMIF(tblTencentUnits[Products],$A73, tblTencentUnits[cv_2028]) + SUMIF(tblBaiduUnits[Products],$A73, tblBaiduUnits[cv_2028]) + SUMIF(tblByteDanceUnits[Products],$A73, tblByteDanceUnits[cv_2028]) + SUMIF(tblCloudAOUnits[Products],$A73, tblCloudAOUnits[cv_2028])</f>
        <v>0</v>
      </c>
      <c r="M73" s="122">
        <f>10^-6*B73*INDEX(TotalMarket!$M$26:$W$125,MATCH($A73,$A$11:$A$132,0),MATCH(M$10,$M$10:$W$10))</f>
        <v>0</v>
      </c>
      <c r="N73" s="122">
        <f>10^-6*C73*INDEX(TotalMarket!$M$26:$W$125,MATCH($A73,$A$11:$A$132,0),MATCH(N$10,$M$10:$W$10))</f>
        <v>0</v>
      </c>
      <c r="O73" s="122">
        <f>10^-6*D73*INDEX(TotalMarket!$M$26:$W$125,MATCH($A73,$A$11:$A$132,0),MATCH(O$10,$M$10:$W$10))</f>
        <v>0</v>
      </c>
      <c r="P73" s="122">
        <f>10^-6*E73*INDEX(TotalMarket!$M$26:$W$125,MATCH($A73,$A$11:$A$132,0),MATCH(P$10,$M$10:$W$10))</f>
        <v>0</v>
      </c>
      <c r="Q73" s="122">
        <f>10^-6*F73*INDEX(TotalMarket!$M$26:$W$125,MATCH($A73,$A$11:$A$132,0),MATCH(Q$10,$M$10:$W$10))</f>
        <v>0</v>
      </c>
      <c r="R73" s="122">
        <f>10^-6*G73*INDEX(TotalMarket!$M$26:$W$125,MATCH($A73,$A$11:$A$132,0),MATCH(R$10,$M$10:$W$10))</f>
        <v>0</v>
      </c>
      <c r="S73" s="122">
        <f>10^-6*H73*INDEX(TotalMarket!$M$26:$W$125,MATCH($A73,$A$11:$A$132,0),MATCH(S$10,$M$10:$W$10))</f>
        <v>0</v>
      </c>
      <c r="T73" s="122">
        <f>10^-6*I73*INDEX(TotalMarket!$M$26:$W$125,MATCH($A73,$A$11:$A$132,0),MATCH(T$10,$M$10:$W$10))</f>
        <v>0</v>
      </c>
      <c r="U73" s="122">
        <f>10^-6*J73*INDEX(TotalMarket!$M$26:$W$125,MATCH($A73,$A$11:$A$132,0),MATCH(U$10,$M$10:$W$10))</f>
        <v>0</v>
      </c>
      <c r="V73" s="122">
        <f>10^-6*K73*INDEX(TotalMarket!$M$26:$W$125,MATCH($A73,$A$11:$A$132,0),MATCH(V$10,$M$10:$W$10))</f>
        <v>0</v>
      </c>
      <c r="W73" s="122">
        <f>10^-6*L73*INDEX(TotalMarket!$M$26:$W$125,MATCH($A73,$A$11:$A$132,0),MATCH(W$10,$M$10:$W$10))</f>
        <v>0</v>
      </c>
      <c r="X73" s="1">
        <f>VLOOKUP(A73,Products!$A$29:$F$110,6,FALSE)</f>
        <v>400</v>
      </c>
    </row>
    <row r="74" spans="1:24">
      <c r="A74" s="15" t="s">
        <v>48</v>
      </c>
      <c r="B74" s="8">
        <f xml:space="preserve"> SUMIF(tblGoogleUnits[Products],$A74, tblGoogleUnits[cv_2018]) + SUMIF(tblMetaUnits[Products],$A74, tblMetaUnits[cv_2018]) + SUMIF(tblAmazonUnits[Products],$A74, tblAmazonUnits[cv_2018]) + SUMIF(tblMicrosoftUnits[Products],$A74, tblMicrosoftUnits[cv_2018]) + SUMIF(tblAppleUnits[Products],$A74, tblAppleUnits[cv_2018]) + SUMIF(tblAlibabaUnits[Products],$A74, tblAlibabaUnits[cv_2018]) + SUMIF(tblHuaweiUnits[Products],$A74, tblHuaweiUnits[cv_2018]) + SUMIF(tblTencentUnits[Products],$A74, tblTencentUnits[cv_2018]) + SUMIF(tblBaiduUnits[Products],$A74, tblBaiduUnits[cv_2018]) + SUMIF(tblByteDanceUnits[Products],$A74, tblByteDanceUnits[cv_2018]) + SUMIF(tblCloudAOUnits[Products],$A74, tblCloudAOUnits[cv_2018])</f>
        <v>0</v>
      </c>
      <c r="C74" s="8">
        <f xml:space="preserve"> SUMIF(tblGoogleUnits[Products],$A74, tblGoogleUnits[cv_2019]) + SUMIF(tblMetaUnits[Products],$A74, tblMetaUnits[cv_2019]) + SUMIF(tblAmazonUnits[Products],$A74, tblAmazonUnits[cv_2019]) + SUMIF(tblMicrosoftUnits[Products],$A74, tblMicrosoftUnits[cv_2019]) + SUMIF(tblAppleUnits[Products],$A74, tblAppleUnits[cv_2019]) + SUMIF(tblAlibabaUnits[Products],$A74, tblAlibabaUnits[cv_2019]) + SUMIF(tblHuaweiUnits[Products],$A74, tblHuaweiUnits[cv_2019]) + SUMIF(tblTencentUnits[Products],$A74, tblTencentUnits[cv_2019]) + SUMIF(tblBaiduUnits[Products],$A74, tblBaiduUnits[cv_2019]) + SUMIF(tblByteDanceUnits[Products],$A74, tblByteDanceUnits[cv_2019]) + SUMIF(tblCloudAOUnits[Products],$A74, tblCloudAOUnits[cv_2019])</f>
        <v>0</v>
      </c>
      <c r="D74" s="8">
        <f xml:space="preserve"> SUMIF(tblGoogleUnits[Products],$A74, tblGoogleUnits[cv_2020]) + SUMIF(tblMetaUnits[Products],$A74, tblMetaUnits[cv_2020]) + SUMIF(tblAmazonUnits[Products],$A74, tblAmazonUnits[cv_2020]) + SUMIF(tblMicrosoftUnits[Products],$A74, tblMicrosoftUnits[cv_2020]) + SUMIF(tblAppleUnits[Products],$A74, tblAppleUnits[cv_2020]) + SUMIF(tblAlibabaUnits[Products],$A74, tblAlibabaUnits[cv_2020]) + SUMIF(tblHuaweiUnits[Products],$A74, tblHuaweiUnits[cv_2020]) + SUMIF(tblTencentUnits[Products],$A74, tblTencentUnits[cv_2020]) + SUMIF(tblBaiduUnits[Products],$A74, tblBaiduUnits[cv_2020]) + SUMIF(tblByteDanceUnits[Products],$A74, tblByteDanceUnits[cv_2020]) + SUMIF(tblCloudAOUnits[Products],$A74, tblCloudAOUnits[cv_2020])</f>
        <v>0</v>
      </c>
      <c r="E74" s="8">
        <f xml:space="preserve"> SUMIF(tblGoogleUnits[Products],$A74, tblGoogleUnits[cv_2021]) + SUMIF(tblMetaUnits[Products],$A74, tblMetaUnits[cv_2021]) + SUMIF(tblAmazonUnits[Products],$A74, tblAmazonUnits[cv_2021]) + SUMIF(tblMicrosoftUnits[Products],$A74, tblMicrosoftUnits[cv_2021]) + SUMIF(tblAppleUnits[Products],$A74, tblAppleUnits[cv_2021]) + SUMIF(tblAlibabaUnits[Products],$A74, tblAlibabaUnits[cv_2021]) + SUMIF(tblHuaweiUnits[Products],$A74, tblHuaweiUnits[cv_2021]) + SUMIF(tblTencentUnits[Products],$A74, tblTencentUnits[cv_2021]) + SUMIF(tblBaiduUnits[Products],$A74, tblBaiduUnits[cv_2021]) + SUMIF(tblByteDanceUnits[Products],$A74, tblByteDanceUnits[cv_2021]) + SUMIF(tblCloudAOUnits[Products],$A74, tblCloudAOUnits[cv_2021])</f>
        <v>0</v>
      </c>
      <c r="F74" s="8">
        <f xml:space="preserve"> SUMIF(tblGoogleUnits[Products],$A74, tblGoogleUnits[cv_2022]) + SUMIF(tblMetaUnits[Products],$A74, tblMetaUnits[cv_2022]) + SUMIF(tblAmazonUnits[Products],$A74, tblAmazonUnits[cv_2022]) + SUMIF(tblMicrosoftUnits[Products],$A74, tblMicrosoftUnits[cv_2022]) + SUMIF(tblAppleUnits[Products],$A74, tblAppleUnits[cv_2022]) + SUMIF(tblAlibabaUnits[Products],$A74, tblAlibabaUnits[cv_2022]) + SUMIF(tblHuaweiUnits[Products],$A74, tblHuaweiUnits[cv_2022]) + SUMIF(tblTencentUnits[Products],$A74, tblTencentUnits[cv_2022]) + SUMIF(tblBaiduUnits[Products],$A74, tblBaiduUnits[cv_2022]) + SUMIF(tblByteDanceUnits[Products],$A74, tblByteDanceUnits[cv_2022]) + SUMIF(tblCloudAOUnits[Products],$A74, tblCloudAOUnits[cv_2022])</f>
        <v>0</v>
      </c>
      <c r="G74" s="8">
        <f xml:space="preserve"> SUMIF(tblGoogleUnits[Products],$A74, tblGoogleUnits[cv_2023]) + SUMIF(tblMetaUnits[Products],$A74, tblMetaUnits[cv_2023]) + SUMIF(tblAmazonUnits[Products],$A74, tblAmazonUnits[cv_2023]) + SUMIF(tblMicrosoftUnits[Products],$A74, tblMicrosoftUnits[cv_2023]) + SUMIF(tblAppleUnits[Products],$A74, tblAppleUnits[cv_2023]) + SUMIF(tblAlibabaUnits[Products],$A74, tblAlibabaUnits[cv_2023]) + SUMIF(tblHuaweiUnits[Products],$A74, tblHuaweiUnits[cv_2023]) + SUMIF(tblTencentUnits[Products],$A74, tblTencentUnits[cv_2023]) + SUMIF(tblBaiduUnits[Products],$A74, tblBaiduUnits[cv_2023]) + SUMIF(tblByteDanceUnits[Products],$A74, tblByteDanceUnits[cv_2023]) + SUMIF(tblCloudAOUnits[Products],$A74, tblCloudAOUnits[cv_2023])</f>
        <v>0</v>
      </c>
      <c r="H74" s="8">
        <f xml:space="preserve"> SUMIF(tblGoogleUnits[Products],$A74, tblGoogleUnits[cv_2024]) + SUMIF(tblMetaUnits[Products],$A74, tblMetaUnits[cv_2024]) + SUMIF(tblAmazonUnits[Products],$A74, tblAmazonUnits[cv_2024]) + SUMIF(tblMicrosoftUnits[Products],$A74, tblMicrosoftUnits[cv_2024]) + SUMIF(tblAppleUnits[Products],$A74, tblAppleUnits[cv_2024]) + SUMIF(tblAlibabaUnits[Products],$A74, tblAlibabaUnits[cv_2024]) + SUMIF(tblHuaweiUnits[Products],$A74, tblHuaweiUnits[cv_2024]) + SUMIF(tblTencentUnits[Products],$A74, tblTencentUnits[cv_2024]) + SUMIF(tblBaiduUnits[Products],$A74, tblBaiduUnits[cv_2024]) + SUMIF(tblByteDanceUnits[Products],$A74, tblByteDanceUnits[cv_2024]) + SUMIF(tblCloudAOUnits[Products],$A74, tblCloudAOUnits[cv_2024])</f>
        <v>0</v>
      </c>
      <c r="I74" s="8">
        <f xml:space="preserve"> SUMIF(tblGoogleUnits[Products],$A74, tblGoogleUnits[cv_2025]) + SUMIF(tblMetaUnits[Products],$A74, tblMetaUnits[cv_2025]) + SUMIF(tblAmazonUnits[Products],$A74, tblAmazonUnits[cv_2025]) + SUMIF(tblMicrosoftUnits[Products],$A74, tblMicrosoftUnits[cv_2025]) + SUMIF(tblAppleUnits[Products],$A74, tblAppleUnits[cv_2025]) + SUMIF(tblAlibabaUnits[Products],$A74, tblAlibabaUnits[cv_2025]) + SUMIF(tblHuaweiUnits[Products],$A74, tblHuaweiUnits[cv_2025]) + SUMIF(tblTencentUnits[Products],$A74, tblTencentUnits[cv_2025]) + SUMIF(tblBaiduUnits[Products],$A74, tblBaiduUnits[cv_2025]) + SUMIF(tblByteDanceUnits[Products],$A74, tblByteDanceUnits[cv_2025]) + SUMIF(tblCloudAOUnits[Products],$A74, tblCloudAOUnits[cv_2025])</f>
        <v>0</v>
      </c>
      <c r="J74" s="8">
        <f xml:space="preserve"> SUMIF(tblGoogleUnits[Products],$A74, tblGoogleUnits[cv_2026]) + SUMIF(tblMetaUnits[Products],$A74, tblMetaUnits[cv_2026]) + SUMIF(tblAmazonUnits[Products],$A74, tblAmazonUnits[cv_2026]) + SUMIF(tblMicrosoftUnits[Products],$A74, tblMicrosoftUnits[cv_2026]) + SUMIF(tblAppleUnits[Products],$A74, tblAppleUnits[cv_2026]) + SUMIF(tblAlibabaUnits[Products],$A74, tblAlibabaUnits[cv_2026]) + SUMIF(tblHuaweiUnits[Products],$A74, tblHuaweiUnits[cv_2026]) + SUMIF(tblTencentUnits[Products],$A74, tblTencentUnits[cv_2026]) + SUMIF(tblBaiduUnits[Products],$A74, tblBaiduUnits[cv_2026]) + SUMIF(tblByteDanceUnits[Products],$A74, tblByteDanceUnits[cv_2026]) + SUMIF(tblCloudAOUnits[Products],$A74, tblCloudAOUnits[cv_2026])</f>
        <v>0</v>
      </c>
      <c r="K74" s="8">
        <f xml:space="preserve"> SUMIF(tblGoogleUnits[Products],$A74, tblGoogleUnits[cv_2027]) + SUMIF(tblMetaUnits[Products],$A74, tblMetaUnits[cv_2027]) + SUMIF(tblAmazonUnits[Products],$A74, tblAmazonUnits[cv_2027]) + SUMIF(tblMicrosoftUnits[Products],$A74, tblMicrosoftUnits[cv_2027]) + SUMIF(tblAppleUnits[Products],$A74, tblAppleUnits[cv_2027]) + SUMIF(tblAlibabaUnits[Products],$A74, tblAlibabaUnits[cv_2027]) + SUMIF(tblHuaweiUnits[Products],$A74, tblHuaweiUnits[cv_2027]) + SUMIF(tblTencentUnits[Products],$A74, tblTencentUnits[cv_2027]) + SUMIF(tblBaiduUnits[Products],$A74, tblBaiduUnits[cv_2027]) + SUMIF(tblByteDanceUnits[Products],$A74, tblByteDanceUnits[cv_2027]) + SUMIF(tblCloudAOUnits[Products],$A74, tblCloudAOUnits[cv_2027])</f>
        <v>0</v>
      </c>
      <c r="L74" s="8">
        <f xml:space="preserve"> SUMIF(tblGoogleUnits[Products],$A74, tblGoogleUnits[cv_2028]) + SUMIF(tblMetaUnits[Products],$A74, tblMetaUnits[cv_2028]) + SUMIF(tblAmazonUnits[Products],$A74, tblAmazonUnits[cv_2028]) + SUMIF(tblMicrosoftUnits[Products],$A74, tblMicrosoftUnits[cv_2028]) + SUMIF(tblAppleUnits[Products],$A74, tblAppleUnits[cv_2028]) + SUMIF(tblAlibabaUnits[Products],$A74, tblAlibabaUnits[cv_2028]) + SUMIF(tblHuaweiUnits[Products],$A74, tblHuaweiUnits[cv_2028]) + SUMIF(tblTencentUnits[Products],$A74, tblTencentUnits[cv_2028]) + SUMIF(tblBaiduUnits[Products],$A74, tblBaiduUnits[cv_2028]) + SUMIF(tblByteDanceUnits[Products],$A74, tblByteDanceUnits[cv_2028]) + SUMIF(tblCloudAOUnits[Products],$A74, tblCloudAOUnits[cv_2028])</f>
        <v>0</v>
      </c>
      <c r="M74" s="122">
        <f>10^-6*B74*INDEX(TotalMarket!$M$26:$W$125,MATCH($A74,$A$11:$A$132,0),MATCH(M$10,$M$10:$W$10))</f>
        <v>0</v>
      </c>
      <c r="N74" s="122">
        <f>10^-6*C74*INDEX(TotalMarket!$M$26:$W$125,MATCH($A74,$A$11:$A$132,0),MATCH(N$10,$M$10:$W$10))</f>
        <v>0</v>
      </c>
      <c r="O74" s="122">
        <f>10^-6*D74*INDEX(TotalMarket!$M$26:$W$125,MATCH($A74,$A$11:$A$132,0),MATCH(O$10,$M$10:$W$10))</f>
        <v>0</v>
      </c>
      <c r="P74" s="122">
        <f>10^-6*E74*INDEX(TotalMarket!$M$26:$W$125,MATCH($A74,$A$11:$A$132,0),MATCH(P$10,$M$10:$W$10))</f>
        <v>0</v>
      </c>
      <c r="Q74" s="122">
        <f>10^-6*F74*INDEX(TotalMarket!$M$26:$W$125,MATCH($A74,$A$11:$A$132,0),MATCH(Q$10,$M$10:$W$10))</f>
        <v>0</v>
      </c>
      <c r="R74" s="122">
        <f>10^-6*G74*INDEX(TotalMarket!$M$26:$W$125,MATCH($A74,$A$11:$A$132,0),MATCH(R$10,$M$10:$W$10))</f>
        <v>0</v>
      </c>
      <c r="S74" s="122">
        <f>10^-6*H74*INDEX(TotalMarket!$M$26:$W$125,MATCH($A74,$A$11:$A$132,0),MATCH(S$10,$M$10:$W$10))</f>
        <v>0</v>
      </c>
      <c r="T74" s="122">
        <f>10^-6*I74*INDEX(TotalMarket!$M$26:$W$125,MATCH($A74,$A$11:$A$132,0),MATCH(T$10,$M$10:$W$10))</f>
        <v>0</v>
      </c>
      <c r="U74" s="122">
        <f>10^-6*J74*INDEX(TotalMarket!$M$26:$W$125,MATCH($A74,$A$11:$A$132,0),MATCH(U$10,$M$10:$W$10))</f>
        <v>0</v>
      </c>
      <c r="V74" s="122">
        <f>10^-6*K74*INDEX(TotalMarket!$M$26:$W$125,MATCH($A74,$A$11:$A$132,0),MATCH(V$10,$M$10:$W$10))</f>
        <v>0</v>
      </c>
      <c r="W74" s="122">
        <f>10^-6*L74*INDEX(TotalMarket!$M$26:$W$125,MATCH($A74,$A$11:$A$132,0),MATCH(W$10,$M$10:$W$10))</f>
        <v>0</v>
      </c>
      <c r="X74" s="1">
        <f>VLOOKUP(A74,Products!$A$29:$F$110,6,FALSE)</f>
        <v>800</v>
      </c>
    </row>
    <row r="75" spans="1:24">
      <c r="A75" s="15" t="s">
        <v>13</v>
      </c>
      <c r="B75" s="8">
        <f xml:space="preserve"> SUMIF(tblGoogleUnits[Products],$A75, tblGoogleUnits[cv_2018]) + SUMIF(tblMetaUnits[Products],$A75, tblMetaUnits[cv_2018]) + SUMIF(tblAmazonUnits[Products],$A75, tblAmazonUnits[cv_2018]) + SUMIF(tblMicrosoftUnits[Products],$A75, tblMicrosoftUnits[cv_2018]) + SUMIF(tblAppleUnits[Products],$A75, tblAppleUnits[cv_2018]) + SUMIF(tblAlibabaUnits[Products],$A75, tblAlibabaUnits[cv_2018]) + SUMIF(tblHuaweiUnits[Products],$A75, tblHuaweiUnits[cv_2018]) + SUMIF(tblTencentUnits[Products],$A75, tblTencentUnits[cv_2018]) + SUMIF(tblBaiduUnits[Products],$A75, tblBaiduUnits[cv_2018]) + SUMIF(tblByteDanceUnits[Products],$A75, tblByteDanceUnits[cv_2018]) + SUMIF(tblCloudAOUnits[Products],$A75, tblCloudAOUnits[cv_2018])</f>
        <v>0</v>
      </c>
      <c r="C75" s="8">
        <f xml:space="preserve"> SUMIF(tblGoogleUnits[Products],$A75, tblGoogleUnits[cv_2019]) + SUMIF(tblMetaUnits[Products],$A75, tblMetaUnits[cv_2019]) + SUMIF(tblAmazonUnits[Products],$A75, tblAmazonUnits[cv_2019]) + SUMIF(tblMicrosoftUnits[Products],$A75, tblMicrosoftUnits[cv_2019]) + SUMIF(tblAppleUnits[Products],$A75, tblAppleUnits[cv_2019]) + SUMIF(tblAlibabaUnits[Products],$A75, tblAlibabaUnits[cv_2019]) + SUMIF(tblHuaweiUnits[Products],$A75, tblHuaweiUnits[cv_2019]) + SUMIF(tblTencentUnits[Products],$A75, tblTencentUnits[cv_2019]) + SUMIF(tblBaiduUnits[Products],$A75, tblBaiduUnits[cv_2019]) + SUMIF(tblByteDanceUnits[Products],$A75, tblByteDanceUnits[cv_2019]) + SUMIF(tblCloudAOUnits[Products],$A75, tblCloudAOUnits[cv_2019])</f>
        <v>0</v>
      </c>
      <c r="D75" s="8">
        <f xml:space="preserve"> SUMIF(tblGoogleUnits[Products],$A75, tblGoogleUnits[cv_2020]) + SUMIF(tblMetaUnits[Products],$A75, tblMetaUnits[cv_2020]) + SUMIF(tblAmazonUnits[Products],$A75, tblAmazonUnits[cv_2020]) + SUMIF(tblMicrosoftUnits[Products],$A75, tblMicrosoftUnits[cv_2020]) + SUMIF(tblAppleUnits[Products],$A75, tblAppleUnits[cv_2020]) + SUMIF(tblAlibabaUnits[Products],$A75, tblAlibabaUnits[cv_2020]) + SUMIF(tblHuaweiUnits[Products],$A75, tblHuaweiUnits[cv_2020]) + SUMIF(tblTencentUnits[Products],$A75, tblTencentUnits[cv_2020]) + SUMIF(tblBaiduUnits[Products],$A75, tblBaiduUnits[cv_2020]) + SUMIF(tblByteDanceUnits[Products],$A75, tblByteDanceUnits[cv_2020]) + SUMIF(tblCloudAOUnits[Products],$A75, tblCloudAOUnits[cv_2020])</f>
        <v>0</v>
      </c>
      <c r="E75" s="8">
        <f xml:space="preserve"> SUMIF(tblGoogleUnits[Products],$A75, tblGoogleUnits[cv_2021]) + SUMIF(tblMetaUnits[Products],$A75, tblMetaUnits[cv_2021]) + SUMIF(tblAmazonUnits[Products],$A75, tblAmazonUnits[cv_2021]) + SUMIF(tblMicrosoftUnits[Products],$A75, tblMicrosoftUnits[cv_2021]) + SUMIF(tblAppleUnits[Products],$A75, tblAppleUnits[cv_2021]) + SUMIF(tblAlibabaUnits[Products],$A75, tblAlibabaUnits[cv_2021]) + SUMIF(tblHuaweiUnits[Products],$A75, tblHuaweiUnits[cv_2021]) + SUMIF(tblTencentUnits[Products],$A75, tblTencentUnits[cv_2021]) + SUMIF(tblBaiduUnits[Products],$A75, tblBaiduUnits[cv_2021]) + SUMIF(tblByteDanceUnits[Products],$A75, tblByteDanceUnits[cv_2021]) + SUMIF(tblCloudAOUnits[Products],$A75, tblCloudAOUnits[cv_2021])</f>
        <v>0</v>
      </c>
      <c r="F75" s="8">
        <f xml:space="preserve"> SUMIF(tblGoogleUnits[Products],$A75, tblGoogleUnits[cv_2022]) + SUMIF(tblMetaUnits[Products],$A75, tblMetaUnits[cv_2022]) + SUMIF(tblAmazonUnits[Products],$A75, tblAmazonUnits[cv_2022]) + SUMIF(tblMicrosoftUnits[Products],$A75, tblMicrosoftUnits[cv_2022]) + SUMIF(tblAppleUnits[Products],$A75, tblAppleUnits[cv_2022]) + SUMIF(tblAlibabaUnits[Products],$A75, tblAlibabaUnits[cv_2022]) + SUMIF(tblHuaweiUnits[Products],$A75, tblHuaweiUnits[cv_2022]) + SUMIF(tblTencentUnits[Products],$A75, tblTencentUnits[cv_2022]) + SUMIF(tblBaiduUnits[Products],$A75, tblBaiduUnits[cv_2022]) + SUMIF(tblByteDanceUnits[Products],$A75, tblByteDanceUnits[cv_2022]) + SUMIF(tblCloudAOUnits[Products],$A75, tblCloudAOUnits[cv_2022])</f>
        <v>0</v>
      </c>
      <c r="G75" s="8">
        <f xml:space="preserve"> SUMIF(tblGoogleUnits[Products],$A75, tblGoogleUnits[cv_2023]) + SUMIF(tblMetaUnits[Products],$A75, tblMetaUnits[cv_2023]) + SUMIF(tblAmazonUnits[Products],$A75, tblAmazonUnits[cv_2023]) + SUMIF(tblMicrosoftUnits[Products],$A75, tblMicrosoftUnits[cv_2023]) + SUMIF(tblAppleUnits[Products],$A75, tblAppleUnits[cv_2023]) + SUMIF(tblAlibabaUnits[Products],$A75, tblAlibabaUnits[cv_2023]) + SUMIF(tblHuaweiUnits[Products],$A75, tblHuaweiUnits[cv_2023]) + SUMIF(tblTencentUnits[Products],$A75, tblTencentUnits[cv_2023]) + SUMIF(tblBaiduUnits[Products],$A75, tblBaiduUnits[cv_2023]) + SUMIF(tblByteDanceUnits[Products],$A75, tblByteDanceUnits[cv_2023]) + SUMIF(tblCloudAOUnits[Products],$A75, tblCloudAOUnits[cv_2023])</f>
        <v>0</v>
      </c>
      <c r="H75" s="8">
        <f xml:space="preserve"> SUMIF(tblGoogleUnits[Products],$A75, tblGoogleUnits[cv_2024]) + SUMIF(tblMetaUnits[Products],$A75, tblMetaUnits[cv_2024]) + SUMIF(tblAmazonUnits[Products],$A75, tblAmazonUnits[cv_2024]) + SUMIF(tblMicrosoftUnits[Products],$A75, tblMicrosoftUnits[cv_2024]) + SUMIF(tblAppleUnits[Products],$A75, tblAppleUnits[cv_2024]) + SUMIF(tblAlibabaUnits[Products],$A75, tblAlibabaUnits[cv_2024]) + SUMIF(tblHuaweiUnits[Products],$A75, tblHuaweiUnits[cv_2024]) + SUMIF(tblTencentUnits[Products],$A75, tblTencentUnits[cv_2024]) + SUMIF(tblBaiduUnits[Products],$A75, tblBaiduUnits[cv_2024]) + SUMIF(tblByteDanceUnits[Products],$A75, tblByteDanceUnits[cv_2024]) + SUMIF(tblCloudAOUnits[Products],$A75, tblCloudAOUnits[cv_2024])</f>
        <v>0</v>
      </c>
      <c r="I75" s="8">
        <f xml:space="preserve"> SUMIF(tblGoogleUnits[Products],$A75, tblGoogleUnits[cv_2025]) + SUMIF(tblMetaUnits[Products],$A75, tblMetaUnits[cv_2025]) + SUMIF(tblAmazonUnits[Products],$A75, tblAmazonUnits[cv_2025]) + SUMIF(tblMicrosoftUnits[Products],$A75, tblMicrosoftUnits[cv_2025]) + SUMIF(tblAppleUnits[Products],$A75, tblAppleUnits[cv_2025]) + SUMIF(tblAlibabaUnits[Products],$A75, tblAlibabaUnits[cv_2025]) + SUMIF(tblHuaweiUnits[Products],$A75, tblHuaweiUnits[cv_2025]) + SUMIF(tblTencentUnits[Products],$A75, tblTencentUnits[cv_2025]) + SUMIF(tblBaiduUnits[Products],$A75, tblBaiduUnits[cv_2025]) + SUMIF(tblByteDanceUnits[Products],$A75, tblByteDanceUnits[cv_2025]) + SUMIF(tblCloudAOUnits[Products],$A75, tblCloudAOUnits[cv_2025])</f>
        <v>0</v>
      </c>
      <c r="J75" s="8">
        <f xml:space="preserve"> SUMIF(tblGoogleUnits[Products],$A75, tblGoogleUnits[cv_2026]) + SUMIF(tblMetaUnits[Products],$A75, tblMetaUnits[cv_2026]) + SUMIF(tblAmazonUnits[Products],$A75, tblAmazonUnits[cv_2026]) + SUMIF(tblMicrosoftUnits[Products],$A75, tblMicrosoftUnits[cv_2026]) + SUMIF(tblAppleUnits[Products],$A75, tblAppleUnits[cv_2026]) + SUMIF(tblAlibabaUnits[Products],$A75, tblAlibabaUnits[cv_2026]) + SUMIF(tblHuaweiUnits[Products],$A75, tblHuaweiUnits[cv_2026]) + SUMIF(tblTencentUnits[Products],$A75, tblTencentUnits[cv_2026]) + SUMIF(tblBaiduUnits[Products],$A75, tblBaiduUnits[cv_2026]) + SUMIF(tblByteDanceUnits[Products],$A75, tblByteDanceUnits[cv_2026]) + SUMIF(tblCloudAOUnits[Products],$A75, tblCloudAOUnits[cv_2026])</f>
        <v>0</v>
      </c>
      <c r="K75" s="8">
        <f xml:space="preserve"> SUMIF(tblGoogleUnits[Products],$A75, tblGoogleUnits[cv_2027]) + SUMIF(tblMetaUnits[Products],$A75, tblMetaUnits[cv_2027]) + SUMIF(tblAmazonUnits[Products],$A75, tblAmazonUnits[cv_2027]) + SUMIF(tblMicrosoftUnits[Products],$A75, tblMicrosoftUnits[cv_2027]) + SUMIF(tblAppleUnits[Products],$A75, tblAppleUnits[cv_2027]) + SUMIF(tblAlibabaUnits[Products],$A75, tblAlibabaUnits[cv_2027]) + SUMIF(tblHuaweiUnits[Products],$A75, tblHuaweiUnits[cv_2027]) + SUMIF(tblTencentUnits[Products],$A75, tblTencentUnits[cv_2027]) + SUMIF(tblBaiduUnits[Products],$A75, tblBaiduUnits[cv_2027]) + SUMIF(tblByteDanceUnits[Products],$A75, tblByteDanceUnits[cv_2027]) + SUMIF(tblCloudAOUnits[Products],$A75, tblCloudAOUnits[cv_2027])</f>
        <v>0</v>
      </c>
      <c r="L75" s="8">
        <f xml:space="preserve"> SUMIF(tblGoogleUnits[Products],$A75, tblGoogleUnits[cv_2028]) + SUMIF(tblMetaUnits[Products],$A75, tblMetaUnits[cv_2028]) + SUMIF(tblAmazonUnits[Products],$A75, tblAmazonUnits[cv_2028]) + SUMIF(tblMicrosoftUnits[Products],$A75, tblMicrosoftUnits[cv_2028]) + SUMIF(tblAppleUnits[Products],$A75, tblAppleUnits[cv_2028]) + SUMIF(tblAlibabaUnits[Products],$A75, tblAlibabaUnits[cv_2028]) + SUMIF(tblHuaweiUnits[Products],$A75, tblHuaweiUnits[cv_2028]) + SUMIF(tblTencentUnits[Products],$A75, tblTencentUnits[cv_2028]) + SUMIF(tblBaiduUnits[Products],$A75, tblBaiduUnits[cv_2028]) + SUMIF(tblByteDanceUnits[Products],$A75, tblByteDanceUnits[cv_2028]) + SUMIF(tblCloudAOUnits[Products],$A75, tblCloudAOUnits[cv_2028])</f>
        <v>0</v>
      </c>
      <c r="M75" s="122">
        <f>10^-6*B75*INDEX(TotalMarket!$M$26:$W$125,MATCH($A75,$A$11:$A$132,0),MATCH(M$10,$M$10:$W$10))</f>
        <v>0</v>
      </c>
      <c r="N75" s="122">
        <f>10^-6*C75*INDEX(TotalMarket!$M$26:$W$125,MATCH($A75,$A$11:$A$132,0),MATCH(N$10,$M$10:$W$10))</f>
        <v>0</v>
      </c>
      <c r="O75" s="122">
        <f>10^-6*D75*INDEX(TotalMarket!$M$26:$W$125,MATCH($A75,$A$11:$A$132,0),MATCH(O$10,$M$10:$W$10))</f>
        <v>0</v>
      </c>
      <c r="P75" s="122">
        <f>10^-6*E75*INDEX(TotalMarket!$M$26:$W$125,MATCH($A75,$A$11:$A$132,0),MATCH(P$10,$M$10:$W$10))</f>
        <v>0</v>
      </c>
      <c r="Q75" s="122">
        <f>10^-6*F75*INDEX(TotalMarket!$M$26:$W$125,MATCH($A75,$A$11:$A$132,0),MATCH(Q$10,$M$10:$W$10))</f>
        <v>0</v>
      </c>
      <c r="R75" s="122">
        <f>10^-6*G75*INDEX(TotalMarket!$M$26:$W$125,MATCH($A75,$A$11:$A$132,0),MATCH(R$10,$M$10:$W$10))</f>
        <v>0</v>
      </c>
      <c r="S75" s="122">
        <f>10^-6*H75*INDEX(TotalMarket!$M$26:$W$125,MATCH($A75,$A$11:$A$132,0),MATCH(S$10,$M$10:$W$10))</f>
        <v>0</v>
      </c>
      <c r="T75" s="122">
        <f>10^-6*I75*INDEX(TotalMarket!$M$26:$W$125,MATCH($A75,$A$11:$A$132,0),MATCH(T$10,$M$10:$W$10))</f>
        <v>0</v>
      </c>
      <c r="U75" s="122">
        <f>10^-6*J75*INDEX(TotalMarket!$M$26:$W$125,MATCH($A75,$A$11:$A$132,0),MATCH(U$10,$M$10:$W$10))</f>
        <v>0</v>
      </c>
      <c r="V75" s="122">
        <f>10^-6*K75*INDEX(TotalMarket!$M$26:$W$125,MATCH($A75,$A$11:$A$132,0),MATCH(V$10,$M$10:$W$10))</f>
        <v>0</v>
      </c>
      <c r="W75" s="122">
        <f>10^-6*L75*INDEX(TotalMarket!$M$26:$W$125,MATCH($A75,$A$11:$A$132,0),MATCH(W$10,$M$10:$W$10))</f>
        <v>0</v>
      </c>
      <c r="X75" s="1">
        <f>VLOOKUP(A75,Products!$A$29:$F$110,6,FALSE)</f>
        <v>800</v>
      </c>
    </row>
    <row r="76" spans="1:24">
      <c r="A76" s="15" t="s">
        <v>14</v>
      </c>
      <c r="B76" s="8">
        <f xml:space="preserve"> SUMIF(tblGoogleUnits[Products],$A76, tblGoogleUnits[cv_2018]) + SUMIF(tblMetaUnits[Products],$A76, tblMetaUnits[cv_2018]) + SUMIF(tblAmazonUnits[Products],$A76, tblAmazonUnits[cv_2018]) + SUMIF(tblMicrosoftUnits[Products],$A76, tblMicrosoftUnits[cv_2018]) + SUMIF(tblAppleUnits[Products],$A76, tblAppleUnits[cv_2018]) + SUMIF(tblAlibabaUnits[Products],$A76, tblAlibabaUnits[cv_2018]) + SUMIF(tblHuaweiUnits[Products],$A76, tblHuaweiUnits[cv_2018]) + SUMIF(tblTencentUnits[Products],$A76, tblTencentUnits[cv_2018]) + SUMIF(tblBaiduUnits[Products],$A76, tblBaiduUnits[cv_2018]) + SUMIF(tblByteDanceUnits[Products],$A76, tblByteDanceUnits[cv_2018]) + SUMIF(tblCloudAOUnits[Products],$A76, tblCloudAOUnits[cv_2018])</f>
        <v>0</v>
      </c>
      <c r="C76" s="8">
        <f xml:space="preserve"> SUMIF(tblGoogleUnits[Products],$A76, tblGoogleUnits[cv_2019]) + SUMIF(tblMetaUnits[Products],$A76, tblMetaUnits[cv_2019]) + SUMIF(tblAmazonUnits[Products],$A76, tblAmazonUnits[cv_2019]) + SUMIF(tblMicrosoftUnits[Products],$A76, tblMicrosoftUnits[cv_2019]) + SUMIF(tblAppleUnits[Products],$A76, tblAppleUnits[cv_2019]) + SUMIF(tblAlibabaUnits[Products],$A76, tblAlibabaUnits[cv_2019]) + SUMIF(tblHuaweiUnits[Products],$A76, tblHuaweiUnits[cv_2019]) + SUMIF(tblTencentUnits[Products],$A76, tblTencentUnits[cv_2019]) + SUMIF(tblBaiduUnits[Products],$A76, tblBaiduUnits[cv_2019]) + SUMIF(tblByteDanceUnits[Products],$A76, tblByteDanceUnits[cv_2019]) + SUMIF(tblCloudAOUnits[Products],$A76, tblCloudAOUnits[cv_2019])</f>
        <v>0</v>
      </c>
      <c r="D76" s="8">
        <f xml:space="preserve"> SUMIF(tblGoogleUnits[Products],$A76, tblGoogleUnits[cv_2020]) + SUMIF(tblMetaUnits[Products],$A76, tblMetaUnits[cv_2020]) + SUMIF(tblAmazonUnits[Products],$A76, tblAmazonUnits[cv_2020]) + SUMIF(tblMicrosoftUnits[Products],$A76, tblMicrosoftUnits[cv_2020]) + SUMIF(tblAppleUnits[Products],$A76, tblAppleUnits[cv_2020]) + SUMIF(tblAlibabaUnits[Products],$A76, tblAlibabaUnits[cv_2020]) + SUMIF(tblHuaweiUnits[Products],$A76, tblHuaweiUnits[cv_2020]) + SUMIF(tblTencentUnits[Products],$A76, tblTencentUnits[cv_2020]) + SUMIF(tblBaiduUnits[Products],$A76, tblBaiduUnits[cv_2020]) + SUMIF(tblByteDanceUnits[Products],$A76, tblByteDanceUnits[cv_2020]) + SUMIF(tblCloudAOUnits[Products],$A76, tblCloudAOUnits[cv_2020])</f>
        <v>0</v>
      </c>
      <c r="E76" s="8">
        <f xml:space="preserve"> SUMIF(tblGoogleUnits[Products],$A76, tblGoogleUnits[cv_2021]) + SUMIF(tblMetaUnits[Products],$A76, tblMetaUnits[cv_2021]) + SUMIF(tblAmazonUnits[Products],$A76, tblAmazonUnits[cv_2021]) + SUMIF(tblMicrosoftUnits[Products],$A76, tblMicrosoftUnits[cv_2021]) + SUMIF(tblAppleUnits[Products],$A76, tblAppleUnits[cv_2021]) + SUMIF(tblAlibabaUnits[Products],$A76, tblAlibabaUnits[cv_2021]) + SUMIF(tblHuaweiUnits[Products],$A76, tblHuaweiUnits[cv_2021]) + SUMIF(tblTencentUnits[Products],$A76, tblTencentUnits[cv_2021]) + SUMIF(tblBaiduUnits[Products],$A76, tblBaiduUnits[cv_2021]) + SUMIF(tblByteDanceUnits[Products],$A76, tblByteDanceUnits[cv_2021]) + SUMIF(tblCloudAOUnits[Products],$A76, tblCloudAOUnits[cv_2021])</f>
        <v>0</v>
      </c>
      <c r="F76" s="8">
        <f xml:space="preserve"> SUMIF(tblGoogleUnits[Products],$A76, tblGoogleUnits[cv_2022]) + SUMIF(tblMetaUnits[Products],$A76, tblMetaUnits[cv_2022]) + SUMIF(tblAmazonUnits[Products],$A76, tblAmazonUnits[cv_2022]) + SUMIF(tblMicrosoftUnits[Products],$A76, tblMicrosoftUnits[cv_2022]) + SUMIF(tblAppleUnits[Products],$A76, tblAppleUnits[cv_2022]) + SUMIF(tblAlibabaUnits[Products],$A76, tblAlibabaUnits[cv_2022]) + SUMIF(tblHuaweiUnits[Products],$A76, tblHuaweiUnits[cv_2022]) + SUMIF(tblTencentUnits[Products],$A76, tblTencentUnits[cv_2022]) + SUMIF(tblBaiduUnits[Products],$A76, tblBaiduUnits[cv_2022]) + SUMIF(tblByteDanceUnits[Products],$A76, tblByteDanceUnits[cv_2022]) + SUMIF(tblCloudAOUnits[Products],$A76, tblCloudAOUnits[cv_2022])</f>
        <v>0</v>
      </c>
      <c r="G76" s="8">
        <f xml:space="preserve"> SUMIF(tblGoogleUnits[Products],$A76, tblGoogleUnits[cv_2023]) + SUMIF(tblMetaUnits[Products],$A76, tblMetaUnits[cv_2023]) + SUMIF(tblAmazonUnits[Products],$A76, tblAmazonUnits[cv_2023]) + SUMIF(tblMicrosoftUnits[Products],$A76, tblMicrosoftUnits[cv_2023]) + SUMIF(tblAppleUnits[Products],$A76, tblAppleUnits[cv_2023]) + SUMIF(tblAlibabaUnits[Products],$A76, tblAlibabaUnits[cv_2023]) + SUMIF(tblHuaweiUnits[Products],$A76, tblHuaweiUnits[cv_2023]) + SUMIF(tblTencentUnits[Products],$A76, tblTencentUnits[cv_2023]) + SUMIF(tblBaiduUnits[Products],$A76, tblBaiduUnits[cv_2023]) + SUMIF(tblByteDanceUnits[Products],$A76, tblByteDanceUnits[cv_2023]) + SUMIF(tblCloudAOUnits[Products],$A76, tblCloudAOUnits[cv_2023])</f>
        <v>0</v>
      </c>
      <c r="H76" s="8">
        <f xml:space="preserve"> SUMIF(tblGoogleUnits[Products],$A76, tblGoogleUnits[cv_2024]) + SUMIF(tblMetaUnits[Products],$A76, tblMetaUnits[cv_2024]) + SUMIF(tblAmazonUnits[Products],$A76, tblAmazonUnits[cv_2024]) + SUMIF(tblMicrosoftUnits[Products],$A76, tblMicrosoftUnits[cv_2024]) + SUMIF(tblAppleUnits[Products],$A76, tblAppleUnits[cv_2024]) + SUMIF(tblAlibabaUnits[Products],$A76, tblAlibabaUnits[cv_2024]) + SUMIF(tblHuaweiUnits[Products],$A76, tblHuaweiUnits[cv_2024]) + SUMIF(tblTencentUnits[Products],$A76, tblTencentUnits[cv_2024]) + SUMIF(tblBaiduUnits[Products],$A76, tblBaiduUnits[cv_2024]) + SUMIF(tblByteDanceUnits[Products],$A76, tblByteDanceUnits[cv_2024]) + SUMIF(tblCloudAOUnits[Products],$A76, tblCloudAOUnits[cv_2024])</f>
        <v>0</v>
      </c>
      <c r="I76" s="8">
        <f xml:space="preserve"> SUMIF(tblGoogleUnits[Products],$A76, tblGoogleUnits[cv_2025]) + SUMIF(tblMetaUnits[Products],$A76, tblMetaUnits[cv_2025]) + SUMIF(tblAmazonUnits[Products],$A76, tblAmazonUnits[cv_2025]) + SUMIF(tblMicrosoftUnits[Products],$A76, tblMicrosoftUnits[cv_2025]) + SUMIF(tblAppleUnits[Products],$A76, tblAppleUnits[cv_2025]) + SUMIF(tblAlibabaUnits[Products],$A76, tblAlibabaUnits[cv_2025]) + SUMIF(tblHuaweiUnits[Products],$A76, tblHuaweiUnits[cv_2025]) + SUMIF(tblTencentUnits[Products],$A76, tblTencentUnits[cv_2025]) + SUMIF(tblBaiduUnits[Products],$A76, tblBaiduUnits[cv_2025]) + SUMIF(tblByteDanceUnits[Products],$A76, tblByteDanceUnits[cv_2025]) + SUMIF(tblCloudAOUnits[Products],$A76, tblCloudAOUnits[cv_2025])</f>
        <v>0</v>
      </c>
      <c r="J76" s="8">
        <f xml:space="preserve"> SUMIF(tblGoogleUnits[Products],$A76, tblGoogleUnits[cv_2026]) + SUMIF(tblMetaUnits[Products],$A76, tblMetaUnits[cv_2026]) + SUMIF(tblAmazonUnits[Products],$A76, tblAmazonUnits[cv_2026]) + SUMIF(tblMicrosoftUnits[Products],$A76, tblMicrosoftUnits[cv_2026]) + SUMIF(tblAppleUnits[Products],$A76, tblAppleUnits[cv_2026]) + SUMIF(tblAlibabaUnits[Products],$A76, tblAlibabaUnits[cv_2026]) + SUMIF(tblHuaweiUnits[Products],$A76, tblHuaweiUnits[cv_2026]) + SUMIF(tblTencentUnits[Products],$A76, tblTencentUnits[cv_2026]) + SUMIF(tblBaiduUnits[Products],$A76, tblBaiduUnits[cv_2026]) + SUMIF(tblByteDanceUnits[Products],$A76, tblByteDanceUnits[cv_2026]) + SUMIF(tblCloudAOUnits[Products],$A76, tblCloudAOUnits[cv_2026])</f>
        <v>0</v>
      </c>
      <c r="K76" s="8">
        <f xml:space="preserve"> SUMIF(tblGoogleUnits[Products],$A76, tblGoogleUnits[cv_2027]) + SUMIF(tblMetaUnits[Products],$A76, tblMetaUnits[cv_2027]) + SUMIF(tblAmazonUnits[Products],$A76, tblAmazonUnits[cv_2027]) + SUMIF(tblMicrosoftUnits[Products],$A76, tblMicrosoftUnits[cv_2027]) + SUMIF(tblAppleUnits[Products],$A76, tblAppleUnits[cv_2027]) + SUMIF(tblAlibabaUnits[Products],$A76, tblAlibabaUnits[cv_2027]) + SUMIF(tblHuaweiUnits[Products],$A76, tblHuaweiUnits[cv_2027]) + SUMIF(tblTencentUnits[Products],$A76, tblTencentUnits[cv_2027]) + SUMIF(tblBaiduUnits[Products],$A76, tblBaiduUnits[cv_2027]) + SUMIF(tblByteDanceUnits[Products],$A76, tblByteDanceUnits[cv_2027]) + SUMIF(tblCloudAOUnits[Products],$A76, tblCloudAOUnits[cv_2027])</f>
        <v>0</v>
      </c>
      <c r="L76" s="8">
        <f xml:space="preserve"> SUMIF(tblGoogleUnits[Products],$A76, tblGoogleUnits[cv_2028]) + SUMIF(tblMetaUnits[Products],$A76, tblMetaUnits[cv_2028]) + SUMIF(tblAmazonUnits[Products],$A76, tblAmazonUnits[cv_2028]) + SUMIF(tblMicrosoftUnits[Products],$A76, tblMicrosoftUnits[cv_2028]) + SUMIF(tblAppleUnits[Products],$A76, tblAppleUnits[cv_2028]) + SUMIF(tblAlibabaUnits[Products],$A76, tblAlibabaUnits[cv_2028]) + SUMIF(tblHuaweiUnits[Products],$A76, tblHuaweiUnits[cv_2028]) + SUMIF(tblTencentUnits[Products],$A76, tblTencentUnits[cv_2028]) + SUMIF(tblBaiduUnits[Products],$A76, tblBaiduUnits[cv_2028]) + SUMIF(tblByteDanceUnits[Products],$A76, tblByteDanceUnits[cv_2028]) + SUMIF(tblCloudAOUnits[Products],$A76, tblCloudAOUnits[cv_2028])</f>
        <v>0</v>
      </c>
      <c r="M76" s="122">
        <f>10^-6*B76*INDEX(TotalMarket!$M$26:$W$125,MATCH($A76,$A$11:$A$132,0),MATCH(M$10,$M$10:$W$10))</f>
        <v>0</v>
      </c>
      <c r="N76" s="122">
        <f>10^-6*C76*INDEX(TotalMarket!$M$26:$W$125,MATCH($A76,$A$11:$A$132,0),MATCH(N$10,$M$10:$W$10))</f>
        <v>0</v>
      </c>
      <c r="O76" s="122">
        <f>10^-6*D76*INDEX(TotalMarket!$M$26:$W$125,MATCH($A76,$A$11:$A$132,0),MATCH(O$10,$M$10:$W$10))</f>
        <v>0</v>
      </c>
      <c r="P76" s="122">
        <f>10^-6*E76*INDEX(TotalMarket!$M$26:$W$125,MATCH($A76,$A$11:$A$132,0),MATCH(P$10,$M$10:$W$10))</f>
        <v>0</v>
      </c>
      <c r="Q76" s="122">
        <f>10^-6*F76*INDEX(TotalMarket!$M$26:$W$125,MATCH($A76,$A$11:$A$132,0),MATCH(Q$10,$M$10:$W$10))</f>
        <v>0</v>
      </c>
      <c r="R76" s="122">
        <f>10^-6*G76*INDEX(TotalMarket!$M$26:$W$125,MATCH($A76,$A$11:$A$132,0),MATCH(R$10,$M$10:$W$10))</f>
        <v>0</v>
      </c>
      <c r="S76" s="122">
        <f>10^-6*H76*INDEX(TotalMarket!$M$26:$W$125,MATCH($A76,$A$11:$A$132,0),MATCH(S$10,$M$10:$W$10))</f>
        <v>0</v>
      </c>
      <c r="T76" s="122">
        <f>10^-6*I76*INDEX(TotalMarket!$M$26:$W$125,MATCH($A76,$A$11:$A$132,0),MATCH(T$10,$M$10:$W$10))</f>
        <v>0</v>
      </c>
      <c r="U76" s="122">
        <f>10^-6*J76*INDEX(TotalMarket!$M$26:$W$125,MATCH($A76,$A$11:$A$132,0),MATCH(U$10,$M$10:$W$10))</f>
        <v>0</v>
      </c>
      <c r="V76" s="122">
        <f>10^-6*K76*INDEX(TotalMarket!$M$26:$W$125,MATCH($A76,$A$11:$A$132,0),MATCH(V$10,$M$10:$W$10))</f>
        <v>0</v>
      </c>
      <c r="W76" s="122">
        <f>10^-6*L76*INDEX(TotalMarket!$M$26:$W$125,MATCH($A76,$A$11:$A$132,0),MATCH(W$10,$M$10:$W$10))</f>
        <v>0</v>
      </c>
      <c r="X76" s="1">
        <f>VLOOKUP(A76,Products!$A$29:$F$110,6,FALSE)</f>
        <v>800</v>
      </c>
    </row>
    <row r="77" spans="1:24">
      <c r="A77" s="15" t="s">
        <v>15</v>
      </c>
      <c r="B77" s="8">
        <f xml:space="preserve"> SUMIF(tblGoogleUnits[Products],$A77, tblGoogleUnits[cv_2018]) + SUMIF(tblMetaUnits[Products],$A77, tblMetaUnits[cv_2018]) + SUMIF(tblAmazonUnits[Products],$A77, tblAmazonUnits[cv_2018]) + SUMIF(tblMicrosoftUnits[Products],$A77, tblMicrosoftUnits[cv_2018]) + SUMIF(tblAppleUnits[Products],$A77, tblAppleUnits[cv_2018]) + SUMIF(tblAlibabaUnits[Products],$A77, tblAlibabaUnits[cv_2018]) + SUMIF(tblHuaweiUnits[Products],$A77, tblHuaweiUnits[cv_2018]) + SUMIF(tblTencentUnits[Products],$A77, tblTencentUnits[cv_2018]) + SUMIF(tblBaiduUnits[Products],$A77, tblBaiduUnits[cv_2018]) + SUMIF(tblByteDanceUnits[Products],$A77, tblByteDanceUnits[cv_2018]) + SUMIF(tblCloudAOUnits[Products],$A77, tblCloudAOUnits[cv_2018])</f>
        <v>0</v>
      </c>
      <c r="C77" s="8">
        <f xml:space="preserve"> SUMIF(tblGoogleUnits[Products],$A77, tblGoogleUnits[cv_2019]) + SUMIF(tblMetaUnits[Products],$A77, tblMetaUnits[cv_2019]) + SUMIF(tblAmazonUnits[Products],$A77, tblAmazonUnits[cv_2019]) + SUMIF(tblMicrosoftUnits[Products],$A77, tblMicrosoftUnits[cv_2019]) + SUMIF(tblAppleUnits[Products],$A77, tblAppleUnits[cv_2019]) + SUMIF(tblAlibabaUnits[Products],$A77, tblAlibabaUnits[cv_2019]) + SUMIF(tblHuaweiUnits[Products],$A77, tblHuaweiUnits[cv_2019]) + SUMIF(tblTencentUnits[Products],$A77, tblTencentUnits[cv_2019]) + SUMIF(tblBaiduUnits[Products],$A77, tblBaiduUnits[cv_2019]) + SUMIF(tblByteDanceUnits[Products],$A77, tblByteDanceUnits[cv_2019]) + SUMIF(tblCloudAOUnits[Products],$A77, tblCloudAOUnits[cv_2019])</f>
        <v>0</v>
      </c>
      <c r="D77" s="8">
        <f xml:space="preserve"> SUMIF(tblGoogleUnits[Products],$A77, tblGoogleUnits[cv_2020]) + SUMIF(tblMetaUnits[Products],$A77, tblMetaUnits[cv_2020]) + SUMIF(tblAmazonUnits[Products],$A77, tblAmazonUnits[cv_2020]) + SUMIF(tblMicrosoftUnits[Products],$A77, tblMicrosoftUnits[cv_2020]) + SUMIF(tblAppleUnits[Products],$A77, tblAppleUnits[cv_2020]) + SUMIF(tblAlibabaUnits[Products],$A77, tblAlibabaUnits[cv_2020]) + SUMIF(tblHuaweiUnits[Products],$A77, tblHuaweiUnits[cv_2020]) + SUMIF(tblTencentUnits[Products],$A77, tblTencentUnits[cv_2020]) + SUMIF(tblBaiduUnits[Products],$A77, tblBaiduUnits[cv_2020]) + SUMIF(tblByteDanceUnits[Products],$A77, tblByteDanceUnits[cv_2020]) + SUMIF(tblCloudAOUnits[Products],$A77, tblCloudAOUnits[cv_2020])</f>
        <v>0</v>
      </c>
      <c r="E77" s="8">
        <f xml:space="preserve"> SUMIF(tblGoogleUnits[Products],$A77, tblGoogleUnits[cv_2021]) + SUMIF(tblMetaUnits[Products],$A77, tblMetaUnits[cv_2021]) + SUMIF(tblAmazonUnits[Products],$A77, tblAmazonUnits[cv_2021]) + SUMIF(tblMicrosoftUnits[Products],$A77, tblMicrosoftUnits[cv_2021]) + SUMIF(tblAppleUnits[Products],$A77, tblAppleUnits[cv_2021]) + SUMIF(tblAlibabaUnits[Products],$A77, tblAlibabaUnits[cv_2021]) + SUMIF(tblHuaweiUnits[Products],$A77, tblHuaweiUnits[cv_2021]) + SUMIF(tblTencentUnits[Products],$A77, tblTencentUnits[cv_2021]) + SUMIF(tblBaiduUnits[Products],$A77, tblBaiduUnits[cv_2021]) + SUMIF(tblByteDanceUnits[Products],$A77, tblByteDanceUnits[cv_2021]) + SUMIF(tblCloudAOUnits[Products],$A77, tblCloudAOUnits[cv_2021])</f>
        <v>0</v>
      </c>
      <c r="F77" s="8">
        <f xml:space="preserve"> SUMIF(tblGoogleUnits[Products],$A77, tblGoogleUnits[cv_2022]) + SUMIF(tblMetaUnits[Products],$A77, tblMetaUnits[cv_2022]) + SUMIF(tblAmazonUnits[Products],$A77, tblAmazonUnits[cv_2022]) + SUMIF(tblMicrosoftUnits[Products],$A77, tblMicrosoftUnits[cv_2022]) + SUMIF(tblAppleUnits[Products],$A77, tblAppleUnits[cv_2022]) + SUMIF(tblAlibabaUnits[Products],$A77, tblAlibabaUnits[cv_2022]) + SUMIF(tblHuaweiUnits[Products],$A77, tblHuaweiUnits[cv_2022]) + SUMIF(tblTencentUnits[Products],$A77, tblTencentUnits[cv_2022]) + SUMIF(tblBaiduUnits[Products],$A77, tblBaiduUnits[cv_2022]) + SUMIF(tblByteDanceUnits[Products],$A77, tblByteDanceUnits[cv_2022]) + SUMIF(tblCloudAOUnits[Products],$A77, tblCloudAOUnits[cv_2022])</f>
        <v>0</v>
      </c>
      <c r="G77" s="8">
        <f xml:space="preserve"> SUMIF(tblGoogleUnits[Products],$A77, tblGoogleUnits[cv_2023]) + SUMIF(tblMetaUnits[Products],$A77, tblMetaUnits[cv_2023]) + SUMIF(tblAmazonUnits[Products],$A77, tblAmazonUnits[cv_2023]) + SUMIF(tblMicrosoftUnits[Products],$A77, tblMicrosoftUnits[cv_2023]) + SUMIF(tblAppleUnits[Products],$A77, tblAppleUnits[cv_2023]) + SUMIF(tblAlibabaUnits[Products],$A77, tblAlibabaUnits[cv_2023]) + SUMIF(tblHuaweiUnits[Products],$A77, tblHuaweiUnits[cv_2023]) + SUMIF(tblTencentUnits[Products],$A77, tblTencentUnits[cv_2023]) + SUMIF(tblBaiduUnits[Products],$A77, tblBaiduUnits[cv_2023]) + SUMIF(tblByteDanceUnits[Products],$A77, tblByteDanceUnits[cv_2023]) + SUMIF(tblCloudAOUnits[Products],$A77, tblCloudAOUnits[cv_2023])</f>
        <v>0</v>
      </c>
      <c r="H77" s="8">
        <f xml:space="preserve"> SUMIF(tblGoogleUnits[Products],$A77, tblGoogleUnits[cv_2024]) + SUMIF(tblMetaUnits[Products],$A77, tblMetaUnits[cv_2024]) + SUMIF(tblAmazonUnits[Products],$A77, tblAmazonUnits[cv_2024]) + SUMIF(tblMicrosoftUnits[Products],$A77, tblMicrosoftUnits[cv_2024]) + SUMIF(tblAppleUnits[Products],$A77, tblAppleUnits[cv_2024]) + SUMIF(tblAlibabaUnits[Products],$A77, tblAlibabaUnits[cv_2024]) + SUMIF(tblHuaweiUnits[Products],$A77, tblHuaweiUnits[cv_2024]) + SUMIF(tblTencentUnits[Products],$A77, tblTencentUnits[cv_2024]) + SUMIF(tblBaiduUnits[Products],$A77, tblBaiduUnits[cv_2024]) + SUMIF(tblByteDanceUnits[Products],$A77, tblByteDanceUnits[cv_2024]) + SUMIF(tblCloudAOUnits[Products],$A77, tblCloudAOUnits[cv_2024])</f>
        <v>0</v>
      </c>
      <c r="I77" s="8">
        <f xml:space="preserve"> SUMIF(tblGoogleUnits[Products],$A77, tblGoogleUnits[cv_2025]) + SUMIF(tblMetaUnits[Products],$A77, tblMetaUnits[cv_2025]) + SUMIF(tblAmazonUnits[Products],$A77, tblAmazonUnits[cv_2025]) + SUMIF(tblMicrosoftUnits[Products],$A77, tblMicrosoftUnits[cv_2025]) + SUMIF(tblAppleUnits[Products],$A77, tblAppleUnits[cv_2025]) + SUMIF(tblAlibabaUnits[Products],$A77, tblAlibabaUnits[cv_2025]) + SUMIF(tblHuaweiUnits[Products],$A77, tblHuaweiUnits[cv_2025]) + SUMIF(tblTencentUnits[Products],$A77, tblTencentUnits[cv_2025]) + SUMIF(tblBaiduUnits[Products],$A77, tblBaiduUnits[cv_2025]) + SUMIF(tblByteDanceUnits[Products],$A77, tblByteDanceUnits[cv_2025]) + SUMIF(tblCloudAOUnits[Products],$A77, tblCloudAOUnits[cv_2025])</f>
        <v>0</v>
      </c>
      <c r="J77" s="8">
        <f xml:space="preserve"> SUMIF(tblGoogleUnits[Products],$A77, tblGoogleUnits[cv_2026]) + SUMIF(tblMetaUnits[Products],$A77, tblMetaUnits[cv_2026]) + SUMIF(tblAmazonUnits[Products],$A77, tblAmazonUnits[cv_2026]) + SUMIF(tblMicrosoftUnits[Products],$A77, tblMicrosoftUnits[cv_2026]) + SUMIF(tblAppleUnits[Products],$A77, tblAppleUnits[cv_2026]) + SUMIF(tblAlibabaUnits[Products],$A77, tblAlibabaUnits[cv_2026]) + SUMIF(tblHuaweiUnits[Products],$A77, tblHuaweiUnits[cv_2026]) + SUMIF(tblTencentUnits[Products],$A77, tblTencentUnits[cv_2026]) + SUMIF(tblBaiduUnits[Products],$A77, tblBaiduUnits[cv_2026]) + SUMIF(tblByteDanceUnits[Products],$A77, tblByteDanceUnits[cv_2026]) + SUMIF(tblCloudAOUnits[Products],$A77, tblCloudAOUnits[cv_2026])</f>
        <v>0</v>
      </c>
      <c r="K77" s="8">
        <f xml:space="preserve"> SUMIF(tblGoogleUnits[Products],$A77, tblGoogleUnits[cv_2027]) + SUMIF(tblMetaUnits[Products],$A77, tblMetaUnits[cv_2027]) + SUMIF(tblAmazonUnits[Products],$A77, tblAmazonUnits[cv_2027]) + SUMIF(tblMicrosoftUnits[Products],$A77, tblMicrosoftUnits[cv_2027]) + SUMIF(tblAppleUnits[Products],$A77, tblAppleUnits[cv_2027]) + SUMIF(tblAlibabaUnits[Products],$A77, tblAlibabaUnits[cv_2027]) + SUMIF(tblHuaweiUnits[Products],$A77, tblHuaweiUnits[cv_2027]) + SUMIF(tblTencentUnits[Products],$A77, tblTencentUnits[cv_2027]) + SUMIF(tblBaiduUnits[Products],$A77, tblBaiduUnits[cv_2027]) + SUMIF(tblByteDanceUnits[Products],$A77, tblByteDanceUnits[cv_2027]) + SUMIF(tblCloudAOUnits[Products],$A77, tblCloudAOUnits[cv_2027])</f>
        <v>0</v>
      </c>
      <c r="L77" s="8">
        <f xml:space="preserve"> SUMIF(tblGoogleUnits[Products],$A77, tblGoogleUnits[cv_2028]) + SUMIF(tblMetaUnits[Products],$A77, tblMetaUnits[cv_2028]) + SUMIF(tblAmazonUnits[Products],$A77, tblAmazonUnits[cv_2028]) + SUMIF(tblMicrosoftUnits[Products],$A77, tblMicrosoftUnits[cv_2028]) + SUMIF(tblAppleUnits[Products],$A77, tblAppleUnits[cv_2028]) + SUMIF(tblAlibabaUnits[Products],$A77, tblAlibabaUnits[cv_2028]) + SUMIF(tblHuaweiUnits[Products],$A77, tblHuaweiUnits[cv_2028]) + SUMIF(tblTencentUnits[Products],$A77, tblTencentUnits[cv_2028]) + SUMIF(tblBaiduUnits[Products],$A77, tblBaiduUnits[cv_2028]) + SUMIF(tblByteDanceUnits[Products],$A77, tblByteDanceUnits[cv_2028]) + SUMIF(tblCloudAOUnits[Products],$A77, tblCloudAOUnits[cv_2028])</f>
        <v>0</v>
      </c>
      <c r="M77" s="122">
        <f>10^-6*B77*INDEX(TotalMarket!$M$26:$W$125,MATCH($A77,$A$11:$A$132,0),MATCH(M$10,$M$10:$W$10))</f>
        <v>0</v>
      </c>
      <c r="N77" s="122">
        <f>10^-6*C77*INDEX(TotalMarket!$M$26:$W$125,MATCH($A77,$A$11:$A$132,0),MATCH(N$10,$M$10:$W$10))</f>
        <v>0</v>
      </c>
      <c r="O77" s="122">
        <f>10^-6*D77*INDEX(TotalMarket!$M$26:$W$125,MATCH($A77,$A$11:$A$132,0),MATCH(O$10,$M$10:$W$10))</f>
        <v>0</v>
      </c>
      <c r="P77" s="122">
        <f>10^-6*E77*INDEX(TotalMarket!$M$26:$W$125,MATCH($A77,$A$11:$A$132,0),MATCH(P$10,$M$10:$W$10))</f>
        <v>0</v>
      </c>
      <c r="Q77" s="122">
        <f>10^-6*F77*INDEX(TotalMarket!$M$26:$W$125,MATCH($A77,$A$11:$A$132,0),MATCH(Q$10,$M$10:$W$10))</f>
        <v>0</v>
      </c>
      <c r="R77" s="122">
        <f>10^-6*G77*INDEX(TotalMarket!$M$26:$W$125,MATCH($A77,$A$11:$A$132,0),MATCH(R$10,$M$10:$W$10))</f>
        <v>0</v>
      </c>
      <c r="S77" s="122">
        <f>10^-6*H77*INDEX(TotalMarket!$M$26:$W$125,MATCH($A77,$A$11:$A$132,0),MATCH(S$10,$M$10:$W$10))</f>
        <v>0</v>
      </c>
      <c r="T77" s="122">
        <f>10^-6*I77*INDEX(TotalMarket!$M$26:$W$125,MATCH($A77,$A$11:$A$132,0),MATCH(T$10,$M$10:$W$10))</f>
        <v>0</v>
      </c>
      <c r="U77" s="122">
        <f>10^-6*J77*INDEX(TotalMarket!$M$26:$W$125,MATCH($A77,$A$11:$A$132,0),MATCH(U$10,$M$10:$W$10))</f>
        <v>0</v>
      </c>
      <c r="V77" s="122">
        <f>10^-6*K77*INDEX(TotalMarket!$M$26:$W$125,MATCH($A77,$A$11:$A$132,0),MATCH(V$10,$M$10:$W$10))</f>
        <v>0</v>
      </c>
      <c r="W77" s="122">
        <f>10^-6*L77*INDEX(TotalMarket!$M$26:$W$125,MATCH($A77,$A$11:$A$132,0),MATCH(W$10,$M$10:$W$10))</f>
        <v>0</v>
      </c>
      <c r="X77" s="1">
        <f>VLOOKUP(A77,Products!$A$29:$F$110,6,FALSE)</f>
        <v>800</v>
      </c>
    </row>
    <row r="78" spans="1:24">
      <c r="A78" s="15" t="s">
        <v>16</v>
      </c>
      <c r="B78" s="8">
        <f xml:space="preserve"> SUMIF(tblGoogleUnits[Products],$A78, tblGoogleUnits[cv_2018]) + SUMIF(tblMetaUnits[Products],$A78, tblMetaUnits[cv_2018]) + SUMIF(tblAmazonUnits[Products],$A78, tblAmazonUnits[cv_2018]) + SUMIF(tblMicrosoftUnits[Products],$A78, tblMicrosoftUnits[cv_2018]) + SUMIF(tblAppleUnits[Products],$A78, tblAppleUnits[cv_2018]) + SUMIF(tblAlibabaUnits[Products],$A78, tblAlibabaUnits[cv_2018]) + SUMIF(tblHuaweiUnits[Products],$A78, tblHuaweiUnits[cv_2018]) + SUMIF(tblTencentUnits[Products],$A78, tblTencentUnits[cv_2018]) + SUMIF(tblBaiduUnits[Products],$A78, tblBaiduUnits[cv_2018]) + SUMIF(tblByteDanceUnits[Products],$A78, tblByteDanceUnits[cv_2018]) + SUMIF(tblCloudAOUnits[Products],$A78, tblCloudAOUnits[cv_2018])</f>
        <v>0</v>
      </c>
      <c r="C78" s="8">
        <f xml:space="preserve"> SUMIF(tblGoogleUnits[Products],$A78, tblGoogleUnits[cv_2019]) + SUMIF(tblMetaUnits[Products],$A78, tblMetaUnits[cv_2019]) + SUMIF(tblAmazonUnits[Products],$A78, tblAmazonUnits[cv_2019]) + SUMIF(tblMicrosoftUnits[Products],$A78, tblMicrosoftUnits[cv_2019]) + SUMIF(tblAppleUnits[Products],$A78, tblAppleUnits[cv_2019]) + SUMIF(tblAlibabaUnits[Products],$A78, tblAlibabaUnits[cv_2019]) + SUMIF(tblHuaweiUnits[Products],$A78, tblHuaweiUnits[cv_2019]) + SUMIF(tblTencentUnits[Products],$A78, tblTencentUnits[cv_2019]) + SUMIF(tblBaiduUnits[Products],$A78, tblBaiduUnits[cv_2019]) + SUMIF(tblByteDanceUnits[Products],$A78, tblByteDanceUnits[cv_2019]) + SUMIF(tblCloudAOUnits[Products],$A78, tblCloudAOUnits[cv_2019])</f>
        <v>0</v>
      </c>
      <c r="D78" s="8">
        <f xml:space="preserve"> SUMIF(tblGoogleUnits[Products],$A78, tblGoogleUnits[cv_2020]) + SUMIF(tblMetaUnits[Products],$A78, tblMetaUnits[cv_2020]) + SUMIF(tblAmazonUnits[Products],$A78, tblAmazonUnits[cv_2020]) + SUMIF(tblMicrosoftUnits[Products],$A78, tblMicrosoftUnits[cv_2020]) + SUMIF(tblAppleUnits[Products],$A78, tblAppleUnits[cv_2020]) + SUMIF(tblAlibabaUnits[Products],$A78, tblAlibabaUnits[cv_2020]) + SUMIF(tblHuaweiUnits[Products],$A78, tblHuaweiUnits[cv_2020]) + SUMIF(tblTencentUnits[Products],$A78, tblTencentUnits[cv_2020]) + SUMIF(tblBaiduUnits[Products],$A78, tblBaiduUnits[cv_2020]) + SUMIF(tblByteDanceUnits[Products],$A78, tblByteDanceUnits[cv_2020]) + SUMIF(tblCloudAOUnits[Products],$A78, tblCloudAOUnits[cv_2020])</f>
        <v>0</v>
      </c>
      <c r="E78" s="8">
        <f xml:space="preserve"> SUMIF(tblGoogleUnits[Products],$A78, tblGoogleUnits[cv_2021]) + SUMIF(tblMetaUnits[Products],$A78, tblMetaUnits[cv_2021]) + SUMIF(tblAmazonUnits[Products],$A78, tblAmazonUnits[cv_2021]) + SUMIF(tblMicrosoftUnits[Products],$A78, tblMicrosoftUnits[cv_2021]) + SUMIF(tblAppleUnits[Products],$A78, tblAppleUnits[cv_2021]) + SUMIF(tblAlibabaUnits[Products],$A78, tblAlibabaUnits[cv_2021]) + SUMIF(tblHuaweiUnits[Products],$A78, tblHuaweiUnits[cv_2021]) + SUMIF(tblTencentUnits[Products],$A78, tblTencentUnits[cv_2021]) + SUMIF(tblBaiduUnits[Products],$A78, tblBaiduUnits[cv_2021]) + SUMIF(tblByteDanceUnits[Products],$A78, tblByteDanceUnits[cv_2021]) + SUMIF(tblCloudAOUnits[Products],$A78, tblCloudAOUnits[cv_2021])</f>
        <v>0</v>
      </c>
      <c r="F78" s="8">
        <f xml:space="preserve"> SUMIF(tblGoogleUnits[Products],$A78, tblGoogleUnits[cv_2022]) + SUMIF(tblMetaUnits[Products],$A78, tblMetaUnits[cv_2022]) + SUMIF(tblAmazonUnits[Products],$A78, tblAmazonUnits[cv_2022]) + SUMIF(tblMicrosoftUnits[Products],$A78, tblMicrosoftUnits[cv_2022]) + SUMIF(tblAppleUnits[Products],$A78, tblAppleUnits[cv_2022]) + SUMIF(tblAlibabaUnits[Products],$A78, tblAlibabaUnits[cv_2022]) + SUMIF(tblHuaweiUnits[Products],$A78, tblHuaweiUnits[cv_2022]) + SUMIF(tblTencentUnits[Products],$A78, tblTencentUnits[cv_2022]) + SUMIF(tblBaiduUnits[Products],$A78, tblBaiduUnits[cv_2022]) + SUMIF(tblByteDanceUnits[Products],$A78, tblByteDanceUnits[cv_2022]) + SUMIF(tblCloudAOUnits[Products],$A78, tblCloudAOUnits[cv_2022])</f>
        <v>0</v>
      </c>
      <c r="G78" s="8">
        <f xml:space="preserve"> SUMIF(tblGoogleUnits[Products],$A78, tblGoogleUnits[cv_2023]) + SUMIF(tblMetaUnits[Products],$A78, tblMetaUnits[cv_2023]) + SUMIF(tblAmazonUnits[Products],$A78, tblAmazonUnits[cv_2023]) + SUMIF(tblMicrosoftUnits[Products],$A78, tblMicrosoftUnits[cv_2023]) + SUMIF(tblAppleUnits[Products],$A78, tblAppleUnits[cv_2023]) + SUMIF(tblAlibabaUnits[Products],$A78, tblAlibabaUnits[cv_2023]) + SUMIF(tblHuaweiUnits[Products],$A78, tblHuaweiUnits[cv_2023]) + SUMIF(tblTencentUnits[Products],$A78, tblTencentUnits[cv_2023]) + SUMIF(tblBaiduUnits[Products],$A78, tblBaiduUnits[cv_2023]) + SUMIF(tblByteDanceUnits[Products],$A78, tblByteDanceUnits[cv_2023]) + SUMIF(tblCloudAOUnits[Products],$A78, tblCloudAOUnits[cv_2023])</f>
        <v>0</v>
      </c>
      <c r="H78" s="8">
        <f xml:space="preserve"> SUMIF(tblGoogleUnits[Products],$A78, tblGoogleUnits[cv_2024]) + SUMIF(tblMetaUnits[Products],$A78, tblMetaUnits[cv_2024]) + SUMIF(tblAmazonUnits[Products],$A78, tblAmazonUnits[cv_2024]) + SUMIF(tblMicrosoftUnits[Products],$A78, tblMicrosoftUnits[cv_2024]) + SUMIF(tblAppleUnits[Products],$A78, tblAppleUnits[cv_2024]) + SUMIF(tblAlibabaUnits[Products],$A78, tblAlibabaUnits[cv_2024]) + SUMIF(tblHuaweiUnits[Products],$A78, tblHuaweiUnits[cv_2024]) + SUMIF(tblTencentUnits[Products],$A78, tblTencentUnits[cv_2024]) + SUMIF(tblBaiduUnits[Products],$A78, tblBaiduUnits[cv_2024]) + SUMIF(tblByteDanceUnits[Products],$A78, tblByteDanceUnits[cv_2024]) + SUMIF(tblCloudAOUnits[Products],$A78, tblCloudAOUnits[cv_2024])</f>
        <v>0</v>
      </c>
      <c r="I78" s="8">
        <f xml:space="preserve"> SUMIF(tblGoogleUnits[Products],$A78, tblGoogleUnits[cv_2025]) + SUMIF(tblMetaUnits[Products],$A78, tblMetaUnits[cv_2025]) + SUMIF(tblAmazonUnits[Products],$A78, tblAmazonUnits[cv_2025]) + SUMIF(tblMicrosoftUnits[Products],$A78, tblMicrosoftUnits[cv_2025]) + SUMIF(tblAppleUnits[Products],$A78, tblAppleUnits[cv_2025]) + SUMIF(tblAlibabaUnits[Products],$A78, tblAlibabaUnits[cv_2025]) + SUMIF(tblHuaweiUnits[Products],$A78, tblHuaweiUnits[cv_2025]) + SUMIF(tblTencentUnits[Products],$A78, tblTencentUnits[cv_2025]) + SUMIF(tblBaiduUnits[Products],$A78, tblBaiduUnits[cv_2025]) + SUMIF(tblByteDanceUnits[Products],$A78, tblByteDanceUnits[cv_2025]) + SUMIF(tblCloudAOUnits[Products],$A78, tblCloudAOUnits[cv_2025])</f>
        <v>0</v>
      </c>
      <c r="J78" s="8">
        <f xml:space="preserve"> SUMIF(tblGoogleUnits[Products],$A78, tblGoogleUnits[cv_2026]) + SUMIF(tblMetaUnits[Products],$A78, tblMetaUnits[cv_2026]) + SUMIF(tblAmazonUnits[Products],$A78, tblAmazonUnits[cv_2026]) + SUMIF(tblMicrosoftUnits[Products],$A78, tblMicrosoftUnits[cv_2026]) + SUMIF(tblAppleUnits[Products],$A78, tblAppleUnits[cv_2026]) + SUMIF(tblAlibabaUnits[Products],$A78, tblAlibabaUnits[cv_2026]) + SUMIF(tblHuaweiUnits[Products],$A78, tblHuaweiUnits[cv_2026]) + SUMIF(tblTencentUnits[Products],$A78, tblTencentUnits[cv_2026]) + SUMIF(tblBaiduUnits[Products],$A78, tblBaiduUnits[cv_2026]) + SUMIF(tblByteDanceUnits[Products],$A78, tblByteDanceUnits[cv_2026]) + SUMIF(tblCloudAOUnits[Products],$A78, tblCloudAOUnits[cv_2026])</f>
        <v>0</v>
      </c>
      <c r="K78" s="8">
        <f xml:space="preserve"> SUMIF(tblGoogleUnits[Products],$A78, tblGoogleUnits[cv_2027]) + SUMIF(tblMetaUnits[Products],$A78, tblMetaUnits[cv_2027]) + SUMIF(tblAmazonUnits[Products],$A78, tblAmazonUnits[cv_2027]) + SUMIF(tblMicrosoftUnits[Products],$A78, tblMicrosoftUnits[cv_2027]) + SUMIF(tblAppleUnits[Products],$A78, tblAppleUnits[cv_2027]) + SUMIF(tblAlibabaUnits[Products],$A78, tblAlibabaUnits[cv_2027]) + SUMIF(tblHuaweiUnits[Products],$A78, tblHuaweiUnits[cv_2027]) + SUMIF(tblTencentUnits[Products],$A78, tblTencentUnits[cv_2027]) + SUMIF(tblBaiduUnits[Products],$A78, tblBaiduUnits[cv_2027]) + SUMIF(tblByteDanceUnits[Products],$A78, tblByteDanceUnits[cv_2027]) + SUMIF(tblCloudAOUnits[Products],$A78, tblCloudAOUnits[cv_2027])</f>
        <v>0</v>
      </c>
      <c r="L78" s="8">
        <f xml:space="preserve"> SUMIF(tblGoogleUnits[Products],$A78, tblGoogleUnits[cv_2028]) + SUMIF(tblMetaUnits[Products],$A78, tblMetaUnits[cv_2028]) + SUMIF(tblAmazonUnits[Products],$A78, tblAmazonUnits[cv_2028]) + SUMIF(tblMicrosoftUnits[Products],$A78, tblMicrosoftUnits[cv_2028]) + SUMIF(tblAppleUnits[Products],$A78, tblAppleUnits[cv_2028]) + SUMIF(tblAlibabaUnits[Products],$A78, tblAlibabaUnits[cv_2028]) + SUMIF(tblHuaweiUnits[Products],$A78, tblHuaweiUnits[cv_2028]) + SUMIF(tblTencentUnits[Products],$A78, tblTencentUnits[cv_2028]) + SUMIF(tblBaiduUnits[Products],$A78, tblBaiduUnits[cv_2028]) + SUMIF(tblByteDanceUnits[Products],$A78, tblByteDanceUnits[cv_2028]) + SUMIF(tblCloudAOUnits[Products],$A78, tblCloudAOUnits[cv_2028])</f>
        <v>0</v>
      </c>
      <c r="M78" s="122">
        <f>10^-6*B78*INDEX(TotalMarket!$M$26:$W$125,MATCH($A78,$A$11:$A$132,0),MATCH(M$10,$M$10:$W$10))</f>
        <v>0</v>
      </c>
      <c r="N78" s="122">
        <f>10^-6*C78*INDEX(TotalMarket!$M$26:$W$125,MATCH($A78,$A$11:$A$132,0),MATCH(N$10,$M$10:$W$10))</f>
        <v>0</v>
      </c>
      <c r="O78" s="122">
        <f>10^-6*D78*INDEX(TotalMarket!$M$26:$W$125,MATCH($A78,$A$11:$A$132,0),MATCH(O$10,$M$10:$W$10))</f>
        <v>0</v>
      </c>
      <c r="P78" s="122">
        <f>10^-6*E78*INDEX(TotalMarket!$M$26:$W$125,MATCH($A78,$A$11:$A$132,0),MATCH(P$10,$M$10:$W$10))</f>
        <v>0</v>
      </c>
      <c r="Q78" s="122">
        <f>10^-6*F78*INDEX(TotalMarket!$M$26:$W$125,MATCH($A78,$A$11:$A$132,0),MATCH(Q$10,$M$10:$W$10))</f>
        <v>0</v>
      </c>
      <c r="R78" s="122">
        <f>10^-6*G78*INDEX(TotalMarket!$M$26:$W$125,MATCH($A78,$A$11:$A$132,0),MATCH(R$10,$M$10:$W$10))</f>
        <v>0</v>
      </c>
      <c r="S78" s="122">
        <f>10^-6*H78*INDEX(TotalMarket!$M$26:$W$125,MATCH($A78,$A$11:$A$132,0),MATCH(S$10,$M$10:$W$10))</f>
        <v>0</v>
      </c>
      <c r="T78" s="122">
        <f>10^-6*I78*INDEX(TotalMarket!$M$26:$W$125,MATCH($A78,$A$11:$A$132,0),MATCH(T$10,$M$10:$W$10))</f>
        <v>0</v>
      </c>
      <c r="U78" s="122">
        <f>10^-6*J78*INDEX(TotalMarket!$M$26:$W$125,MATCH($A78,$A$11:$A$132,0),MATCH(U$10,$M$10:$W$10))</f>
        <v>0</v>
      </c>
      <c r="V78" s="122">
        <f>10^-6*K78*INDEX(TotalMarket!$M$26:$W$125,MATCH($A78,$A$11:$A$132,0),MATCH(V$10,$M$10:$W$10))</f>
        <v>0</v>
      </c>
      <c r="W78" s="122">
        <f>10^-6*L78*INDEX(TotalMarket!$M$26:$W$125,MATCH($A78,$A$11:$A$132,0),MATCH(W$10,$M$10:$W$10))</f>
        <v>0</v>
      </c>
      <c r="X78" s="1">
        <f>VLOOKUP(A78,Products!$A$29:$F$110,6,FALSE)</f>
        <v>800</v>
      </c>
    </row>
    <row r="79" spans="1:24">
      <c r="A79" s="15" t="s">
        <v>17</v>
      </c>
      <c r="B79" s="8">
        <f xml:space="preserve"> SUMIF(tblGoogleUnits[Products],$A79, tblGoogleUnits[cv_2018]) + SUMIF(tblMetaUnits[Products],$A79, tblMetaUnits[cv_2018]) + SUMIF(tblAmazonUnits[Products],$A79, tblAmazonUnits[cv_2018]) + SUMIF(tblMicrosoftUnits[Products],$A79, tblMicrosoftUnits[cv_2018]) + SUMIF(tblAppleUnits[Products],$A79, tblAppleUnits[cv_2018]) + SUMIF(tblAlibabaUnits[Products],$A79, tblAlibabaUnits[cv_2018]) + SUMIF(tblHuaweiUnits[Products],$A79, tblHuaweiUnits[cv_2018]) + SUMIF(tblTencentUnits[Products],$A79, tblTencentUnits[cv_2018]) + SUMIF(tblBaiduUnits[Products],$A79, tblBaiduUnits[cv_2018]) + SUMIF(tblByteDanceUnits[Products],$A79, tblByteDanceUnits[cv_2018]) + SUMIF(tblCloudAOUnits[Products],$A79, tblCloudAOUnits[cv_2018])</f>
        <v>0</v>
      </c>
      <c r="C79" s="8">
        <f xml:space="preserve"> SUMIF(tblGoogleUnits[Products],$A79, tblGoogleUnits[cv_2019]) + SUMIF(tblMetaUnits[Products],$A79, tblMetaUnits[cv_2019]) + SUMIF(tblAmazonUnits[Products],$A79, tblAmazonUnits[cv_2019]) + SUMIF(tblMicrosoftUnits[Products],$A79, tblMicrosoftUnits[cv_2019]) + SUMIF(tblAppleUnits[Products],$A79, tblAppleUnits[cv_2019]) + SUMIF(tblAlibabaUnits[Products],$A79, tblAlibabaUnits[cv_2019]) + SUMIF(tblHuaweiUnits[Products],$A79, tblHuaweiUnits[cv_2019]) + SUMIF(tblTencentUnits[Products],$A79, tblTencentUnits[cv_2019]) + SUMIF(tblBaiduUnits[Products],$A79, tblBaiduUnits[cv_2019]) + SUMIF(tblByteDanceUnits[Products],$A79, tblByteDanceUnits[cv_2019]) + SUMIF(tblCloudAOUnits[Products],$A79, tblCloudAOUnits[cv_2019])</f>
        <v>0</v>
      </c>
      <c r="D79" s="8">
        <f xml:space="preserve"> SUMIF(tblGoogleUnits[Products],$A79, tblGoogleUnits[cv_2020]) + SUMIF(tblMetaUnits[Products],$A79, tblMetaUnits[cv_2020]) + SUMIF(tblAmazonUnits[Products],$A79, tblAmazonUnits[cv_2020]) + SUMIF(tblMicrosoftUnits[Products],$A79, tblMicrosoftUnits[cv_2020]) + SUMIF(tblAppleUnits[Products],$A79, tblAppleUnits[cv_2020]) + SUMIF(tblAlibabaUnits[Products],$A79, tblAlibabaUnits[cv_2020]) + SUMIF(tblHuaweiUnits[Products],$A79, tblHuaweiUnits[cv_2020]) + SUMIF(tblTencentUnits[Products],$A79, tblTencentUnits[cv_2020]) + SUMIF(tblBaiduUnits[Products],$A79, tblBaiduUnits[cv_2020]) + SUMIF(tblByteDanceUnits[Products],$A79, tblByteDanceUnits[cv_2020]) + SUMIF(tblCloudAOUnits[Products],$A79, tblCloudAOUnits[cv_2020])</f>
        <v>0</v>
      </c>
      <c r="E79" s="8">
        <f xml:space="preserve"> SUMIF(tblGoogleUnits[Products],$A79, tblGoogleUnits[cv_2021]) + SUMIF(tblMetaUnits[Products],$A79, tblMetaUnits[cv_2021]) + SUMIF(tblAmazonUnits[Products],$A79, tblAmazonUnits[cv_2021]) + SUMIF(tblMicrosoftUnits[Products],$A79, tblMicrosoftUnits[cv_2021]) + SUMIF(tblAppleUnits[Products],$A79, tblAppleUnits[cv_2021]) + SUMIF(tblAlibabaUnits[Products],$A79, tblAlibabaUnits[cv_2021]) + SUMIF(tblHuaweiUnits[Products],$A79, tblHuaweiUnits[cv_2021]) + SUMIF(tblTencentUnits[Products],$A79, tblTencentUnits[cv_2021]) + SUMIF(tblBaiduUnits[Products],$A79, tblBaiduUnits[cv_2021]) + SUMIF(tblByteDanceUnits[Products],$A79, tblByteDanceUnits[cv_2021]) + SUMIF(tblCloudAOUnits[Products],$A79, tblCloudAOUnits[cv_2021])</f>
        <v>0</v>
      </c>
      <c r="F79" s="8">
        <f xml:space="preserve"> SUMIF(tblGoogleUnits[Products],$A79, tblGoogleUnits[cv_2022]) + SUMIF(tblMetaUnits[Products],$A79, tblMetaUnits[cv_2022]) + SUMIF(tblAmazonUnits[Products],$A79, tblAmazonUnits[cv_2022]) + SUMIF(tblMicrosoftUnits[Products],$A79, tblMicrosoftUnits[cv_2022]) + SUMIF(tblAppleUnits[Products],$A79, tblAppleUnits[cv_2022]) + SUMIF(tblAlibabaUnits[Products],$A79, tblAlibabaUnits[cv_2022]) + SUMIF(tblHuaweiUnits[Products],$A79, tblHuaweiUnits[cv_2022]) + SUMIF(tblTencentUnits[Products],$A79, tblTencentUnits[cv_2022]) + SUMIF(tblBaiduUnits[Products],$A79, tblBaiduUnits[cv_2022]) + SUMIF(tblByteDanceUnits[Products],$A79, tblByteDanceUnits[cv_2022]) + SUMIF(tblCloudAOUnits[Products],$A79, tblCloudAOUnits[cv_2022])</f>
        <v>0</v>
      </c>
      <c r="G79" s="8">
        <f xml:space="preserve"> SUMIF(tblGoogleUnits[Products],$A79, tblGoogleUnits[cv_2023]) + SUMIF(tblMetaUnits[Products],$A79, tblMetaUnits[cv_2023]) + SUMIF(tblAmazonUnits[Products],$A79, tblAmazonUnits[cv_2023]) + SUMIF(tblMicrosoftUnits[Products],$A79, tblMicrosoftUnits[cv_2023]) + SUMIF(tblAppleUnits[Products],$A79, tblAppleUnits[cv_2023]) + SUMIF(tblAlibabaUnits[Products],$A79, tblAlibabaUnits[cv_2023]) + SUMIF(tblHuaweiUnits[Products],$A79, tblHuaweiUnits[cv_2023]) + SUMIF(tblTencentUnits[Products],$A79, tblTencentUnits[cv_2023]) + SUMIF(tblBaiduUnits[Products],$A79, tblBaiduUnits[cv_2023]) + SUMIF(tblByteDanceUnits[Products],$A79, tblByteDanceUnits[cv_2023]) + SUMIF(tblCloudAOUnits[Products],$A79, tblCloudAOUnits[cv_2023])</f>
        <v>0</v>
      </c>
      <c r="H79" s="8">
        <f xml:space="preserve"> SUMIF(tblGoogleUnits[Products],$A79, tblGoogleUnits[cv_2024]) + SUMIF(tblMetaUnits[Products],$A79, tblMetaUnits[cv_2024]) + SUMIF(tblAmazonUnits[Products],$A79, tblAmazonUnits[cv_2024]) + SUMIF(tblMicrosoftUnits[Products],$A79, tblMicrosoftUnits[cv_2024]) + SUMIF(tblAppleUnits[Products],$A79, tblAppleUnits[cv_2024]) + SUMIF(tblAlibabaUnits[Products],$A79, tblAlibabaUnits[cv_2024]) + SUMIF(tblHuaweiUnits[Products],$A79, tblHuaweiUnits[cv_2024]) + SUMIF(tblTencentUnits[Products],$A79, tblTencentUnits[cv_2024]) + SUMIF(tblBaiduUnits[Products],$A79, tblBaiduUnits[cv_2024]) + SUMIF(tblByteDanceUnits[Products],$A79, tblByteDanceUnits[cv_2024]) + SUMIF(tblCloudAOUnits[Products],$A79, tblCloudAOUnits[cv_2024])</f>
        <v>0</v>
      </c>
      <c r="I79" s="8">
        <f xml:space="preserve"> SUMIF(tblGoogleUnits[Products],$A79, tblGoogleUnits[cv_2025]) + SUMIF(tblMetaUnits[Products],$A79, tblMetaUnits[cv_2025]) + SUMIF(tblAmazonUnits[Products],$A79, tblAmazonUnits[cv_2025]) + SUMIF(tblMicrosoftUnits[Products],$A79, tblMicrosoftUnits[cv_2025]) + SUMIF(tblAppleUnits[Products],$A79, tblAppleUnits[cv_2025]) + SUMIF(tblAlibabaUnits[Products],$A79, tblAlibabaUnits[cv_2025]) + SUMIF(tblHuaweiUnits[Products],$A79, tblHuaweiUnits[cv_2025]) + SUMIF(tblTencentUnits[Products],$A79, tblTencentUnits[cv_2025]) + SUMIF(tblBaiduUnits[Products],$A79, tblBaiduUnits[cv_2025]) + SUMIF(tblByteDanceUnits[Products],$A79, tblByteDanceUnits[cv_2025]) + SUMIF(tblCloudAOUnits[Products],$A79, tblCloudAOUnits[cv_2025])</f>
        <v>0</v>
      </c>
      <c r="J79" s="8">
        <f xml:space="preserve"> SUMIF(tblGoogleUnits[Products],$A79, tblGoogleUnits[cv_2026]) + SUMIF(tblMetaUnits[Products],$A79, tblMetaUnits[cv_2026]) + SUMIF(tblAmazonUnits[Products],$A79, tblAmazonUnits[cv_2026]) + SUMIF(tblMicrosoftUnits[Products],$A79, tblMicrosoftUnits[cv_2026]) + SUMIF(tblAppleUnits[Products],$A79, tblAppleUnits[cv_2026]) + SUMIF(tblAlibabaUnits[Products],$A79, tblAlibabaUnits[cv_2026]) + SUMIF(tblHuaweiUnits[Products],$A79, tblHuaweiUnits[cv_2026]) + SUMIF(tblTencentUnits[Products],$A79, tblTencentUnits[cv_2026]) + SUMIF(tblBaiduUnits[Products],$A79, tblBaiduUnits[cv_2026]) + SUMIF(tblByteDanceUnits[Products],$A79, tblByteDanceUnits[cv_2026]) + SUMIF(tblCloudAOUnits[Products],$A79, tblCloudAOUnits[cv_2026])</f>
        <v>0</v>
      </c>
      <c r="K79" s="8">
        <f xml:space="preserve"> SUMIF(tblGoogleUnits[Products],$A79, tblGoogleUnits[cv_2027]) + SUMIF(tblMetaUnits[Products],$A79, tblMetaUnits[cv_2027]) + SUMIF(tblAmazonUnits[Products],$A79, tblAmazonUnits[cv_2027]) + SUMIF(tblMicrosoftUnits[Products],$A79, tblMicrosoftUnits[cv_2027]) + SUMIF(tblAppleUnits[Products],$A79, tblAppleUnits[cv_2027]) + SUMIF(tblAlibabaUnits[Products],$A79, tblAlibabaUnits[cv_2027]) + SUMIF(tblHuaweiUnits[Products],$A79, tblHuaweiUnits[cv_2027]) + SUMIF(tblTencentUnits[Products],$A79, tblTencentUnits[cv_2027]) + SUMIF(tblBaiduUnits[Products],$A79, tblBaiduUnits[cv_2027]) + SUMIF(tblByteDanceUnits[Products],$A79, tblByteDanceUnits[cv_2027]) + SUMIF(tblCloudAOUnits[Products],$A79, tblCloudAOUnits[cv_2027])</f>
        <v>0</v>
      </c>
      <c r="L79" s="8">
        <f xml:space="preserve"> SUMIF(tblGoogleUnits[Products],$A79, tblGoogleUnits[cv_2028]) + SUMIF(tblMetaUnits[Products],$A79, tblMetaUnits[cv_2028]) + SUMIF(tblAmazonUnits[Products],$A79, tblAmazonUnits[cv_2028]) + SUMIF(tblMicrosoftUnits[Products],$A79, tblMicrosoftUnits[cv_2028]) + SUMIF(tblAppleUnits[Products],$A79, tblAppleUnits[cv_2028]) + SUMIF(tblAlibabaUnits[Products],$A79, tblAlibabaUnits[cv_2028]) + SUMIF(tblHuaweiUnits[Products],$A79, tblHuaweiUnits[cv_2028]) + SUMIF(tblTencentUnits[Products],$A79, tblTencentUnits[cv_2028]) + SUMIF(tblBaiduUnits[Products],$A79, tblBaiduUnits[cv_2028]) + SUMIF(tblByteDanceUnits[Products],$A79, tblByteDanceUnits[cv_2028]) + SUMIF(tblCloudAOUnits[Products],$A79, tblCloudAOUnits[cv_2028])</f>
        <v>0</v>
      </c>
      <c r="M79" s="122">
        <f>10^-6*B79*INDEX(TotalMarket!$M$26:$W$125,MATCH($A79,$A$11:$A$132,0),MATCH(M$10,$M$10:$W$10))</f>
        <v>0</v>
      </c>
      <c r="N79" s="122">
        <f>10^-6*C79*INDEX(TotalMarket!$M$26:$W$125,MATCH($A79,$A$11:$A$132,0),MATCH(N$10,$M$10:$W$10))</f>
        <v>0</v>
      </c>
      <c r="O79" s="122">
        <f>10^-6*D79*INDEX(TotalMarket!$M$26:$W$125,MATCH($A79,$A$11:$A$132,0),MATCH(O$10,$M$10:$W$10))</f>
        <v>0</v>
      </c>
      <c r="P79" s="122">
        <f>10^-6*E79*INDEX(TotalMarket!$M$26:$W$125,MATCH($A79,$A$11:$A$132,0),MATCH(P$10,$M$10:$W$10))</f>
        <v>0</v>
      </c>
      <c r="Q79" s="122">
        <f>10^-6*F79*INDEX(TotalMarket!$M$26:$W$125,MATCH($A79,$A$11:$A$132,0),MATCH(Q$10,$M$10:$W$10))</f>
        <v>0</v>
      </c>
      <c r="R79" s="122">
        <f>10^-6*G79*INDEX(TotalMarket!$M$26:$W$125,MATCH($A79,$A$11:$A$132,0),MATCH(R$10,$M$10:$W$10))</f>
        <v>0</v>
      </c>
      <c r="S79" s="122">
        <f>10^-6*H79*INDEX(TotalMarket!$M$26:$W$125,MATCH($A79,$A$11:$A$132,0),MATCH(S$10,$M$10:$W$10))</f>
        <v>0</v>
      </c>
      <c r="T79" s="122">
        <f>10^-6*I79*INDEX(TotalMarket!$M$26:$W$125,MATCH($A79,$A$11:$A$132,0),MATCH(T$10,$M$10:$W$10))</f>
        <v>0</v>
      </c>
      <c r="U79" s="122">
        <f>10^-6*J79*INDEX(TotalMarket!$M$26:$W$125,MATCH($A79,$A$11:$A$132,0),MATCH(U$10,$M$10:$W$10))</f>
        <v>0</v>
      </c>
      <c r="V79" s="122">
        <f>10^-6*K79*INDEX(TotalMarket!$M$26:$W$125,MATCH($A79,$A$11:$A$132,0),MATCH(V$10,$M$10:$W$10))</f>
        <v>0</v>
      </c>
      <c r="W79" s="122">
        <f>10^-6*L79*INDEX(TotalMarket!$M$26:$W$125,MATCH($A79,$A$11:$A$132,0),MATCH(W$10,$M$10:$W$10))</f>
        <v>0</v>
      </c>
      <c r="X79" s="1">
        <f>VLOOKUP(A79,Products!$A$29:$F$110,6,FALSE)</f>
        <v>800</v>
      </c>
    </row>
    <row r="80" spans="1:24">
      <c r="A80" s="15" t="s">
        <v>18</v>
      </c>
      <c r="B80" s="8">
        <f xml:space="preserve"> SUMIF(tblGoogleUnits[Products],$A80, tblGoogleUnits[cv_2018]) + SUMIF(tblMetaUnits[Products],$A80, tblMetaUnits[cv_2018]) + SUMIF(tblAmazonUnits[Products],$A80, tblAmazonUnits[cv_2018]) + SUMIF(tblMicrosoftUnits[Products],$A80, tblMicrosoftUnits[cv_2018]) + SUMIF(tblAppleUnits[Products],$A80, tblAppleUnits[cv_2018]) + SUMIF(tblAlibabaUnits[Products],$A80, tblAlibabaUnits[cv_2018]) + SUMIF(tblHuaweiUnits[Products],$A80, tblHuaweiUnits[cv_2018]) + SUMIF(tblTencentUnits[Products],$A80, tblTencentUnits[cv_2018]) + SUMIF(tblBaiduUnits[Products],$A80, tblBaiduUnits[cv_2018]) + SUMIF(tblByteDanceUnits[Products],$A80, tblByteDanceUnits[cv_2018]) + SUMIF(tblCloudAOUnits[Products],$A80, tblCloudAOUnits[cv_2018])</f>
        <v>0</v>
      </c>
      <c r="C80" s="8">
        <f xml:space="preserve"> SUMIF(tblGoogleUnits[Products],$A80, tblGoogleUnits[cv_2019]) + SUMIF(tblMetaUnits[Products],$A80, tblMetaUnits[cv_2019]) + SUMIF(tblAmazonUnits[Products],$A80, tblAmazonUnits[cv_2019]) + SUMIF(tblMicrosoftUnits[Products],$A80, tblMicrosoftUnits[cv_2019]) + SUMIF(tblAppleUnits[Products],$A80, tblAppleUnits[cv_2019]) + SUMIF(tblAlibabaUnits[Products],$A80, tblAlibabaUnits[cv_2019]) + SUMIF(tblHuaweiUnits[Products],$A80, tblHuaweiUnits[cv_2019]) + SUMIF(tblTencentUnits[Products],$A80, tblTencentUnits[cv_2019]) + SUMIF(tblBaiduUnits[Products],$A80, tblBaiduUnits[cv_2019]) + SUMIF(tblByteDanceUnits[Products],$A80, tblByteDanceUnits[cv_2019]) + SUMIF(tblCloudAOUnits[Products],$A80, tblCloudAOUnits[cv_2019])</f>
        <v>0</v>
      </c>
      <c r="D80" s="8">
        <f xml:space="preserve"> SUMIF(tblGoogleUnits[Products],$A80, tblGoogleUnits[cv_2020]) + SUMIF(tblMetaUnits[Products],$A80, tblMetaUnits[cv_2020]) + SUMIF(tblAmazonUnits[Products],$A80, tblAmazonUnits[cv_2020]) + SUMIF(tblMicrosoftUnits[Products],$A80, tblMicrosoftUnits[cv_2020]) + SUMIF(tblAppleUnits[Products],$A80, tblAppleUnits[cv_2020]) + SUMIF(tblAlibabaUnits[Products],$A80, tblAlibabaUnits[cv_2020]) + SUMIF(tblHuaweiUnits[Products],$A80, tblHuaweiUnits[cv_2020]) + SUMIF(tblTencentUnits[Products],$A80, tblTencentUnits[cv_2020]) + SUMIF(tblBaiduUnits[Products],$A80, tblBaiduUnits[cv_2020]) + SUMIF(tblByteDanceUnits[Products],$A80, tblByteDanceUnits[cv_2020]) + SUMIF(tblCloudAOUnits[Products],$A80, tblCloudAOUnits[cv_2020])</f>
        <v>0</v>
      </c>
      <c r="E80" s="8">
        <f xml:space="preserve"> SUMIF(tblGoogleUnits[Products],$A80, tblGoogleUnits[cv_2021]) + SUMIF(tblMetaUnits[Products],$A80, tblMetaUnits[cv_2021]) + SUMIF(tblAmazonUnits[Products],$A80, tblAmazonUnits[cv_2021]) + SUMIF(tblMicrosoftUnits[Products],$A80, tblMicrosoftUnits[cv_2021]) + SUMIF(tblAppleUnits[Products],$A80, tblAppleUnits[cv_2021]) + SUMIF(tblAlibabaUnits[Products],$A80, tblAlibabaUnits[cv_2021]) + SUMIF(tblHuaweiUnits[Products],$A80, tblHuaweiUnits[cv_2021]) + SUMIF(tblTencentUnits[Products],$A80, tblTencentUnits[cv_2021]) + SUMIF(tblBaiduUnits[Products],$A80, tblBaiduUnits[cv_2021]) + SUMIF(tblByteDanceUnits[Products],$A80, tblByteDanceUnits[cv_2021]) + SUMIF(tblCloudAOUnits[Products],$A80, tblCloudAOUnits[cv_2021])</f>
        <v>0</v>
      </c>
      <c r="F80" s="8">
        <f xml:space="preserve"> SUMIF(tblGoogleUnits[Products],$A80, tblGoogleUnits[cv_2022]) + SUMIF(tblMetaUnits[Products],$A80, tblMetaUnits[cv_2022]) + SUMIF(tblAmazonUnits[Products],$A80, tblAmazonUnits[cv_2022]) + SUMIF(tblMicrosoftUnits[Products],$A80, tblMicrosoftUnits[cv_2022]) + SUMIF(tblAppleUnits[Products],$A80, tblAppleUnits[cv_2022]) + SUMIF(tblAlibabaUnits[Products],$A80, tblAlibabaUnits[cv_2022]) + SUMIF(tblHuaweiUnits[Products],$A80, tblHuaweiUnits[cv_2022]) + SUMIF(tblTencentUnits[Products],$A80, tblTencentUnits[cv_2022]) + SUMIF(tblBaiduUnits[Products],$A80, tblBaiduUnits[cv_2022]) + SUMIF(tblByteDanceUnits[Products],$A80, tblByteDanceUnits[cv_2022]) + SUMIF(tblCloudAOUnits[Products],$A80, tblCloudAOUnits[cv_2022])</f>
        <v>0</v>
      </c>
      <c r="G80" s="8">
        <f xml:space="preserve"> SUMIF(tblGoogleUnits[Products],$A80, tblGoogleUnits[cv_2023]) + SUMIF(tblMetaUnits[Products],$A80, tblMetaUnits[cv_2023]) + SUMIF(tblAmazonUnits[Products],$A80, tblAmazonUnits[cv_2023]) + SUMIF(tblMicrosoftUnits[Products],$A80, tblMicrosoftUnits[cv_2023]) + SUMIF(tblAppleUnits[Products],$A80, tblAppleUnits[cv_2023]) + SUMIF(tblAlibabaUnits[Products],$A80, tblAlibabaUnits[cv_2023]) + SUMIF(tblHuaweiUnits[Products],$A80, tblHuaweiUnits[cv_2023]) + SUMIF(tblTencentUnits[Products],$A80, tblTencentUnits[cv_2023]) + SUMIF(tblBaiduUnits[Products],$A80, tblBaiduUnits[cv_2023]) + SUMIF(tblByteDanceUnits[Products],$A80, tblByteDanceUnits[cv_2023]) + SUMIF(tblCloudAOUnits[Products],$A80, tblCloudAOUnits[cv_2023])</f>
        <v>0</v>
      </c>
      <c r="H80" s="8">
        <f xml:space="preserve"> SUMIF(tblGoogleUnits[Products],$A80, tblGoogleUnits[cv_2024]) + SUMIF(tblMetaUnits[Products],$A80, tblMetaUnits[cv_2024]) + SUMIF(tblAmazonUnits[Products],$A80, tblAmazonUnits[cv_2024]) + SUMIF(tblMicrosoftUnits[Products],$A80, tblMicrosoftUnits[cv_2024]) + SUMIF(tblAppleUnits[Products],$A80, tblAppleUnits[cv_2024]) + SUMIF(tblAlibabaUnits[Products],$A80, tblAlibabaUnits[cv_2024]) + SUMIF(tblHuaweiUnits[Products],$A80, tblHuaweiUnits[cv_2024]) + SUMIF(tblTencentUnits[Products],$A80, tblTencentUnits[cv_2024]) + SUMIF(tblBaiduUnits[Products],$A80, tblBaiduUnits[cv_2024]) + SUMIF(tblByteDanceUnits[Products],$A80, tblByteDanceUnits[cv_2024]) + SUMIF(tblCloudAOUnits[Products],$A80, tblCloudAOUnits[cv_2024])</f>
        <v>0</v>
      </c>
      <c r="I80" s="8">
        <f xml:space="preserve"> SUMIF(tblGoogleUnits[Products],$A80, tblGoogleUnits[cv_2025]) + SUMIF(tblMetaUnits[Products],$A80, tblMetaUnits[cv_2025]) + SUMIF(tblAmazonUnits[Products],$A80, tblAmazonUnits[cv_2025]) + SUMIF(tblMicrosoftUnits[Products],$A80, tblMicrosoftUnits[cv_2025]) + SUMIF(tblAppleUnits[Products],$A80, tblAppleUnits[cv_2025]) + SUMIF(tblAlibabaUnits[Products],$A80, tblAlibabaUnits[cv_2025]) + SUMIF(tblHuaweiUnits[Products],$A80, tblHuaweiUnits[cv_2025]) + SUMIF(tblTencentUnits[Products],$A80, tblTencentUnits[cv_2025]) + SUMIF(tblBaiduUnits[Products],$A80, tblBaiduUnits[cv_2025]) + SUMIF(tblByteDanceUnits[Products],$A80, tblByteDanceUnits[cv_2025]) + SUMIF(tblCloudAOUnits[Products],$A80, tblCloudAOUnits[cv_2025])</f>
        <v>0</v>
      </c>
      <c r="J80" s="8">
        <f xml:space="preserve"> SUMIF(tblGoogleUnits[Products],$A80, tblGoogleUnits[cv_2026]) + SUMIF(tblMetaUnits[Products],$A80, tblMetaUnits[cv_2026]) + SUMIF(tblAmazonUnits[Products],$A80, tblAmazonUnits[cv_2026]) + SUMIF(tblMicrosoftUnits[Products],$A80, tblMicrosoftUnits[cv_2026]) + SUMIF(tblAppleUnits[Products],$A80, tblAppleUnits[cv_2026]) + SUMIF(tblAlibabaUnits[Products],$A80, tblAlibabaUnits[cv_2026]) + SUMIF(tblHuaweiUnits[Products],$A80, tblHuaweiUnits[cv_2026]) + SUMIF(tblTencentUnits[Products],$A80, tblTencentUnits[cv_2026]) + SUMIF(tblBaiduUnits[Products],$A80, tblBaiduUnits[cv_2026]) + SUMIF(tblByteDanceUnits[Products],$A80, tblByteDanceUnits[cv_2026]) + SUMIF(tblCloudAOUnits[Products],$A80, tblCloudAOUnits[cv_2026])</f>
        <v>0</v>
      </c>
      <c r="K80" s="8">
        <f xml:space="preserve"> SUMIF(tblGoogleUnits[Products],$A80, tblGoogleUnits[cv_2027]) + SUMIF(tblMetaUnits[Products],$A80, tblMetaUnits[cv_2027]) + SUMIF(tblAmazonUnits[Products],$A80, tblAmazonUnits[cv_2027]) + SUMIF(tblMicrosoftUnits[Products],$A80, tblMicrosoftUnits[cv_2027]) + SUMIF(tblAppleUnits[Products],$A80, tblAppleUnits[cv_2027]) + SUMIF(tblAlibabaUnits[Products],$A80, tblAlibabaUnits[cv_2027]) + SUMIF(tblHuaweiUnits[Products],$A80, tblHuaweiUnits[cv_2027]) + SUMIF(tblTencentUnits[Products],$A80, tblTencentUnits[cv_2027]) + SUMIF(tblBaiduUnits[Products],$A80, tblBaiduUnits[cv_2027]) + SUMIF(tblByteDanceUnits[Products],$A80, tblByteDanceUnits[cv_2027]) + SUMIF(tblCloudAOUnits[Products],$A80, tblCloudAOUnits[cv_2027])</f>
        <v>0</v>
      </c>
      <c r="L80" s="8">
        <f xml:space="preserve"> SUMIF(tblGoogleUnits[Products],$A80, tblGoogleUnits[cv_2028]) + SUMIF(tblMetaUnits[Products],$A80, tblMetaUnits[cv_2028]) + SUMIF(tblAmazonUnits[Products],$A80, tblAmazonUnits[cv_2028]) + SUMIF(tblMicrosoftUnits[Products],$A80, tblMicrosoftUnits[cv_2028]) + SUMIF(tblAppleUnits[Products],$A80, tblAppleUnits[cv_2028]) + SUMIF(tblAlibabaUnits[Products],$A80, tblAlibabaUnits[cv_2028]) + SUMIF(tblHuaweiUnits[Products],$A80, tblHuaweiUnits[cv_2028]) + SUMIF(tblTencentUnits[Products],$A80, tblTencentUnits[cv_2028]) + SUMIF(tblBaiduUnits[Products],$A80, tblBaiduUnits[cv_2028]) + SUMIF(tblByteDanceUnits[Products],$A80, tblByteDanceUnits[cv_2028]) + SUMIF(tblCloudAOUnits[Products],$A80, tblCloudAOUnits[cv_2028])</f>
        <v>0</v>
      </c>
      <c r="M80" s="122">
        <f>10^-6*B80*INDEX(TotalMarket!$M$26:$W$125,MATCH($A80,$A$11:$A$132,0),MATCH(M$10,$M$10:$W$10))</f>
        <v>0</v>
      </c>
      <c r="N80" s="122">
        <f>10^-6*C80*INDEX(TotalMarket!$M$26:$W$125,MATCH($A80,$A$11:$A$132,0),MATCH(N$10,$M$10:$W$10))</f>
        <v>0</v>
      </c>
      <c r="O80" s="122">
        <f>10^-6*D80*INDEX(TotalMarket!$M$26:$W$125,MATCH($A80,$A$11:$A$132,0),MATCH(O$10,$M$10:$W$10))</f>
        <v>0</v>
      </c>
      <c r="P80" s="122">
        <f>10^-6*E80*INDEX(TotalMarket!$M$26:$W$125,MATCH($A80,$A$11:$A$132,0),MATCH(P$10,$M$10:$W$10))</f>
        <v>0</v>
      </c>
      <c r="Q80" s="122">
        <f>10^-6*F80*INDEX(TotalMarket!$M$26:$W$125,MATCH($A80,$A$11:$A$132,0),MATCH(Q$10,$M$10:$W$10))</f>
        <v>0</v>
      </c>
      <c r="R80" s="122">
        <f>10^-6*G80*INDEX(TotalMarket!$M$26:$W$125,MATCH($A80,$A$11:$A$132,0),MATCH(R$10,$M$10:$W$10))</f>
        <v>0</v>
      </c>
      <c r="S80" s="122">
        <f>10^-6*H80*INDEX(TotalMarket!$M$26:$W$125,MATCH($A80,$A$11:$A$132,0),MATCH(S$10,$M$10:$W$10))</f>
        <v>0</v>
      </c>
      <c r="T80" s="122">
        <f>10^-6*I80*INDEX(TotalMarket!$M$26:$W$125,MATCH($A80,$A$11:$A$132,0),MATCH(T$10,$M$10:$W$10))</f>
        <v>0</v>
      </c>
      <c r="U80" s="122">
        <f>10^-6*J80*INDEX(TotalMarket!$M$26:$W$125,MATCH($A80,$A$11:$A$132,0),MATCH(U$10,$M$10:$W$10))</f>
        <v>0</v>
      </c>
      <c r="V80" s="122">
        <f>10^-6*K80*INDEX(TotalMarket!$M$26:$W$125,MATCH($A80,$A$11:$A$132,0),MATCH(V$10,$M$10:$W$10))</f>
        <v>0</v>
      </c>
      <c r="W80" s="122">
        <f>10^-6*L80*INDEX(TotalMarket!$M$26:$W$125,MATCH($A80,$A$11:$A$132,0),MATCH(W$10,$M$10:$W$10))</f>
        <v>0</v>
      </c>
      <c r="X80" s="1">
        <f>VLOOKUP(A80,Products!$A$29:$F$110,6,FALSE)</f>
        <v>1600</v>
      </c>
    </row>
    <row r="81" spans="1:24">
      <c r="A81" s="15" t="s">
        <v>19</v>
      </c>
      <c r="B81" s="8">
        <f xml:space="preserve"> SUMIF(tblGoogleUnits[Products],$A81, tblGoogleUnits[cv_2018]) + SUMIF(tblMetaUnits[Products],$A81, tblMetaUnits[cv_2018]) + SUMIF(tblAmazonUnits[Products],$A81, tblAmazonUnits[cv_2018]) + SUMIF(tblMicrosoftUnits[Products],$A81, tblMicrosoftUnits[cv_2018]) + SUMIF(tblAppleUnits[Products],$A81, tblAppleUnits[cv_2018]) + SUMIF(tblAlibabaUnits[Products],$A81, tblAlibabaUnits[cv_2018]) + SUMIF(tblHuaweiUnits[Products],$A81, tblHuaweiUnits[cv_2018]) + SUMIF(tblTencentUnits[Products],$A81, tblTencentUnits[cv_2018]) + SUMIF(tblBaiduUnits[Products],$A81, tblBaiduUnits[cv_2018]) + SUMIF(tblByteDanceUnits[Products],$A81, tblByteDanceUnits[cv_2018]) + SUMIF(tblCloudAOUnits[Products],$A81, tblCloudAOUnits[cv_2018])</f>
        <v>0</v>
      </c>
      <c r="C81" s="8">
        <f xml:space="preserve"> SUMIF(tblGoogleUnits[Products],$A81, tblGoogleUnits[cv_2019]) + SUMIF(tblMetaUnits[Products],$A81, tblMetaUnits[cv_2019]) + SUMIF(tblAmazonUnits[Products],$A81, tblAmazonUnits[cv_2019]) + SUMIF(tblMicrosoftUnits[Products],$A81, tblMicrosoftUnits[cv_2019]) + SUMIF(tblAppleUnits[Products],$A81, tblAppleUnits[cv_2019]) + SUMIF(tblAlibabaUnits[Products],$A81, tblAlibabaUnits[cv_2019]) + SUMIF(tblHuaweiUnits[Products],$A81, tblHuaweiUnits[cv_2019]) + SUMIF(tblTencentUnits[Products],$A81, tblTencentUnits[cv_2019]) + SUMIF(tblBaiduUnits[Products],$A81, tblBaiduUnits[cv_2019]) + SUMIF(tblByteDanceUnits[Products],$A81, tblByteDanceUnits[cv_2019]) + SUMIF(tblCloudAOUnits[Products],$A81, tblCloudAOUnits[cv_2019])</f>
        <v>0</v>
      </c>
      <c r="D81" s="8">
        <f xml:space="preserve"> SUMIF(tblGoogleUnits[Products],$A81, tblGoogleUnits[cv_2020]) + SUMIF(tblMetaUnits[Products],$A81, tblMetaUnits[cv_2020]) + SUMIF(tblAmazonUnits[Products],$A81, tblAmazonUnits[cv_2020]) + SUMIF(tblMicrosoftUnits[Products],$A81, tblMicrosoftUnits[cv_2020]) + SUMIF(tblAppleUnits[Products],$A81, tblAppleUnits[cv_2020]) + SUMIF(tblAlibabaUnits[Products],$A81, tblAlibabaUnits[cv_2020]) + SUMIF(tblHuaweiUnits[Products],$A81, tblHuaweiUnits[cv_2020]) + SUMIF(tblTencentUnits[Products],$A81, tblTencentUnits[cv_2020]) + SUMIF(tblBaiduUnits[Products],$A81, tblBaiduUnits[cv_2020]) + SUMIF(tblByteDanceUnits[Products],$A81, tblByteDanceUnits[cv_2020]) + SUMIF(tblCloudAOUnits[Products],$A81, tblCloudAOUnits[cv_2020])</f>
        <v>0</v>
      </c>
      <c r="E81" s="8">
        <f xml:space="preserve"> SUMIF(tblGoogleUnits[Products],$A81, tblGoogleUnits[cv_2021]) + SUMIF(tblMetaUnits[Products],$A81, tblMetaUnits[cv_2021]) + SUMIF(tblAmazonUnits[Products],$A81, tblAmazonUnits[cv_2021]) + SUMIF(tblMicrosoftUnits[Products],$A81, tblMicrosoftUnits[cv_2021]) + SUMIF(tblAppleUnits[Products],$A81, tblAppleUnits[cv_2021]) + SUMIF(tblAlibabaUnits[Products],$A81, tblAlibabaUnits[cv_2021]) + SUMIF(tblHuaweiUnits[Products],$A81, tblHuaweiUnits[cv_2021]) + SUMIF(tblTencentUnits[Products],$A81, tblTencentUnits[cv_2021]) + SUMIF(tblBaiduUnits[Products],$A81, tblBaiduUnits[cv_2021]) + SUMIF(tblByteDanceUnits[Products],$A81, tblByteDanceUnits[cv_2021]) + SUMIF(tblCloudAOUnits[Products],$A81, tblCloudAOUnits[cv_2021])</f>
        <v>0</v>
      </c>
      <c r="F81" s="8">
        <f xml:space="preserve"> SUMIF(tblGoogleUnits[Products],$A81, tblGoogleUnits[cv_2022]) + SUMIF(tblMetaUnits[Products],$A81, tblMetaUnits[cv_2022]) + SUMIF(tblAmazonUnits[Products],$A81, tblAmazonUnits[cv_2022]) + SUMIF(tblMicrosoftUnits[Products],$A81, tblMicrosoftUnits[cv_2022]) + SUMIF(tblAppleUnits[Products],$A81, tblAppleUnits[cv_2022]) + SUMIF(tblAlibabaUnits[Products],$A81, tblAlibabaUnits[cv_2022]) + SUMIF(tblHuaweiUnits[Products],$A81, tblHuaweiUnits[cv_2022]) + SUMIF(tblTencentUnits[Products],$A81, tblTencentUnits[cv_2022]) + SUMIF(tblBaiduUnits[Products],$A81, tblBaiduUnits[cv_2022]) + SUMIF(tblByteDanceUnits[Products],$A81, tblByteDanceUnits[cv_2022]) + SUMIF(tblCloudAOUnits[Products],$A81, tblCloudAOUnits[cv_2022])</f>
        <v>0</v>
      </c>
      <c r="G81" s="8">
        <f xml:space="preserve"> SUMIF(tblGoogleUnits[Products],$A81, tblGoogleUnits[cv_2023]) + SUMIF(tblMetaUnits[Products],$A81, tblMetaUnits[cv_2023]) + SUMIF(tblAmazonUnits[Products],$A81, tblAmazonUnits[cv_2023]) + SUMIF(tblMicrosoftUnits[Products],$A81, tblMicrosoftUnits[cv_2023]) + SUMIF(tblAppleUnits[Products],$A81, tblAppleUnits[cv_2023]) + SUMIF(tblAlibabaUnits[Products],$A81, tblAlibabaUnits[cv_2023]) + SUMIF(tblHuaweiUnits[Products],$A81, tblHuaweiUnits[cv_2023]) + SUMIF(tblTencentUnits[Products],$A81, tblTencentUnits[cv_2023]) + SUMIF(tblBaiduUnits[Products],$A81, tblBaiduUnits[cv_2023]) + SUMIF(tblByteDanceUnits[Products],$A81, tblByteDanceUnits[cv_2023]) + SUMIF(tblCloudAOUnits[Products],$A81, tblCloudAOUnits[cv_2023])</f>
        <v>0</v>
      </c>
      <c r="H81" s="8">
        <f xml:space="preserve"> SUMIF(tblGoogleUnits[Products],$A81, tblGoogleUnits[cv_2024]) + SUMIF(tblMetaUnits[Products],$A81, tblMetaUnits[cv_2024]) + SUMIF(tblAmazonUnits[Products],$A81, tblAmazonUnits[cv_2024]) + SUMIF(tblMicrosoftUnits[Products],$A81, tblMicrosoftUnits[cv_2024]) + SUMIF(tblAppleUnits[Products],$A81, tblAppleUnits[cv_2024]) + SUMIF(tblAlibabaUnits[Products],$A81, tblAlibabaUnits[cv_2024]) + SUMIF(tblHuaweiUnits[Products],$A81, tblHuaweiUnits[cv_2024]) + SUMIF(tblTencentUnits[Products],$A81, tblTencentUnits[cv_2024]) + SUMIF(tblBaiduUnits[Products],$A81, tblBaiduUnits[cv_2024]) + SUMIF(tblByteDanceUnits[Products],$A81, tblByteDanceUnits[cv_2024]) + SUMIF(tblCloudAOUnits[Products],$A81, tblCloudAOUnits[cv_2024])</f>
        <v>0</v>
      </c>
      <c r="I81" s="8">
        <f xml:space="preserve"> SUMIF(tblGoogleUnits[Products],$A81, tblGoogleUnits[cv_2025]) + SUMIF(tblMetaUnits[Products],$A81, tblMetaUnits[cv_2025]) + SUMIF(tblAmazonUnits[Products],$A81, tblAmazonUnits[cv_2025]) + SUMIF(tblMicrosoftUnits[Products],$A81, tblMicrosoftUnits[cv_2025]) + SUMIF(tblAppleUnits[Products],$A81, tblAppleUnits[cv_2025]) + SUMIF(tblAlibabaUnits[Products],$A81, tblAlibabaUnits[cv_2025]) + SUMIF(tblHuaweiUnits[Products],$A81, tblHuaweiUnits[cv_2025]) + SUMIF(tblTencentUnits[Products],$A81, tblTencentUnits[cv_2025]) + SUMIF(tblBaiduUnits[Products],$A81, tblBaiduUnits[cv_2025]) + SUMIF(tblByteDanceUnits[Products],$A81, tblByteDanceUnits[cv_2025]) + SUMIF(tblCloudAOUnits[Products],$A81, tblCloudAOUnits[cv_2025])</f>
        <v>0</v>
      </c>
      <c r="J81" s="8">
        <f xml:space="preserve"> SUMIF(tblGoogleUnits[Products],$A81, tblGoogleUnits[cv_2026]) + SUMIF(tblMetaUnits[Products],$A81, tblMetaUnits[cv_2026]) + SUMIF(tblAmazonUnits[Products],$A81, tblAmazonUnits[cv_2026]) + SUMIF(tblMicrosoftUnits[Products],$A81, tblMicrosoftUnits[cv_2026]) + SUMIF(tblAppleUnits[Products],$A81, tblAppleUnits[cv_2026]) + SUMIF(tblAlibabaUnits[Products],$A81, tblAlibabaUnits[cv_2026]) + SUMIF(tblHuaweiUnits[Products],$A81, tblHuaweiUnits[cv_2026]) + SUMIF(tblTencentUnits[Products],$A81, tblTencentUnits[cv_2026]) + SUMIF(tblBaiduUnits[Products],$A81, tblBaiduUnits[cv_2026]) + SUMIF(tblByteDanceUnits[Products],$A81, tblByteDanceUnits[cv_2026]) + SUMIF(tblCloudAOUnits[Products],$A81, tblCloudAOUnits[cv_2026])</f>
        <v>0</v>
      </c>
      <c r="K81" s="8">
        <f xml:space="preserve"> SUMIF(tblGoogleUnits[Products],$A81, tblGoogleUnits[cv_2027]) + SUMIF(tblMetaUnits[Products],$A81, tblMetaUnits[cv_2027]) + SUMIF(tblAmazonUnits[Products],$A81, tblAmazonUnits[cv_2027]) + SUMIF(tblMicrosoftUnits[Products],$A81, tblMicrosoftUnits[cv_2027]) + SUMIF(tblAppleUnits[Products],$A81, tblAppleUnits[cv_2027]) + SUMIF(tblAlibabaUnits[Products],$A81, tblAlibabaUnits[cv_2027]) + SUMIF(tblHuaweiUnits[Products],$A81, tblHuaweiUnits[cv_2027]) + SUMIF(tblTencentUnits[Products],$A81, tblTencentUnits[cv_2027]) + SUMIF(tblBaiduUnits[Products],$A81, tblBaiduUnits[cv_2027]) + SUMIF(tblByteDanceUnits[Products],$A81, tblByteDanceUnits[cv_2027]) + SUMIF(tblCloudAOUnits[Products],$A81, tblCloudAOUnits[cv_2027])</f>
        <v>0</v>
      </c>
      <c r="L81" s="8">
        <f xml:space="preserve"> SUMIF(tblGoogleUnits[Products],$A81, tblGoogleUnits[cv_2028]) + SUMIF(tblMetaUnits[Products],$A81, tblMetaUnits[cv_2028]) + SUMIF(tblAmazonUnits[Products],$A81, tblAmazonUnits[cv_2028]) + SUMIF(tblMicrosoftUnits[Products],$A81, tblMicrosoftUnits[cv_2028]) + SUMIF(tblAppleUnits[Products],$A81, tblAppleUnits[cv_2028]) + SUMIF(tblAlibabaUnits[Products],$A81, tblAlibabaUnits[cv_2028]) + SUMIF(tblHuaweiUnits[Products],$A81, tblHuaweiUnits[cv_2028]) + SUMIF(tblTencentUnits[Products],$A81, tblTencentUnits[cv_2028]) + SUMIF(tblBaiduUnits[Products],$A81, tblBaiduUnits[cv_2028]) + SUMIF(tblByteDanceUnits[Products],$A81, tblByteDanceUnits[cv_2028]) + SUMIF(tblCloudAOUnits[Products],$A81, tblCloudAOUnits[cv_2028])</f>
        <v>0</v>
      </c>
      <c r="M81" s="122">
        <f>10^-6*B81*INDEX(TotalMarket!$M$26:$W$125,MATCH($A81,$A$11:$A$132,0),MATCH(M$10,$M$10:$W$10))</f>
        <v>0</v>
      </c>
      <c r="N81" s="122">
        <f>10^-6*C81*INDEX(TotalMarket!$M$26:$W$125,MATCH($A81,$A$11:$A$132,0),MATCH(N$10,$M$10:$W$10))</f>
        <v>0</v>
      </c>
      <c r="O81" s="122">
        <f>10^-6*D81*INDEX(TotalMarket!$M$26:$W$125,MATCH($A81,$A$11:$A$132,0),MATCH(O$10,$M$10:$W$10))</f>
        <v>0</v>
      </c>
      <c r="P81" s="122">
        <f>10^-6*E81*INDEX(TotalMarket!$M$26:$W$125,MATCH($A81,$A$11:$A$132,0),MATCH(P$10,$M$10:$W$10))</f>
        <v>0</v>
      </c>
      <c r="Q81" s="122">
        <f>10^-6*F81*INDEX(TotalMarket!$M$26:$W$125,MATCH($A81,$A$11:$A$132,0),MATCH(Q$10,$M$10:$W$10))</f>
        <v>0</v>
      </c>
      <c r="R81" s="122">
        <f>10^-6*G81*INDEX(TotalMarket!$M$26:$W$125,MATCH($A81,$A$11:$A$132,0),MATCH(R$10,$M$10:$W$10))</f>
        <v>0</v>
      </c>
      <c r="S81" s="122">
        <f>10^-6*H81*INDEX(TotalMarket!$M$26:$W$125,MATCH($A81,$A$11:$A$132,0),MATCH(S$10,$M$10:$W$10))</f>
        <v>0</v>
      </c>
      <c r="T81" s="122">
        <f>10^-6*I81*INDEX(TotalMarket!$M$26:$W$125,MATCH($A81,$A$11:$A$132,0),MATCH(T$10,$M$10:$W$10))</f>
        <v>0</v>
      </c>
      <c r="U81" s="122">
        <f>10^-6*J81*INDEX(TotalMarket!$M$26:$W$125,MATCH($A81,$A$11:$A$132,0),MATCH(U$10,$M$10:$W$10))</f>
        <v>0</v>
      </c>
      <c r="V81" s="122">
        <f>10^-6*K81*INDEX(TotalMarket!$M$26:$W$125,MATCH($A81,$A$11:$A$132,0),MATCH(V$10,$M$10:$W$10))</f>
        <v>0</v>
      </c>
      <c r="W81" s="122">
        <f>10^-6*L81*INDEX(TotalMarket!$M$26:$W$125,MATCH($A81,$A$11:$A$132,0),MATCH(W$10,$M$10:$W$10))</f>
        <v>0</v>
      </c>
      <c r="X81" s="1">
        <f>VLOOKUP(A81,Products!$A$29:$F$110,6,FALSE)</f>
        <v>1600</v>
      </c>
    </row>
    <row r="82" spans="1:24">
      <c r="A82" s="15" t="s">
        <v>20</v>
      </c>
      <c r="B82" s="8">
        <f xml:space="preserve"> SUMIF(tblGoogleUnits[Products],$A82, tblGoogleUnits[cv_2018]) + SUMIF(tblMetaUnits[Products],$A82, tblMetaUnits[cv_2018]) + SUMIF(tblAmazonUnits[Products],$A82, tblAmazonUnits[cv_2018]) + SUMIF(tblMicrosoftUnits[Products],$A82, tblMicrosoftUnits[cv_2018]) + SUMIF(tblAppleUnits[Products],$A82, tblAppleUnits[cv_2018]) + SUMIF(tblAlibabaUnits[Products],$A82, tblAlibabaUnits[cv_2018]) + SUMIF(tblHuaweiUnits[Products],$A82, tblHuaweiUnits[cv_2018]) + SUMIF(tblTencentUnits[Products],$A82, tblTencentUnits[cv_2018]) + SUMIF(tblBaiduUnits[Products],$A82, tblBaiduUnits[cv_2018]) + SUMIF(tblByteDanceUnits[Products],$A82, tblByteDanceUnits[cv_2018]) + SUMIF(tblCloudAOUnits[Products],$A82, tblCloudAOUnits[cv_2018])</f>
        <v>0</v>
      </c>
      <c r="C82" s="8">
        <f xml:space="preserve"> SUMIF(tblGoogleUnits[Products],$A82, tblGoogleUnits[cv_2019]) + SUMIF(tblMetaUnits[Products],$A82, tblMetaUnits[cv_2019]) + SUMIF(tblAmazonUnits[Products],$A82, tblAmazonUnits[cv_2019]) + SUMIF(tblMicrosoftUnits[Products],$A82, tblMicrosoftUnits[cv_2019]) + SUMIF(tblAppleUnits[Products],$A82, tblAppleUnits[cv_2019]) + SUMIF(tblAlibabaUnits[Products],$A82, tblAlibabaUnits[cv_2019]) + SUMIF(tblHuaweiUnits[Products],$A82, tblHuaweiUnits[cv_2019]) + SUMIF(tblTencentUnits[Products],$A82, tblTencentUnits[cv_2019]) + SUMIF(tblBaiduUnits[Products],$A82, tblBaiduUnits[cv_2019]) + SUMIF(tblByteDanceUnits[Products],$A82, tblByteDanceUnits[cv_2019]) + SUMIF(tblCloudAOUnits[Products],$A82, tblCloudAOUnits[cv_2019])</f>
        <v>0</v>
      </c>
      <c r="D82" s="8">
        <f xml:space="preserve"> SUMIF(tblGoogleUnits[Products],$A82, tblGoogleUnits[cv_2020]) + SUMIF(tblMetaUnits[Products],$A82, tblMetaUnits[cv_2020]) + SUMIF(tblAmazonUnits[Products],$A82, tblAmazonUnits[cv_2020]) + SUMIF(tblMicrosoftUnits[Products],$A82, tblMicrosoftUnits[cv_2020]) + SUMIF(tblAppleUnits[Products],$A82, tblAppleUnits[cv_2020]) + SUMIF(tblAlibabaUnits[Products],$A82, tblAlibabaUnits[cv_2020]) + SUMIF(tblHuaweiUnits[Products],$A82, tblHuaweiUnits[cv_2020]) + SUMIF(tblTencentUnits[Products],$A82, tblTencentUnits[cv_2020]) + SUMIF(tblBaiduUnits[Products],$A82, tblBaiduUnits[cv_2020]) + SUMIF(tblByteDanceUnits[Products],$A82, tblByteDanceUnits[cv_2020]) + SUMIF(tblCloudAOUnits[Products],$A82, tblCloudAOUnits[cv_2020])</f>
        <v>0</v>
      </c>
      <c r="E82" s="8">
        <f xml:space="preserve"> SUMIF(tblGoogleUnits[Products],$A82, tblGoogleUnits[cv_2021]) + SUMIF(tblMetaUnits[Products],$A82, tblMetaUnits[cv_2021]) + SUMIF(tblAmazonUnits[Products],$A82, tblAmazonUnits[cv_2021]) + SUMIF(tblMicrosoftUnits[Products],$A82, tblMicrosoftUnits[cv_2021]) + SUMIF(tblAppleUnits[Products],$A82, tblAppleUnits[cv_2021]) + SUMIF(tblAlibabaUnits[Products],$A82, tblAlibabaUnits[cv_2021]) + SUMIF(tblHuaweiUnits[Products],$A82, tblHuaweiUnits[cv_2021]) + SUMIF(tblTencentUnits[Products],$A82, tblTencentUnits[cv_2021]) + SUMIF(tblBaiduUnits[Products],$A82, tblBaiduUnits[cv_2021]) + SUMIF(tblByteDanceUnits[Products],$A82, tblByteDanceUnits[cv_2021]) + SUMIF(tblCloudAOUnits[Products],$A82, tblCloudAOUnits[cv_2021])</f>
        <v>0</v>
      </c>
      <c r="F82" s="8">
        <f xml:space="preserve"> SUMIF(tblGoogleUnits[Products],$A82, tblGoogleUnits[cv_2022]) + SUMIF(tblMetaUnits[Products],$A82, tblMetaUnits[cv_2022]) + SUMIF(tblAmazonUnits[Products],$A82, tblAmazonUnits[cv_2022]) + SUMIF(tblMicrosoftUnits[Products],$A82, tblMicrosoftUnits[cv_2022]) + SUMIF(tblAppleUnits[Products],$A82, tblAppleUnits[cv_2022]) + SUMIF(tblAlibabaUnits[Products],$A82, tblAlibabaUnits[cv_2022]) + SUMIF(tblHuaweiUnits[Products],$A82, tblHuaweiUnits[cv_2022]) + SUMIF(tblTencentUnits[Products],$A82, tblTencentUnits[cv_2022]) + SUMIF(tblBaiduUnits[Products],$A82, tblBaiduUnits[cv_2022]) + SUMIF(tblByteDanceUnits[Products],$A82, tblByteDanceUnits[cv_2022]) + SUMIF(tblCloudAOUnits[Products],$A82, tblCloudAOUnits[cv_2022])</f>
        <v>0</v>
      </c>
      <c r="G82" s="8">
        <f xml:space="preserve"> SUMIF(tblGoogleUnits[Products],$A82, tblGoogleUnits[cv_2023]) + SUMIF(tblMetaUnits[Products],$A82, tblMetaUnits[cv_2023]) + SUMIF(tblAmazonUnits[Products],$A82, tblAmazonUnits[cv_2023]) + SUMIF(tblMicrosoftUnits[Products],$A82, tblMicrosoftUnits[cv_2023]) + SUMIF(tblAppleUnits[Products],$A82, tblAppleUnits[cv_2023]) + SUMIF(tblAlibabaUnits[Products],$A82, tblAlibabaUnits[cv_2023]) + SUMIF(tblHuaweiUnits[Products],$A82, tblHuaweiUnits[cv_2023]) + SUMIF(tblTencentUnits[Products],$A82, tblTencentUnits[cv_2023]) + SUMIF(tblBaiduUnits[Products],$A82, tblBaiduUnits[cv_2023]) + SUMIF(tblByteDanceUnits[Products],$A82, tblByteDanceUnits[cv_2023]) + SUMIF(tblCloudAOUnits[Products],$A82, tblCloudAOUnits[cv_2023])</f>
        <v>0</v>
      </c>
      <c r="H82" s="8">
        <f xml:space="preserve"> SUMIF(tblGoogleUnits[Products],$A82, tblGoogleUnits[cv_2024]) + SUMIF(tblMetaUnits[Products],$A82, tblMetaUnits[cv_2024]) + SUMIF(tblAmazonUnits[Products],$A82, tblAmazonUnits[cv_2024]) + SUMIF(tblMicrosoftUnits[Products],$A82, tblMicrosoftUnits[cv_2024]) + SUMIF(tblAppleUnits[Products],$A82, tblAppleUnits[cv_2024]) + SUMIF(tblAlibabaUnits[Products],$A82, tblAlibabaUnits[cv_2024]) + SUMIF(tblHuaweiUnits[Products],$A82, tblHuaweiUnits[cv_2024]) + SUMIF(tblTencentUnits[Products],$A82, tblTencentUnits[cv_2024]) + SUMIF(tblBaiduUnits[Products],$A82, tblBaiduUnits[cv_2024]) + SUMIF(tblByteDanceUnits[Products],$A82, tblByteDanceUnits[cv_2024]) + SUMIF(tblCloudAOUnits[Products],$A82, tblCloudAOUnits[cv_2024])</f>
        <v>0</v>
      </c>
      <c r="I82" s="8">
        <f xml:space="preserve"> SUMIF(tblGoogleUnits[Products],$A82, tblGoogleUnits[cv_2025]) + SUMIF(tblMetaUnits[Products],$A82, tblMetaUnits[cv_2025]) + SUMIF(tblAmazonUnits[Products],$A82, tblAmazonUnits[cv_2025]) + SUMIF(tblMicrosoftUnits[Products],$A82, tblMicrosoftUnits[cv_2025]) + SUMIF(tblAppleUnits[Products],$A82, tblAppleUnits[cv_2025]) + SUMIF(tblAlibabaUnits[Products],$A82, tblAlibabaUnits[cv_2025]) + SUMIF(tblHuaweiUnits[Products],$A82, tblHuaweiUnits[cv_2025]) + SUMIF(tblTencentUnits[Products],$A82, tblTencentUnits[cv_2025]) + SUMIF(tblBaiduUnits[Products],$A82, tblBaiduUnits[cv_2025]) + SUMIF(tblByteDanceUnits[Products],$A82, tblByteDanceUnits[cv_2025]) + SUMIF(tblCloudAOUnits[Products],$A82, tblCloudAOUnits[cv_2025])</f>
        <v>0</v>
      </c>
      <c r="J82" s="8">
        <f xml:space="preserve"> SUMIF(tblGoogleUnits[Products],$A82, tblGoogleUnits[cv_2026]) + SUMIF(tblMetaUnits[Products],$A82, tblMetaUnits[cv_2026]) + SUMIF(tblAmazonUnits[Products],$A82, tblAmazonUnits[cv_2026]) + SUMIF(tblMicrosoftUnits[Products],$A82, tblMicrosoftUnits[cv_2026]) + SUMIF(tblAppleUnits[Products],$A82, tblAppleUnits[cv_2026]) + SUMIF(tblAlibabaUnits[Products],$A82, tblAlibabaUnits[cv_2026]) + SUMIF(tblHuaweiUnits[Products],$A82, tblHuaweiUnits[cv_2026]) + SUMIF(tblTencentUnits[Products],$A82, tblTencentUnits[cv_2026]) + SUMIF(tblBaiduUnits[Products],$A82, tblBaiduUnits[cv_2026]) + SUMIF(tblByteDanceUnits[Products],$A82, tblByteDanceUnits[cv_2026]) + SUMIF(tblCloudAOUnits[Products],$A82, tblCloudAOUnits[cv_2026])</f>
        <v>0</v>
      </c>
      <c r="K82" s="8">
        <f xml:space="preserve"> SUMIF(tblGoogleUnits[Products],$A82, tblGoogleUnits[cv_2027]) + SUMIF(tblMetaUnits[Products],$A82, tblMetaUnits[cv_2027]) + SUMIF(tblAmazonUnits[Products],$A82, tblAmazonUnits[cv_2027]) + SUMIF(tblMicrosoftUnits[Products],$A82, tblMicrosoftUnits[cv_2027]) + SUMIF(tblAppleUnits[Products],$A82, tblAppleUnits[cv_2027]) + SUMIF(tblAlibabaUnits[Products],$A82, tblAlibabaUnits[cv_2027]) + SUMIF(tblHuaweiUnits[Products],$A82, tblHuaweiUnits[cv_2027]) + SUMIF(tblTencentUnits[Products],$A82, tblTencentUnits[cv_2027]) + SUMIF(tblBaiduUnits[Products],$A82, tblBaiduUnits[cv_2027]) + SUMIF(tblByteDanceUnits[Products],$A82, tblByteDanceUnits[cv_2027]) + SUMIF(tblCloudAOUnits[Products],$A82, tblCloudAOUnits[cv_2027])</f>
        <v>0</v>
      </c>
      <c r="L82" s="8">
        <f xml:space="preserve"> SUMIF(tblGoogleUnits[Products],$A82, tblGoogleUnits[cv_2028]) + SUMIF(tblMetaUnits[Products],$A82, tblMetaUnits[cv_2028]) + SUMIF(tblAmazonUnits[Products],$A82, tblAmazonUnits[cv_2028]) + SUMIF(tblMicrosoftUnits[Products],$A82, tblMicrosoftUnits[cv_2028]) + SUMIF(tblAppleUnits[Products],$A82, tblAppleUnits[cv_2028]) + SUMIF(tblAlibabaUnits[Products],$A82, tblAlibabaUnits[cv_2028]) + SUMIF(tblHuaweiUnits[Products],$A82, tblHuaweiUnits[cv_2028]) + SUMIF(tblTencentUnits[Products],$A82, tblTencentUnits[cv_2028]) + SUMIF(tblBaiduUnits[Products],$A82, tblBaiduUnits[cv_2028]) + SUMIF(tblByteDanceUnits[Products],$A82, tblByteDanceUnits[cv_2028]) + SUMIF(tblCloudAOUnits[Products],$A82, tblCloudAOUnits[cv_2028])</f>
        <v>0</v>
      </c>
      <c r="M82" s="122">
        <f>10^-6*B82*INDEX(TotalMarket!$M$26:$W$125,MATCH($A82,$A$11:$A$132,0),MATCH(M$10,$M$10:$W$10))</f>
        <v>0</v>
      </c>
      <c r="N82" s="122">
        <f>10^-6*C82*INDEX(TotalMarket!$M$26:$W$125,MATCH($A82,$A$11:$A$132,0),MATCH(N$10,$M$10:$W$10))</f>
        <v>0</v>
      </c>
      <c r="O82" s="122">
        <f>10^-6*D82*INDEX(TotalMarket!$M$26:$W$125,MATCH($A82,$A$11:$A$132,0),MATCH(O$10,$M$10:$W$10))</f>
        <v>0</v>
      </c>
      <c r="P82" s="122">
        <f>10^-6*E82*INDEX(TotalMarket!$M$26:$W$125,MATCH($A82,$A$11:$A$132,0),MATCH(P$10,$M$10:$W$10))</f>
        <v>0</v>
      </c>
      <c r="Q82" s="122">
        <f>10^-6*F82*INDEX(TotalMarket!$M$26:$W$125,MATCH($A82,$A$11:$A$132,0),MATCH(Q$10,$M$10:$W$10))</f>
        <v>0</v>
      </c>
      <c r="R82" s="122">
        <f>10^-6*G82*INDEX(TotalMarket!$M$26:$W$125,MATCH($A82,$A$11:$A$132,0),MATCH(R$10,$M$10:$W$10))</f>
        <v>0</v>
      </c>
      <c r="S82" s="122">
        <f>10^-6*H82*INDEX(TotalMarket!$M$26:$W$125,MATCH($A82,$A$11:$A$132,0),MATCH(S$10,$M$10:$W$10))</f>
        <v>0</v>
      </c>
      <c r="T82" s="122">
        <f>10^-6*I82*INDEX(TotalMarket!$M$26:$W$125,MATCH($A82,$A$11:$A$132,0),MATCH(T$10,$M$10:$W$10))</f>
        <v>0</v>
      </c>
      <c r="U82" s="122">
        <f>10^-6*J82*INDEX(TotalMarket!$M$26:$W$125,MATCH($A82,$A$11:$A$132,0),MATCH(U$10,$M$10:$W$10))</f>
        <v>0</v>
      </c>
      <c r="V82" s="122">
        <f>10^-6*K82*INDEX(TotalMarket!$M$26:$W$125,MATCH($A82,$A$11:$A$132,0),MATCH(V$10,$M$10:$W$10))</f>
        <v>0</v>
      </c>
      <c r="W82" s="122">
        <f>10^-6*L82*INDEX(TotalMarket!$M$26:$W$125,MATCH($A82,$A$11:$A$132,0),MATCH(W$10,$M$10:$W$10))</f>
        <v>0</v>
      </c>
      <c r="X82" s="1">
        <f>VLOOKUP(A82,Products!$A$29:$F$110,6,FALSE)</f>
        <v>1600</v>
      </c>
    </row>
    <row r="83" spans="1:24">
      <c r="A83" s="15" t="s">
        <v>49</v>
      </c>
      <c r="B83" s="8">
        <f xml:space="preserve"> SUMIF(tblGoogleUnits[Products],$A83, tblGoogleUnits[cv_2018]) + SUMIF(tblMetaUnits[Products],$A83, tblMetaUnits[cv_2018]) + SUMIF(tblAmazonUnits[Products],$A83, tblAmazonUnits[cv_2018]) + SUMIF(tblMicrosoftUnits[Products],$A83, tblMicrosoftUnits[cv_2018]) + SUMIF(tblAppleUnits[Products],$A83, tblAppleUnits[cv_2018]) + SUMIF(tblAlibabaUnits[Products],$A83, tblAlibabaUnits[cv_2018]) + SUMIF(tblHuaweiUnits[Products],$A83, tblHuaweiUnits[cv_2018]) + SUMIF(tblTencentUnits[Products],$A83, tblTencentUnits[cv_2018]) + SUMIF(tblBaiduUnits[Products],$A83, tblBaiduUnits[cv_2018]) + SUMIF(tblByteDanceUnits[Products],$A83, tblByteDanceUnits[cv_2018]) + SUMIF(tblCloudAOUnits[Products],$A83, tblCloudAOUnits[cv_2018])</f>
        <v>0</v>
      </c>
      <c r="C83" s="8">
        <f xml:space="preserve"> SUMIF(tblGoogleUnits[Products],$A83, tblGoogleUnits[cv_2019]) + SUMIF(tblMetaUnits[Products],$A83, tblMetaUnits[cv_2019]) + SUMIF(tblAmazonUnits[Products],$A83, tblAmazonUnits[cv_2019]) + SUMIF(tblMicrosoftUnits[Products],$A83, tblMicrosoftUnits[cv_2019]) + SUMIF(tblAppleUnits[Products],$A83, tblAppleUnits[cv_2019]) + SUMIF(tblAlibabaUnits[Products],$A83, tblAlibabaUnits[cv_2019]) + SUMIF(tblHuaweiUnits[Products],$A83, tblHuaweiUnits[cv_2019]) + SUMIF(tblTencentUnits[Products],$A83, tblTencentUnits[cv_2019]) + SUMIF(tblBaiduUnits[Products],$A83, tblBaiduUnits[cv_2019]) + SUMIF(tblByteDanceUnits[Products],$A83, tblByteDanceUnits[cv_2019]) + SUMIF(tblCloudAOUnits[Products],$A83, tblCloudAOUnits[cv_2019])</f>
        <v>0</v>
      </c>
      <c r="D83" s="8">
        <f xml:space="preserve"> SUMIF(tblGoogleUnits[Products],$A83, tblGoogleUnits[cv_2020]) + SUMIF(tblMetaUnits[Products],$A83, tblMetaUnits[cv_2020]) + SUMIF(tblAmazonUnits[Products],$A83, tblAmazonUnits[cv_2020]) + SUMIF(tblMicrosoftUnits[Products],$A83, tblMicrosoftUnits[cv_2020]) + SUMIF(tblAppleUnits[Products],$A83, tblAppleUnits[cv_2020]) + SUMIF(tblAlibabaUnits[Products],$A83, tblAlibabaUnits[cv_2020]) + SUMIF(tblHuaweiUnits[Products],$A83, tblHuaweiUnits[cv_2020]) + SUMIF(tblTencentUnits[Products],$A83, tblTencentUnits[cv_2020]) + SUMIF(tblBaiduUnits[Products],$A83, tblBaiduUnits[cv_2020]) + SUMIF(tblByteDanceUnits[Products],$A83, tblByteDanceUnits[cv_2020]) + SUMIF(tblCloudAOUnits[Products],$A83, tblCloudAOUnits[cv_2020])</f>
        <v>0</v>
      </c>
      <c r="E83" s="8">
        <f xml:space="preserve"> SUMIF(tblGoogleUnits[Products],$A83, tblGoogleUnits[cv_2021]) + SUMIF(tblMetaUnits[Products],$A83, tblMetaUnits[cv_2021]) + SUMIF(tblAmazonUnits[Products],$A83, tblAmazonUnits[cv_2021]) + SUMIF(tblMicrosoftUnits[Products],$A83, tblMicrosoftUnits[cv_2021]) + SUMIF(tblAppleUnits[Products],$A83, tblAppleUnits[cv_2021]) + SUMIF(tblAlibabaUnits[Products],$A83, tblAlibabaUnits[cv_2021]) + SUMIF(tblHuaweiUnits[Products],$A83, tblHuaweiUnits[cv_2021]) + SUMIF(tblTencentUnits[Products],$A83, tblTencentUnits[cv_2021]) + SUMIF(tblBaiduUnits[Products],$A83, tblBaiduUnits[cv_2021]) + SUMIF(tblByteDanceUnits[Products],$A83, tblByteDanceUnits[cv_2021]) + SUMIF(tblCloudAOUnits[Products],$A83, tblCloudAOUnits[cv_2021])</f>
        <v>0</v>
      </c>
      <c r="F83" s="8">
        <f xml:space="preserve"> SUMIF(tblGoogleUnits[Products],$A83, tblGoogleUnits[cv_2022]) + SUMIF(tblMetaUnits[Products],$A83, tblMetaUnits[cv_2022]) + SUMIF(tblAmazonUnits[Products],$A83, tblAmazonUnits[cv_2022]) + SUMIF(tblMicrosoftUnits[Products],$A83, tblMicrosoftUnits[cv_2022]) + SUMIF(tblAppleUnits[Products],$A83, tblAppleUnits[cv_2022]) + SUMIF(tblAlibabaUnits[Products],$A83, tblAlibabaUnits[cv_2022]) + SUMIF(tblHuaweiUnits[Products],$A83, tblHuaweiUnits[cv_2022]) + SUMIF(tblTencentUnits[Products],$A83, tblTencentUnits[cv_2022]) + SUMIF(tblBaiduUnits[Products],$A83, tblBaiduUnits[cv_2022]) + SUMIF(tblByteDanceUnits[Products],$A83, tblByteDanceUnits[cv_2022]) + SUMIF(tblCloudAOUnits[Products],$A83, tblCloudAOUnits[cv_2022])</f>
        <v>0</v>
      </c>
      <c r="G83" s="8">
        <f xml:space="preserve"> SUMIF(tblGoogleUnits[Products],$A83, tblGoogleUnits[cv_2023]) + SUMIF(tblMetaUnits[Products],$A83, tblMetaUnits[cv_2023]) + SUMIF(tblAmazonUnits[Products],$A83, tblAmazonUnits[cv_2023]) + SUMIF(tblMicrosoftUnits[Products],$A83, tblMicrosoftUnits[cv_2023]) + SUMIF(tblAppleUnits[Products],$A83, tblAppleUnits[cv_2023]) + SUMIF(tblAlibabaUnits[Products],$A83, tblAlibabaUnits[cv_2023]) + SUMIF(tblHuaweiUnits[Products],$A83, tblHuaweiUnits[cv_2023]) + SUMIF(tblTencentUnits[Products],$A83, tblTencentUnits[cv_2023]) + SUMIF(tblBaiduUnits[Products],$A83, tblBaiduUnits[cv_2023]) + SUMIF(tblByteDanceUnits[Products],$A83, tblByteDanceUnits[cv_2023]) + SUMIF(tblCloudAOUnits[Products],$A83, tblCloudAOUnits[cv_2023])</f>
        <v>0</v>
      </c>
      <c r="H83" s="8">
        <f xml:space="preserve"> SUMIF(tblGoogleUnits[Products],$A83, tblGoogleUnits[cv_2024]) + SUMIF(tblMetaUnits[Products],$A83, tblMetaUnits[cv_2024]) + SUMIF(tblAmazonUnits[Products],$A83, tblAmazonUnits[cv_2024]) + SUMIF(tblMicrosoftUnits[Products],$A83, tblMicrosoftUnits[cv_2024]) + SUMIF(tblAppleUnits[Products],$A83, tblAppleUnits[cv_2024]) + SUMIF(tblAlibabaUnits[Products],$A83, tblAlibabaUnits[cv_2024]) + SUMIF(tblHuaweiUnits[Products],$A83, tblHuaweiUnits[cv_2024]) + SUMIF(tblTencentUnits[Products],$A83, tblTencentUnits[cv_2024]) + SUMIF(tblBaiduUnits[Products],$A83, tblBaiduUnits[cv_2024]) + SUMIF(tblByteDanceUnits[Products],$A83, tblByteDanceUnits[cv_2024]) + SUMIF(tblCloudAOUnits[Products],$A83, tblCloudAOUnits[cv_2024])</f>
        <v>0</v>
      </c>
      <c r="I83" s="8">
        <f xml:space="preserve"> SUMIF(tblGoogleUnits[Products],$A83, tblGoogleUnits[cv_2025]) + SUMIF(tblMetaUnits[Products],$A83, tblMetaUnits[cv_2025]) + SUMIF(tblAmazonUnits[Products],$A83, tblAmazonUnits[cv_2025]) + SUMIF(tblMicrosoftUnits[Products],$A83, tblMicrosoftUnits[cv_2025]) + SUMIF(tblAppleUnits[Products],$A83, tblAppleUnits[cv_2025]) + SUMIF(tblAlibabaUnits[Products],$A83, tblAlibabaUnits[cv_2025]) + SUMIF(tblHuaweiUnits[Products],$A83, tblHuaweiUnits[cv_2025]) + SUMIF(tblTencentUnits[Products],$A83, tblTencentUnits[cv_2025]) + SUMIF(tblBaiduUnits[Products],$A83, tblBaiduUnits[cv_2025]) + SUMIF(tblByteDanceUnits[Products],$A83, tblByteDanceUnits[cv_2025]) + SUMIF(tblCloudAOUnits[Products],$A83, tblCloudAOUnits[cv_2025])</f>
        <v>0</v>
      </c>
      <c r="J83" s="8">
        <f xml:space="preserve"> SUMIF(tblGoogleUnits[Products],$A83, tblGoogleUnits[cv_2026]) + SUMIF(tblMetaUnits[Products],$A83, tblMetaUnits[cv_2026]) + SUMIF(tblAmazonUnits[Products],$A83, tblAmazonUnits[cv_2026]) + SUMIF(tblMicrosoftUnits[Products],$A83, tblMicrosoftUnits[cv_2026]) + SUMIF(tblAppleUnits[Products],$A83, tblAppleUnits[cv_2026]) + SUMIF(tblAlibabaUnits[Products],$A83, tblAlibabaUnits[cv_2026]) + SUMIF(tblHuaweiUnits[Products],$A83, tblHuaweiUnits[cv_2026]) + SUMIF(tblTencentUnits[Products],$A83, tblTencentUnits[cv_2026]) + SUMIF(tblBaiduUnits[Products],$A83, tblBaiduUnits[cv_2026]) + SUMIF(tblByteDanceUnits[Products],$A83, tblByteDanceUnits[cv_2026]) + SUMIF(tblCloudAOUnits[Products],$A83, tblCloudAOUnits[cv_2026])</f>
        <v>0</v>
      </c>
      <c r="K83" s="8">
        <f xml:space="preserve"> SUMIF(tblGoogleUnits[Products],$A83, tblGoogleUnits[cv_2027]) + SUMIF(tblMetaUnits[Products],$A83, tblMetaUnits[cv_2027]) + SUMIF(tblAmazonUnits[Products],$A83, tblAmazonUnits[cv_2027]) + SUMIF(tblMicrosoftUnits[Products],$A83, tblMicrosoftUnits[cv_2027]) + SUMIF(tblAppleUnits[Products],$A83, tblAppleUnits[cv_2027]) + SUMIF(tblAlibabaUnits[Products],$A83, tblAlibabaUnits[cv_2027]) + SUMIF(tblHuaweiUnits[Products],$A83, tblHuaweiUnits[cv_2027]) + SUMIF(tblTencentUnits[Products],$A83, tblTencentUnits[cv_2027]) + SUMIF(tblBaiduUnits[Products],$A83, tblBaiduUnits[cv_2027]) + SUMIF(tblByteDanceUnits[Products],$A83, tblByteDanceUnits[cv_2027]) + SUMIF(tblCloudAOUnits[Products],$A83, tblCloudAOUnits[cv_2027])</f>
        <v>0</v>
      </c>
      <c r="L83" s="8">
        <f xml:space="preserve"> SUMIF(tblGoogleUnits[Products],$A83, tblGoogleUnits[cv_2028]) + SUMIF(tblMetaUnits[Products],$A83, tblMetaUnits[cv_2028]) + SUMIF(tblAmazonUnits[Products],$A83, tblAmazonUnits[cv_2028]) + SUMIF(tblMicrosoftUnits[Products],$A83, tblMicrosoftUnits[cv_2028]) + SUMIF(tblAppleUnits[Products],$A83, tblAppleUnits[cv_2028]) + SUMIF(tblAlibabaUnits[Products],$A83, tblAlibabaUnits[cv_2028]) + SUMIF(tblHuaweiUnits[Products],$A83, tblHuaweiUnits[cv_2028]) + SUMIF(tblTencentUnits[Products],$A83, tblTencentUnits[cv_2028]) + SUMIF(tblBaiduUnits[Products],$A83, tblBaiduUnits[cv_2028]) + SUMIF(tblByteDanceUnits[Products],$A83, tblByteDanceUnits[cv_2028]) + SUMIF(tblCloudAOUnits[Products],$A83, tblCloudAOUnits[cv_2028])</f>
        <v>0</v>
      </c>
      <c r="M83" s="122">
        <f>10^-6*B83*INDEX(TotalMarket!$M$26:$W$125,MATCH($A83,$A$11:$A$132,0),MATCH(M$10,$M$10:$W$10))</f>
        <v>0</v>
      </c>
      <c r="N83" s="122">
        <f>10^-6*C83*INDEX(TotalMarket!$M$26:$W$125,MATCH($A83,$A$11:$A$132,0),MATCH(N$10,$M$10:$W$10))</f>
        <v>0</v>
      </c>
      <c r="O83" s="122">
        <f>10^-6*D83*INDEX(TotalMarket!$M$26:$W$125,MATCH($A83,$A$11:$A$132,0),MATCH(O$10,$M$10:$W$10))</f>
        <v>0</v>
      </c>
      <c r="P83" s="122">
        <f>10^-6*E83*INDEX(TotalMarket!$M$26:$W$125,MATCH($A83,$A$11:$A$132,0),MATCH(P$10,$M$10:$W$10))</f>
        <v>0</v>
      </c>
      <c r="Q83" s="122">
        <f>10^-6*F83*INDEX(TotalMarket!$M$26:$W$125,MATCH($A83,$A$11:$A$132,0),MATCH(Q$10,$M$10:$W$10))</f>
        <v>0</v>
      </c>
      <c r="R83" s="122">
        <f>10^-6*G83*INDEX(TotalMarket!$M$26:$W$125,MATCH($A83,$A$11:$A$132,0),MATCH(R$10,$M$10:$W$10))</f>
        <v>0</v>
      </c>
      <c r="S83" s="122">
        <f>10^-6*H83*INDEX(TotalMarket!$M$26:$W$125,MATCH($A83,$A$11:$A$132,0),MATCH(S$10,$M$10:$W$10))</f>
        <v>0</v>
      </c>
      <c r="T83" s="122">
        <f>10^-6*I83*INDEX(TotalMarket!$M$26:$W$125,MATCH($A83,$A$11:$A$132,0),MATCH(T$10,$M$10:$W$10))</f>
        <v>0</v>
      </c>
      <c r="U83" s="122">
        <f>10^-6*J83*INDEX(TotalMarket!$M$26:$W$125,MATCH($A83,$A$11:$A$132,0),MATCH(U$10,$M$10:$W$10))</f>
        <v>0</v>
      </c>
      <c r="V83" s="122">
        <f>10^-6*K83*INDEX(TotalMarket!$M$26:$W$125,MATCH($A83,$A$11:$A$132,0),MATCH(V$10,$M$10:$W$10))</f>
        <v>0</v>
      </c>
      <c r="W83" s="122">
        <f>10^-6*L83*INDEX(TotalMarket!$M$26:$W$125,MATCH($A83,$A$11:$A$132,0),MATCH(W$10,$M$10:$W$10))</f>
        <v>0</v>
      </c>
      <c r="X83" s="1">
        <f>VLOOKUP(A83,Products!$A$29:$F$110,6,FALSE)</f>
        <v>1600</v>
      </c>
    </row>
    <row r="84" spans="1:24">
      <c r="A84" s="15" t="s">
        <v>191</v>
      </c>
      <c r="B84" s="8">
        <f xml:space="preserve"> SUMIF(tblGoogleUnits[Products],$A84, tblGoogleUnits[cv_2018]) + SUMIF(tblMetaUnits[Products],$A84, tblMetaUnits[cv_2018]) + SUMIF(tblAmazonUnits[Products],$A84, tblAmazonUnits[cv_2018]) + SUMIF(tblMicrosoftUnits[Products],$A84, tblMicrosoftUnits[cv_2018]) + SUMIF(tblAppleUnits[Products],$A84, tblAppleUnits[cv_2018]) + SUMIF(tblAlibabaUnits[Products],$A84, tblAlibabaUnits[cv_2018]) + SUMIF(tblHuaweiUnits[Products],$A84, tblHuaweiUnits[cv_2018]) + SUMIF(tblTencentUnits[Products],$A84, tblTencentUnits[cv_2018]) + SUMIF(tblBaiduUnits[Products],$A84, tblBaiduUnits[cv_2018]) + SUMIF(tblByteDanceUnits[Products],$A84, tblByteDanceUnits[cv_2018]) + SUMIF(tblCloudAOUnits[Products],$A84, tblCloudAOUnits[cv_2018])</f>
        <v>0</v>
      </c>
      <c r="C84" s="8">
        <f xml:space="preserve"> SUMIF(tblGoogleUnits[Products],$A84, tblGoogleUnits[cv_2019]) + SUMIF(tblMetaUnits[Products],$A84, tblMetaUnits[cv_2019]) + SUMIF(tblAmazonUnits[Products],$A84, tblAmazonUnits[cv_2019]) + SUMIF(tblMicrosoftUnits[Products],$A84, tblMicrosoftUnits[cv_2019]) + SUMIF(tblAppleUnits[Products],$A84, tblAppleUnits[cv_2019]) + SUMIF(tblAlibabaUnits[Products],$A84, tblAlibabaUnits[cv_2019]) + SUMIF(tblHuaweiUnits[Products],$A84, tblHuaweiUnits[cv_2019]) + SUMIF(tblTencentUnits[Products],$A84, tblTencentUnits[cv_2019]) + SUMIF(tblBaiduUnits[Products],$A84, tblBaiduUnits[cv_2019]) + SUMIF(tblByteDanceUnits[Products],$A84, tblByteDanceUnits[cv_2019]) + SUMIF(tblCloudAOUnits[Products],$A84, tblCloudAOUnits[cv_2019])</f>
        <v>0</v>
      </c>
      <c r="D84" s="8">
        <f xml:space="preserve"> SUMIF(tblGoogleUnits[Products],$A84, tblGoogleUnits[cv_2020]) + SUMIF(tblMetaUnits[Products],$A84, tblMetaUnits[cv_2020]) + SUMIF(tblAmazonUnits[Products],$A84, tblAmazonUnits[cv_2020]) + SUMIF(tblMicrosoftUnits[Products],$A84, tblMicrosoftUnits[cv_2020]) + SUMIF(tblAppleUnits[Products],$A84, tblAppleUnits[cv_2020]) + SUMIF(tblAlibabaUnits[Products],$A84, tblAlibabaUnits[cv_2020]) + SUMIF(tblHuaweiUnits[Products],$A84, tblHuaweiUnits[cv_2020]) + SUMIF(tblTencentUnits[Products],$A84, tblTencentUnits[cv_2020]) + SUMIF(tblBaiduUnits[Products],$A84, tblBaiduUnits[cv_2020]) + SUMIF(tblByteDanceUnits[Products],$A84, tblByteDanceUnits[cv_2020]) + SUMIF(tblCloudAOUnits[Products],$A84, tblCloudAOUnits[cv_2020])</f>
        <v>0</v>
      </c>
      <c r="E84" s="8">
        <f xml:space="preserve"> SUMIF(tblGoogleUnits[Products],$A84, tblGoogleUnits[cv_2021]) + SUMIF(tblMetaUnits[Products],$A84, tblMetaUnits[cv_2021]) + SUMIF(tblAmazonUnits[Products],$A84, tblAmazonUnits[cv_2021]) + SUMIF(tblMicrosoftUnits[Products],$A84, tblMicrosoftUnits[cv_2021]) + SUMIF(tblAppleUnits[Products],$A84, tblAppleUnits[cv_2021]) + SUMIF(tblAlibabaUnits[Products],$A84, tblAlibabaUnits[cv_2021]) + SUMIF(tblHuaweiUnits[Products],$A84, tblHuaweiUnits[cv_2021]) + SUMIF(tblTencentUnits[Products],$A84, tblTencentUnits[cv_2021]) + SUMIF(tblBaiduUnits[Products],$A84, tblBaiduUnits[cv_2021]) + SUMIF(tblByteDanceUnits[Products],$A84, tblByteDanceUnits[cv_2021]) + SUMIF(tblCloudAOUnits[Products],$A84, tblCloudAOUnits[cv_2021])</f>
        <v>0</v>
      </c>
      <c r="F84" s="8">
        <f xml:space="preserve"> SUMIF(tblGoogleUnits[Products],$A84, tblGoogleUnits[cv_2022]) + SUMIF(tblMetaUnits[Products],$A84, tblMetaUnits[cv_2022]) + SUMIF(tblAmazonUnits[Products],$A84, tblAmazonUnits[cv_2022]) + SUMIF(tblMicrosoftUnits[Products],$A84, tblMicrosoftUnits[cv_2022]) + SUMIF(tblAppleUnits[Products],$A84, tblAppleUnits[cv_2022]) + SUMIF(tblAlibabaUnits[Products],$A84, tblAlibabaUnits[cv_2022]) + SUMIF(tblHuaweiUnits[Products],$A84, tblHuaweiUnits[cv_2022]) + SUMIF(tblTencentUnits[Products],$A84, tblTencentUnits[cv_2022]) + SUMIF(tblBaiduUnits[Products],$A84, tblBaiduUnits[cv_2022]) + SUMIF(tblByteDanceUnits[Products],$A84, tblByteDanceUnits[cv_2022]) + SUMIF(tblCloudAOUnits[Products],$A84, tblCloudAOUnits[cv_2022])</f>
        <v>0</v>
      </c>
      <c r="G84" s="8">
        <f xml:space="preserve"> SUMIF(tblGoogleUnits[Products],$A84, tblGoogleUnits[cv_2023]) + SUMIF(tblMetaUnits[Products],$A84, tblMetaUnits[cv_2023]) + SUMIF(tblAmazonUnits[Products],$A84, tblAmazonUnits[cv_2023]) + SUMIF(tblMicrosoftUnits[Products],$A84, tblMicrosoftUnits[cv_2023]) + SUMIF(tblAppleUnits[Products],$A84, tblAppleUnits[cv_2023]) + SUMIF(tblAlibabaUnits[Products],$A84, tblAlibabaUnits[cv_2023]) + SUMIF(tblHuaweiUnits[Products],$A84, tblHuaweiUnits[cv_2023]) + SUMIF(tblTencentUnits[Products],$A84, tblTencentUnits[cv_2023]) + SUMIF(tblBaiduUnits[Products],$A84, tblBaiduUnits[cv_2023]) + SUMIF(tblByteDanceUnits[Products],$A84, tblByteDanceUnits[cv_2023]) + SUMIF(tblCloudAOUnits[Products],$A84, tblCloudAOUnits[cv_2023])</f>
        <v>0</v>
      </c>
      <c r="H84" s="8">
        <f xml:space="preserve"> SUMIF(tblGoogleUnits[Products],$A84, tblGoogleUnits[cv_2024]) + SUMIF(tblMetaUnits[Products],$A84, tblMetaUnits[cv_2024]) + SUMIF(tblAmazonUnits[Products],$A84, tblAmazonUnits[cv_2024]) + SUMIF(tblMicrosoftUnits[Products],$A84, tblMicrosoftUnits[cv_2024]) + SUMIF(tblAppleUnits[Products],$A84, tblAppleUnits[cv_2024]) + SUMIF(tblAlibabaUnits[Products],$A84, tblAlibabaUnits[cv_2024]) + SUMIF(tblHuaweiUnits[Products],$A84, tblHuaweiUnits[cv_2024]) + SUMIF(tblTencentUnits[Products],$A84, tblTencentUnits[cv_2024]) + SUMIF(tblBaiduUnits[Products],$A84, tblBaiduUnits[cv_2024]) + SUMIF(tblByteDanceUnits[Products],$A84, tblByteDanceUnits[cv_2024]) + SUMIF(tblCloudAOUnits[Products],$A84, tblCloudAOUnits[cv_2024])</f>
        <v>0</v>
      </c>
      <c r="I84" s="8">
        <f xml:space="preserve"> SUMIF(tblGoogleUnits[Products],$A84, tblGoogleUnits[cv_2025]) + SUMIF(tblMetaUnits[Products],$A84, tblMetaUnits[cv_2025]) + SUMIF(tblAmazonUnits[Products],$A84, tblAmazonUnits[cv_2025]) + SUMIF(tblMicrosoftUnits[Products],$A84, tblMicrosoftUnits[cv_2025]) + SUMIF(tblAppleUnits[Products],$A84, tblAppleUnits[cv_2025]) + SUMIF(tblAlibabaUnits[Products],$A84, tblAlibabaUnits[cv_2025]) + SUMIF(tblHuaweiUnits[Products],$A84, tblHuaweiUnits[cv_2025]) + SUMIF(tblTencentUnits[Products],$A84, tblTencentUnits[cv_2025]) + SUMIF(tblBaiduUnits[Products],$A84, tblBaiduUnits[cv_2025]) + SUMIF(tblByteDanceUnits[Products],$A84, tblByteDanceUnits[cv_2025]) + SUMIF(tblCloudAOUnits[Products],$A84, tblCloudAOUnits[cv_2025])</f>
        <v>0</v>
      </c>
      <c r="J84" s="8">
        <f xml:space="preserve"> SUMIF(tblGoogleUnits[Products],$A84, tblGoogleUnits[cv_2026]) + SUMIF(tblMetaUnits[Products],$A84, tblMetaUnits[cv_2026]) + SUMIF(tblAmazonUnits[Products],$A84, tblAmazonUnits[cv_2026]) + SUMIF(tblMicrosoftUnits[Products],$A84, tblMicrosoftUnits[cv_2026]) + SUMIF(tblAppleUnits[Products],$A84, tblAppleUnits[cv_2026]) + SUMIF(tblAlibabaUnits[Products],$A84, tblAlibabaUnits[cv_2026]) + SUMIF(tblHuaweiUnits[Products],$A84, tblHuaweiUnits[cv_2026]) + SUMIF(tblTencentUnits[Products],$A84, tblTencentUnits[cv_2026]) + SUMIF(tblBaiduUnits[Products],$A84, tblBaiduUnits[cv_2026]) + SUMIF(tblByteDanceUnits[Products],$A84, tblByteDanceUnits[cv_2026]) + SUMIF(tblCloudAOUnits[Products],$A84, tblCloudAOUnits[cv_2026])</f>
        <v>0</v>
      </c>
      <c r="K84" s="8">
        <f xml:space="preserve"> SUMIF(tblGoogleUnits[Products],$A84, tblGoogleUnits[cv_2027]) + SUMIF(tblMetaUnits[Products],$A84, tblMetaUnits[cv_2027]) + SUMIF(tblAmazonUnits[Products],$A84, tblAmazonUnits[cv_2027]) + SUMIF(tblMicrosoftUnits[Products],$A84, tblMicrosoftUnits[cv_2027]) + SUMIF(tblAppleUnits[Products],$A84, tblAppleUnits[cv_2027]) + SUMIF(tblAlibabaUnits[Products],$A84, tblAlibabaUnits[cv_2027]) + SUMIF(tblHuaweiUnits[Products],$A84, tblHuaweiUnits[cv_2027]) + SUMIF(tblTencentUnits[Products],$A84, tblTencentUnits[cv_2027]) + SUMIF(tblBaiduUnits[Products],$A84, tblBaiduUnits[cv_2027]) + SUMIF(tblByteDanceUnits[Products],$A84, tblByteDanceUnits[cv_2027]) + SUMIF(tblCloudAOUnits[Products],$A84, tblCloudAOUnits[cv_2027])</f>
        <v>0</v>
      </c>
      <c r="L84" s="8">
        <f xml:space="preserve"> SUMIF(tblGoogleUnits[Products],$A84, tblGoogleUnits[cv_2028]) + SUMIF(tblMetaUnits[Products],$A84, tblMetaUnits[cv_2028]) + SUMIF(tblAmazonUnits[Products],$A84, tblAmazonUnits[cv_2028]) + SUMIF(tblMicrosoftUnits[Products],$A84, tblMicrosoftUnits[cv_2028]) + SUMIF(tblAppleUnits[Products],$A84, tblAppleUnits[cv_2028]) + SUMIF(tblAlibabaUnits[Products],$A84, tblAlibabaUnits[cv_2028]) + SUMIF(tblHuaweiUnits[Products],$A84, tblHuaweiUnits[cv_2028]) + SUMIF(tblTencentUnits[Products],$A84, tblTencentUnits[cv_2028]) + SUMIF(tblBaiduUnits[Products],$A84, tblBaiduUnits[cv_2028]) + SUMIF(tblByteDanceUnits[Products],$A84, tblByteDanceUnits[cv_2028]) + SUMIF(tblCloudAOUnits[Products],$A84, tblCloudAOUnits[cv_2028])</f>
        <v>0</v>
      </c>
      <c r="M84" s="122">
        <f>10^-6*B84*INDEX(TotalMarket!$M$26:$W$125,MATCH($A84,$A$11:$A$132,0),MATCH(M$10,$M$10:$W$10))</f>
        <v>0</v>
      </c>
      <c r="N84" s="122">
        <f>10^-6*C84*INDEX(TotalMarket!$M$26:$W$125,MATCH($A84,$A$11:$A$132,0),MATCH(N$10,$M$10:$W$10))</f>
        <v>0</v>
      </c>
      <c r="O84" s="122">
        <f>10^-6*D84*INDEX(TotalMarket!$M$26:$W$125,MATCH($A84,$A$11:$A$132,0),MATCH(O$10,$M$10:$W$10))</f>
        <v>0</v>
      </c>
      <c r="P84" s="122">
        <f>10^-6*E84*INDEX(TotalMarket!$M$26:$W$125,MATCH($A84,$A$11:$A$132,0),MATCH(P$10,$M$10:$W$10))</f>
        <v>0</v>
      </c>
      <c r="Q84" s="122">
        <f>10^-6*F84*INDEX(TotalMarket!$M$26:$W$125,MATCH($A84,$A$11:$A$132,0),MATCH(Q$10,$M$10:$W$10))</f>
        <v>0</v>
      </c>
      <c r="R84" s="122">
        <f>10^-6*G84*INDEX(TotalMarket!$M$26:$W$125,MATCH($A84,$A$11:$A$132,0),MATCH(R$10,$M$10:$W$10))</f>
        <v>0</v>
      </c>
      <c r="S84" s="122">
        <f>10^-6*H84*INDEX(TotalMarket!$M$26:$W$125,MATCH($A84,$A$11:$A$132,0),MATCH(S$10,$M$10:$W$10))</f>
        <v>0</v>
      </c>
      <c r="T84" s="122">
        <f>10^-6*I84*INDEX(TotalMarket!$M$26:$W$125,MATCH($A84,$A$11:$A$132,0),MATCH(T$10,$M$10:$W$10))</f>
        <v>0</v>
      </c>
      <c r="U84" s="122">
        <f>10^-6*J84*INDEX(TotalMarket!$M$26:$W$125,MATCH($A84,$A$11:$A$132,0),MATCH(U$10,$M$10:$W$10))</f>
        <v>0</v>
      </c>
      <c r="V84" s="122">
        <f>10^-6*K84*INDEX(TotalMarket!$M$26:$W$125,MATCH($A84,$A$11:$A$132,0),MATCH(V$10,$M$10:$W$10))</f>
        <v>0</v>
      </c>
      <c r="W84" s="122">
        <f>10^-6*L84*INDEX(TotalMarket!$M$26:$W$125,MATCH($A84,$A$11:$A$132,0),MATCH(W$10,$M$10:$W$10))</f>
        <v>0</v>
      </c>
      <c r="X84" s="1">
        <f>VLOOKUP(A84,Products!$A$29:$F$110,6,FALSE)</f>
        <v>1600</v>
      </c>
    </row>
    <row r="85" spans="1:24">
      <c r="A85" s="15" t="s">
        <v>192</v>
      </c>
      <c r="B85" s="8">
        <f xml:space="preserve"> SUMIF(tblGoogleUnits[Products],$A85, tblGoogleUnits[cv_2018]) + SUMIF(tblMetaUnits[Products],$A85, tblMetaUnits[cv_2018]) + SUMIF(tblAmazonUnits[Products],$A85, tblAmazonUnits[cv_2018]) + SUMIF(tblMicrosoftUnits[Products],$A85, tblMicrosoftUnits[cv_2018]) + SUMIF(tblAppleUnits[Products],$A85, tblAppleUnits[cv_2018]) + SUMIF(tblAlibabaUnits[Products],$A85, tblAlibabaUnits[cv_2018]) + SUMIF(tblHuaweiUnits[Products],$A85, tblHuaweiUnits[cv_2018]) + SUMIF(tblTencentUnits[Products],$A85, tblTencentUnits[cv_2018]) + SUMIF(tblBaiduUnits[Products],$A85, tblBaiduUnits[cv_2018]) + SUMIF(tblByteDanceUnits[Products],$A85, tblByteDanceUnits[cv_2018]) + SUMIF(tblCloudAOUnits[Products],$A85, tblCloudAOUnits[cv_2018])</f>
        <v>0</v>
      </c>
      <c r="C85" s="8">
        <f xml:space="preserve"> SUMIF(tblGoogleUnits[Products],$A85, tblGoogleUnits[cv_2019]) + SUMIF(tblMetaUnits[Products],$A85, tblMetaUnits[cv_2019]) + SUMIF(tblAmazonUnits[Products],$A85, tblAmazonUnits[cv_2019]) + SUMIF(tblMicrosoftUnits[Products],$A85, tblMicrosoftUnits[cv_2019]) + SUMIF(tblAppleUnits[Products],$A85, tblAppleUnits[cv_2019]) + SUMIF(tblAlibabaUnits[Products],$A85, tblAlibabaUnits[cv_2019]) + SUMIF(tblHuaweiUnits[Products],$A85, tblHuaweiUnits[cv_2019]) + SUMIF(tblTencentUnits[Products],$A85, tblTencentUnits[cv_2019]) + SUMIF(tblBaiduUnits[Products],$A85, tblBaiduUnits[cv_2019]) + SUMIF(tblByteDanceUnits[Products],$A85, tblByteDanceUnits[cv_2019]) + SUMIF(tblCloudAOUnits[Products],$A85, tblCloudAOUnits[cv_2019])</f>
        <v>0</v>
      </c>
      <c r="D85" s="8">
        <f xml:space="preserve"> SUMIF(tblGoogleUnits[Products],$A85, tblGoogleUnits[cv_2020]) + SUMIF(tblMetaUnits[Products],$A85, tblMetaUnits[cv_2020]) + SUMIF(tblAmazonUnits[Products],$A85, tblAmazonUnits[cv_2020]) + SUMIF(tblMicrosoftUnits[Products],$A85, tblMicrosoftUnits[cv_2020]) + SUMIF(tblAppleUnits[Products],$A85, tblAppleUnits[cv_2020]) + SUMIF(tblAlibabaUnits[Products],$A85, tblAlibabaUnits[cv_2020]) + SUMIF(tblHuaweiUnits[Products],$A85, tblHuaweiUnits[cv_2020]) + SUMIF(tblTencentUnits[Products],$A85, tblTencentUnits[cv_2020]) + SUMIF(tblBaiduUnits[Products],$A85, tblBaiduUnits[cv_2020]) + SUMIF(tblByteDanceUnits[Products],$A85, tblByteDanceUnits[cv_2020]) + SUMIF(tblCloudAOUnits[Products],$A85, tblCloudAOUnits[cv_2020])</f>
        <v>0</v>
      </c>
      <c r="E85" s="8">
        <f xml:space="preserve"> SUMIF(tblGoogleUnits[Products],$A85, tblGoogleUnits[cv_2021]) + SUMIF(tblMetaUnits[Products],$A85, tblMetaUnits[cv_2021]) + SUMIF(tblAmazonUnits[Products],$A85, tblAmazonUnits[cv_2021]) + SUMIF(tblMicrosoftUnits[Products],$A85, tblMicrosoftUnits[cv_2021]) + SUMIF(tblAppleUnits[Products],$A85, tblAppleUnits[cv_2021]) + SUMIF(tblAlibabaUnits[Products],$A85, tblAlibabaUnits[cv_2021]) + SUMIF(tblHuaweiUnits[Products],$A85, tblHuaweiUnits[cv_2021]) + SUMIF(tblTencentUnits[Products],$A85, tblTencentUnits[cv_2021]) + SUMIF(tblBaiduUnits[Products],$A85, tblBaiduUnits[cv_2021]) + SUMIF(tblByteDanceUnits[Products],$A85, tblByteDanceUnits[cv_2021]) + SUMIF(tblCloudAOUnits[Products],$A85, tblCloudAOUnits[cv_2021])</f>
        <v>0</v>
      </c>
      <c r="F85" s="8">
        <f xml:space="preserve"> SUMIF(tblGoogleUnits[Products],$A85, tblGoogleUnits[cv_2022]) + SUMIF(tblMetaUnits[Products],$A85, tblMetaUnits[cv_2022]) + SUMIF(tblAmazonUnits[Products],$A85, tblAmazonUnits[cv_2022]) + SUMIF(tblMicrosoftUnits[Products],$A85, tblMicrosoftUnits[cv_2022]) + SUMIF(tblAppleUnits[Products],$A85, tblAppleUnits[cv_2022]) + SUMIF(tblAlibabaUnits[Products],$A85, tblAlibabaUnits[cv_2022]) + SUMIF(tblHuaweiUnits[Products],$A85, tblHuaweiUnits[cv_2022]) + SUMIF(tblTencentUnits[Products],$A85, tblTencentUnits[cv_2022]) + SUMIF(tblBaiduUnits[Products],$A85, tblBaiduUnits[cv_2022]) + SUMIF(tblByteDanceUnits[Products],$A85, tblByteDanceUnits[cv_2022]) + SUMIF(tblCloudAOUnits[Products],$A85, tblCloudAOUnits[cv_2022])</f>
        <v>0</v>
      </c>
      <c r="G85" s="8">
        <f xml:space="preserve"> SUMIF(tblGoogleUnits[Products],$A85, tblGoogleUnits[cv_2023]) + SUMIF(tblMetaUnits[Products],$A85, tblMetaUnits[cv_2023]) + SUMIF(tblAmazonUnits[Products],$A85, tblAmazonUnits[cv_2023]) + SUMIF(tblMicrosoftUnits[Products],$A85, tblMicrosoftUnits[cv_2023]) + SUMIF(tblAppleUnits[Products],$A85, tblAppleUnits[cv_2023]) + SUMIF(tblAlibabaUnits[Products],$A85, tblAlibabaUnits[cv_2023]) + SUMIF(tblHuaweiUnits[Products],$A85, tblHuaweiUnits[cv_2023]) + SUMIF(tblTencentUnits[Products],$A85, tblTencentUnits[cv_2023]) + SUMIF(tblBaiduUnits[Products],$A85, tblBaiduUnits[cv_2023]) + SUMIF(tblByteDanceUnits[Products],$A85, tblByteDanceUnits[cv_2023]) + SUMIF(tblCloudAOUnits[Products],$A85, tblCloudAOUnits[cv_2023])</f>
        <v>0</v>
      </c>
      <c r="H85" s="8">
        <f xml:space="preserve"> SUMIF(tblGoogleUnits[Products],$A85, tblGoogleUnits[cv_2024]) + SUMIF(tblMetaUnits[Products],$A85, tblMetaUnits[cv_2024]) + SUMIF(tblAmazonUnits[Products],$A85, tblAmazonUnits[cv_2024]) + SUMIF(tblMicrosoftUnits[Products],$A85, tblMicrosoftUnits[cv_2024]) + SUMIF(tblAppleUnits[Products],$A85, tblAppleUnits[cv_2024]) + SUMIF(tblAlibabaUnits[Products],$A85, tblAlibabaUnits[cv_2024]) + SUMIF(tblHuaweiUnits[Products],$A85, tblHuaweiUnits[cv_2024]) + SUMIF(tblTencentUnits[Products],$A85, tblTencentUnits[cv_2024]) + SUMIF(tblBaiduUnits[Products],$A85, tblBaiduUnits[cv_2024]) + SUMIF(tblByteDanceUnits[Products],$A85, tblByteDanceUnits[cv_2024]) + SUMIF(tblCloudAOUnits[Products],$A85, tblCloudAOUnits[cv_2024])</f>
        <v>0</v>
      </c>
      <c r="I85" s="8">
        <f xml:space="preserve"> SUMIF(tblGoogleUnits[Products],$A85, tblGoogleUnits[cv_2025]) + SUMIF(tblMetaUnits[Products],$A85, tblMetaUnits[cv_2025]) + SUMIF(tblAmazonUnits[Products],$A85, tblAmazonUnits[cv_2025]) + SUMIF(tblMicrosoftUnits[Products],$A85, tblMicrosoftUnits[cv_2025]) + SUMIF(tblAppleUnits[Products],$A85, tblAppleUnits[cv_2025]) + SUMIF(tblAlibabaUnits[Products],$A85, tblAlibabaUnits[cv_2025]) + SUMIF(tblHuaweiUnits[Products],$A85, tblHuaweiUnits[cv_2025]) + SUMIF(tblTencentUnits[Products],$A85, tblTencentUnits[cv_2025]) + SUMIF(tblBaiduUnits[Products],$A85, tblBaiduUnits[cv_2025]) + SUMIF(tblByteDanceUnits[Products],$A85, tblByteDanceUnits[cv_2025]) + SUMIF(tblCloudAOUnits[Products],$A85, tblCloudAOUnits[cv_2025])</f>
        <v>0</v>
      </c>
      <c r="J85" s="8">
        <f xml:space="preserve"> SUMIF(tblGoogleUnits[Products],$A85, tblGoogleUnits[cv_2026]) + SUMIF(tblMetaUnits[Products],$A85, tblMetaUnits[cv_2026]) + SUMIF(tblAmazonUnits[Products],$A85, tblAmazonUnits[cv_2026]) + SUMIF(tblMicrosoftUnits[Products],$A85, tblMicrosoftUnits[cv_2026]) + SUMIF(tblAppleUnits[Products],$A85, tblAppleUnits[cv_2026]) + SUMIF(tblAlibabaUnits[Products],$A85, tblAlibabaUnits[cv_2026]) + SUMIF(tblHuaweiUnits[Products],$A85, tblHuaweiUnits[cv_2026]) + SUMIF(tblTencentUnits[Products],$A85, tblTencentUnits[cv_2026]) + SUMIF(tblBaiduUnits[Products],$A85, tblBaiduUnits[cv_2026]) + SUMIF(tblByteDanceUnits[Products],$A85, tblByteDanceUnits[cv_2026]) + SUMIF(tblCloudAOUnits[Products],$A85, tblCloudAOUnits[cv_2026])</f>
        <v>0</v>
      </c>
      <c r="K85" s="8">
        <f xml:space="preserve"> SUMIF(tblGoogleUnits[Products],$A85, tblGoogleUnits[cv_2027]) + SUMIF(tblMetaUnits[Products],$A85, tblMetaUnits[cv_2027]) + SUMIF(tblAmazonUnits[Products],$A85, tblAmazonUnits[cv_2027]) + SUMIF(tblMicrosoftUnits[Products],$A85, tblMicrosoftUnits[cv_2027]) + SUMIF(tblAppleUnits[Products],$A85, tblAppleUnits[cv_2027]) + SUMIF(tblAlibabaUnits[Products],$A85, tblAlibabaUnits[cv_2027]) + SUMIF(tblHuaweiUnits[Products],$A85, tblHuaweiUnits[cv_2027]) + SUMIF(tblTencentUnits[Products],$A85, tblTencentUnits[cv_2027]) + SUMIF(tblBaiduUnits[Products],$A85, tblBaiduUnits[cv_2027]) + SUMIF(tblByteDanceUnits[Products],$A85, tblByteDanceUnits[cv_2027]) + SUMIF(tblCloudAOUnits[Products],$A85, tblCloudAOUnits[cv_2027])</f>
        <v>0</v>
      </c>
      <c r="L85" s="8">
        <f xml:space="preserve"> SUMIF(tblGoogleUnits[Products],$A85, tblGoogleUnits[cv_2028]) + SUMIF(tblMetaUnits[Products],$A85, tblMetaUnits[cv_2028]) + SUMIF(tblAmazonUnits[Products],$A85, tblAmazonUnits[cv_2028]) + SUMIF(tblMicrosoftUnits[Products],$A85, tblMicrosoftUnits[cv_2028]) + SUMIF(tblAppleUnits[Products],$A85, tblAppleUnits[cv_2028]) + SUMIF(tblAlibabaUnits[Products],$A85, tblAlibabaUnits[cv_2028]) + SUMIF(tblHuaweiUnits[Products],$A85, tblHuaweiUnits[cv_2028]) + SUMIF(tblTencentUnits[Products],$A85, tblTencentUnits[cv_2028]) + SUMIF(tblBaiduUnits[Products],$A85, tblBaiduUnits[cv_2028]) + SUMIF(tblByteDanceUnits[Products],$A85, tblByteDanceUnits[cv_2028]) + SUMIF(tblCloudAOUnits[Products],$A85, tblCloudAOUnits[cv_2028])</f>
        <v>0</v>
      </c>
      <c r="M85" s="122">
        <f>10^-6*B85*INDEX(TotalMarket!$M$26:$W$125,MATCH($A85,$A$11:$A$132,0),MATCH(M$10,$M$10:$W$10))</f>
        <v>0</v>
      </c>
      <c r="N85" s="122">
        <f>10^-6*C85*INDEX(TotalMarket!$M$26:$W$125,MATCH($A85,$A$11:$A$132,0),MATCH(N$10,$M$10:$W$10))</f>
        <v>0</v>
      </c>
      <c r="O85" s="122">
        <f>10^-6*D85*INDEX(TotalMarket!$M$26:$W$125,MATCH($A85,$A$11:$A$132,0),MATCH(O$10,$M$10:$W$10))</f>
        <v>0</v>
      </c>
      <c r="P85" s="122">
        <f>10^-6*E85*INDEX(TotalMarket!$M$26:$W$125,MATCH($A85,$A$11:$A$132,0),MATCH(P$10,$M$10:$W$10))</f>
        <v>0</v>
      </c>
      <c r="Q85" s="122">
        <f>10^-6*F85*INDEX(TotalMarket!$M$26:$W$125,MATCH($A85,$A$11:$A$132,0),MATCH(Q$10,$M$10:$W$10))</f>
        <v>0</v>
      </c>
      <c r="R85" s="122">
        <f>10^-6*G85*INDEX(TotalMarket!$M$26:$W$125,MATCH($A85,$A$11:$A$132,0),MATCH(R$10,$M$10:$W$10))</f>
        <v>0</v>
      </c>
      <c r="S85" s="122">
        <f>10^-6*H85*INDEX(TotalMarket!$M$26:$W$125,MATCH($A85,$A$11:$A$132,0),MATCH(S$10,$M$10:$W$10))</f>
        <v>0</v>
      </c>
      <c r="T85" s="122">
        <f>10^-6*I85*INDEX(TotalMarket!$M$26:$W$125,MATCH($A85,$A$11:$A$132,0),MATCH(T$10,$M$10:$W$10))</f>
        <v>0</v>
      </c>
      <c r="U85" s="122">
        <f>10^-6*J85*INDEX(TotalMarket!$M$26:$W$125,MATCH($A85,$A$11:$A$132,0),MATCH(U$10,$M$10:$W$10))</f>
        <v>0</v>
      </c>
      <c r="V85" s="122">
        <f>10^-6*K85*INDEX(TotalMarket!$M$26:$W$125,MATCH($A85,$A$11:$A$132,0),MATCH(V$10,$M$10:$W$10))</f>
        <v>0</v>
      </c>
      <c r="W85" s="122">
        <f>10^-6*L85*INDEX(TotalMarket!$M$26:$W$125,MATCH($A85,$A$11:$A$132,0),MATCH(W$10,$M$10:$W$10))</f>
        <v>0</v>
      </c>
      <c r="X85" s="1">
        <f>VLOOKUP(A85,Products!$A$29:$F$110,6,FALSE)</f>
        <v>3200</v>
      </c>
    </row>
    <row r="86" spans="1:24">
      <c r="A86" s="15" t="s">
        <v>193</v>
      </c>
      <c r="B86" s="8">
        <f xml:space="preserve"> SUMIF(tblGoogleUnits[Products],$A86, tblGoogleUnits[cv_2018]) + SUMIF(tblMetaUnits[Products],$A86, tblMetaUnits[cv_2018]) + SUMIF(tblAmazonUnits[Products],$A86, tblAmazonUnits[cv_2018]) + SUMIF(tblMicrosoftUnits[Products],$A86, tblMicrosoftUnits[cv_2018]) + SUMIF(tblAppleUnits[Products],$A86, tblAppleUnits[cv_2018]) + SUMIF(tblAlibabaUnits[Products],$A86, tblAlibabaUnits[cv_2018]) + SUMIF(tblHuaweiUnits[Products],$A86, tblHuaweiUnits[cv_2018]) + SUMIF(tblTencentUnits[Products],$A86, tblTencentUnits[cv_2018]) + SUMIF(tblBaiduUnits[Products],$A86, tblBaiduUnits[cv_2018]) + SUMIF(tblByteDanceUnits[Products],$A86, tblByteDanceUnits[cv_2018]) + SUMIF(tblCloudAOUnits[Products],$A86, tblCloudAOUnits[cv_2018])</f>
        <v>0</v>
      </c>
      <c r="C86" s="8">
        <f xml:space="preserve"> SUMIF(tblGoogleUnits[Products],$A86, tblGoogleUnits[cv_2019]) + SUMIF(tblMetaUnits[Products],$A86, tblMetaUnits[cv_2019]) + SUMIF(tblAmazonUnits[Products],$A86, tblAmazonUnits[cv_2019]) + SUMIF(tblMicrosoftUnits[Products],$A86, tblMicrosoftUnits[cv_2019]) + SUMIF(tblAppleUnits[Products],$A86, tblAppleUnits[cv_2019]) + SUMIF(tblAlibabaUnits[Products],$A86, tblAlibabaUnits[cv_2019]) + SUMIF(tblHuaweiUnits[Products],$A86, tblHuaweiUnits[cv_2019]) + SUMIF(tblTencentUnits[Products],$A86, tblTencentUnits[cv_2019]) + SUMIF(tblBaiduUnits[Products],$A86, tblBaiduUnits[cv_2019]) + SUMIF(tblByteDanceUnits[Products],$A86, tblByteDanceUnits[cv_2019]) + SUMIF(tblCloudAOUnits[Products],$A86, tblCloudAOUnits[cv_2019])</f>
        <v>0</v>
      </c>
      <c r="D86" s="8">
        <f xml:space="preserve"> SUMIF(tblGoogleUnits[Products],$A86, tblGoogleUnits[cv_2020]) + SUMIF(tblMetaUnits[Products],$A86, tblMetaUnits[cv_2020]) + SUMIF(tblAmazonUnits[Products],$A86, tblAmazonUnits[cv_2020]) + SUMIF(tblMicrosoftUnits[Products],$A86, tblMicrosoftUnits[cv_2020]) + SUMIF(tblAppleUnits[Products],$A86, tblAppleUnits[cv_2020]) + SUMIF(tblAlibabaUnits[Products],$A86, tblAlibabaUnits[cv_2020]) + SUMIF(tblHuaweiUnits[Products],$A86, tblHuaweiUnits[cv_2020]) + SUMIF(tblTencentUnits[Products],$A86, tblTencentUnits[cv_2020]) + SUMIF(tblBaiduUnits[Products],$A86, tblBaiduUnits[cv_2020]) + SUMIF(tblByteDanceUnits[Products],$A86, tblByteDanceUnits[cv_2020]) + SUMIF(tblCloudAOUnits[Products],$A86, tblCloudAOUnits[cv_2020])</f>
        <v>0</v>
      </c>
      <c r="E86" s="8">
        <f xml:space="preserve"> SUMIF(tblGoogleUnits[Products],$A86, tblGoogleUnits[cv_2021]) + SUMIF(tblMetaUnits[Products],$A86, tblMetaUnits[cv_2021]) + SUMIF(tblAmazonUnits[Products],$A86, tblAmazonUnits[cv_2021]) + SUMIF(tblMicrosoftUnits[Products],$A86, tblMicrosoftUnits[cv_2021]) + SUMIF(tblAppleUnits[Products],$A86, tblAppleUnits[cv_2021]) + SUMIF(tblAlibabaUnits[Products],$A86, tblAlibabaUnits[cv_2021]) + SUMIF(tblHuaweiUnits[Products],$A86, tblHuaweiUnits[cv_2021]) + SUMIF(tblTencentUnits[Products],$A86, tblTencentUnits[cv_2021]) + SUMIF(tblBaiduUnits[Products],$A86, tblBaiduUnits[cv_2021]) + SUMIF(tblByteDanceUnits[Products],$A86, tblByteDanceUnits[cv_2021]) + SUMIF(tblCloudAOUnits[Products],$A86, tblCloudAOUnits[cv_2021])</f>
        <v>0</v>
      </c>
      <c r="F86" s="8">
        <f xml:space="preserve"> SUMIF(tblGoogleUnits[Products],$A86, tblGoogleUnits[cv_2022]) + SUMIF(tblMetaUnits[Products],$A86, tblMetaUnits[cv_2022]) + SUMIF(tblAmazonUnits[Products],$A86, tblAmazonUnits[cv_2022]) + SUMIF(tblMicrosoftUnits[Products],$A86, tblMicrosoftUnits[cv_2022]) + SUMIF(tblAppleUnits[Products],$A86, tblAppleUnits[cv_2022]) + SUMIF(tblAlibabaUnits[Products],$A86, tblAlibabaUnits[cv_2022]) + SUMIF(tblHuaweiUnits[Products],$A86, tblHuaweiUnits[cv_2022]) + SUMIF(tblTencentUnits[Products],$A86, tblTencentUnits[cv_2022]) + SUMIF(tblBaiduUnits[Products],$A86, tblBaiduUnits[cv_2022]) + SUMIF(tblByteDanceUnits[Products],$A86, tblByteDanceUnits[cv_2022]) + SUMIF(tblCloudAOUnits[Products],$A86, tblCloudAOUnits[cv_2022])</f>
        <v>0</v>
      </c>
      <c r="G86" s="8">
        <f xml:space="preserve"> SUMIF(tblGoogleUnits[Products],$A86, tblGoogleUnits[cv_2023]) + SUMIF(tblMetaUnits[Products],$A86, tblMetaUnits[cv_2023]) + SUMIF(tblAmazonUnits[Products],$A86, tblAmazonUnits[cv_2023]) + SUMIF(tblMicrosoftUnits[Products],$A86, tblMicrosoftUnits[cv_2023]) + SUMIF(tblAppleUnits[Products],$A86, tblAppleUnits[cv_2023]) + SUMIF(tblAlibabaUnits[Products],$A86, tblAlibabaUnits[cv_2023]) + SUMIF(tblHuaweiUnits[Products],$A86, tblHuaweiUnits[cv_2023]) + SUMIF(tblTencentUnits[Products],$A86, tblTencentUnits[cv_2023]) + SUMIF(tblBaiduUnits[Products],$A86, tblBaiduUnits[cv_2023]) + SUMIF(tblByteDanceUnits[Products],$A86, tblByteDanceUnits[cv_2023]) + SUMIF(tblCloudAOUnits[Products],$A86, tblCloudAOUnits[cv_2023])</f>
        <v>0</v>
      </c>
      <c r="H86" s="8">
        <f xml:space="preserve"> SUMIF(tblGoogleUnits[Products],$A86, tblGoogleUnits[cv_2024]) + SUMIF(tblMetaUnits[Products],$A86, tblMetaUnits[cv_2024]) + SUMIF(tblAmazonUnits[Products],$A86, tblAmazonUnits[cv_2024]) + SUMIF(tblMicrosoftUnits[Products],$A86, tblMicrosoftUnits[cv_2024]) + SUMIF(tblAppleUnits[Products],$A86, tblAppleUnits[cv_2024]) + SUMIF(tblAlibabaUnits[Products],$A86, tblAlibabaUnits[cv_2024]) + SUMIF(tblHuaweiUnits[Products],$A86, tblHuaweiUnits[cv_2024]) + SUMIF(tblTencentUnits[Products],$A86, tblTencentUnits[cv_2024]) + SUMIF(tblBaiduUnits[Products],$A86, tblBaiduUnits[cv_2024]) + SUMIF(tblByteDanceUnits[Products],$A86, tblByteDanceUnits[cv_2024]) + SUMIF(tblCloudAOUnits[Products],$A86, tblCloudAOUnits[cv_2024])</f>
        <v>0</v>
      </c>
      <c r="I86" s="8">
        <f xml:space="preserve"> SUMIF(tblGoogleUnits[Products],$A86, tblGoogleUnits[cv_2025]) + SUMIF(tblMetaUnits[Products],$A86, tblMetaUnits[cv_2025]) + SUMIF(tblAmazonUnits[Products],$A86, tblAmazonUnits[cv_2025]) + SUMIF(tblMicrosoftUnits[Products],$A86, tblMicrosoftUnits[cv_2025]) + SUMIF(tblAppleUnits[Products],$A86, tblAppleUnits[cv_2025]) + SUMIF(tblAlibabaUnits[Products],$A86, tblAlibabaUnits[cv_2025]) + SUMIF(tblHuaweiUnits[Products],$A86, tblHuaweiUnits[cv_2025]) + SUMIF(tblTencentUnits[Products],$A86, tblTencentUnits[cv_2025]) + SUMIF(tblBaiduUnits[Products],$A86, tblBaiduUnits[cv_2025]) + SUMIF(tblByteDanceUnits[Products],$A86, tblByteDanceUnits[cv_2025]) + SUMIF(tblCloudAOUnits[Products],$A86, tblCloudAOUnits[cv_2025])</f>
        <v>0</v>
      </c>
      <c r="J86" s="8">
        <f xml:space="preserve"> SUMIF(tblGoogleUnits[Products],$A86, tblGoogleUnits[cv_2026]) + SUMIF(tblMetaUnits[Products],$A86, tblMetaUnits[cv_2026]) + SUMIF(tblAmazonUnits[Products],$A86, tblAmazonUnits[cv_2026]) + SUMIF(tblMicrosoftUnits[Products],$A86, tblMicrosoftUnits[cv_2026]) + SUMIF(tblAppleUnits[Products],$A86, tblAppleUnits[cv_2026]) + SUMIF(tblAlibabaUnits[Products],$A86, tblAlibabaUnits[cv_2026]) + SUMIF(tblHuaweiUnits[Products],$A86, tblHuaweiUnits[cv_2026]) + SUMIF(tblTencentUnits[Products],$A86, tblTencentUnits[cv_2026]) + SUMIF(tblBaiduUnits[Products],$A86, tblBaiduUnits[cv_2026]) + SUMIF(tblByteDanceUnits[Products],$A86, tblByteDanceUnits[cv_2026]) + SUMIF(tblCloudAOUnits[Products],$A86, tblCloudAOUnits[cv_2026])</f>
        <v>0</v>
      </c>
      <c r="K86" s="8">
        <f xml:space="preserve"> SUMIF(tblGoogleUnits[Products],$A86, tblGoogleUnits[cv_2027]) + SUMIF(tblMetaUnits[Products],$A86, tblMetaUnits[cv_2027]) + SUMIF(tblAmazonUnits[Products],$A86, tblAmazonUnits[cv_2027]) + SUMIF(tblMicrosoftUnits[Products],$A86, tblMicrosoftUnits[cv_2027]) + SUMIF(tblAppleUnits[Products],$A86, tblAppleUnits[cv_2027]) + SUMIF(tblAlibabaUnits[Products],$A86, tblAlibabaUnits[cv_2027]) + SUMIF(tblHuaweiUnits[Products],$A86, tblHuaweiUnits[cv_2027]) + SUMIF(tblTencentUnits[Products],$A86, tblTencentUnits[cv_2027]) + SUMIF(tblBaiduUnits[Products],$A86, tblBaiduUnits[cv_2027]) + SUMIF(tblByteDanceUnits[Products],$A86, tblByteDanceUnits[cv_2027]) + SUMIF(tblCloudAOUnits[Products],$A86, tblCloudAOUnits[cv_2027])</f>
        <v>0</v>
      </c>
      <c r="L86" s="8">
        <f xml:space="preserve"> SUMIF(tblGoogleUnits[Products],$A86, tblGoogleUnits[cv_2028]) + SUMIF(tblMetaUnits[Products],$A86, tblMetaUnits[cv_2028]) + SUMIF(tblAmazonUnits[Products],$A86, tblAmazonUnits[cv_2028]) + SUMIF(tblMicrosoftUnits[Products],$A86, tblMicrosoftUnits[cv_2028]) + SUMIF(tblAppleUnits[Products],$A86, tblAppleUnits[cv_2028]) + SUMIF(tblAlibabaUnits[Products],$A86, tblAlibabaUnits[cv_2028]) + SUMIF(tblHuaweiUnits[Products],$A86, tblHuaweiUnits[cv_2028]) + SUMIF(tblTencentUnits[Products],$A86, tblTencentUnits[cv_2028]) + SUMIF(tblBaiduUnits[Products],$A86, tblBaiduUnits[cv_2028]) + SUMIF(tblByteDanceUnits[Products],$A86, tblByteDanceUnits[cv_2028]) + SUMIF(tblCloudAOUnits[Products],$A86, tblCloudAOUnits[cv_2028])</f>
        <v>0</v>
      </c>
      <c r="M86" s="122">
        <f>10^-6*B86*INDEX(TotalMarket!$M$26:$W$125,MATCH($A86,$A$11:$A$132,0),MATCH(M$10,$M$10:$W$10))</f>
        <v>0</v>
      </c>
      <c r="N86" s="122">
        <f>10^-6*C86*INDEX(TotalMarket!$M$26:$W$125,MATCH($A86,$A$11:$A$132,0),MATCH(N$10,$M$10:$W$10))</f>
        <v>0</v>
      </c>
      <c r="O86" s="122">
        <f>10^-6*D86*INDEX(TotalMarket!$M$26:$W$125,MATCH($A86,$A$11:$A$132,0),MATCH(O$10,$M$10:$W$10))</f>
        <v>0</v>
      </c>
      <c r="P86" s="122">
        <f>10^-6*E86*INDEX(TotalMarket!$M$26:$W$125,MATCH($A86,$A$11:$A$132,0),MATCH(P$10,$M$10:$W$10))</f>
        <v>0</v>
      </c>
      <c r="Q86" s="122">
        <f>10^-6*F86*INDEX(TotalMarket!$M$26:$W$125,MATCH($A86,$A$11:$A$132,0),MATCH(Q$10,$M$10:$W$10))</f>
        <v>0</v>
      </c>
      <c r="R86" s="122">
        <f>10^-6*G86*INDEX(TotalMarket!$M$26:$W$125,MATCH($A86,$A$11:$A$132,0),MATCH(R$10,$M$10:$W$10))</f>
        <v>0</v>
      </c>
      <c r="S86" s="122">
        <f>10^-6*H86*INDEX(TotalMarket!$M$26:$W$125,MATCH($A86,$A$11:$A$132,0),MATCH(S$10,$M$10:$W$10))</f>
        <v>0</v>
      </c>
      <c r="T86" s="122">
        <f>10^-6*I86*INDEX(TotalMarket!$M$26:$W$125,MATCH($A86,$A$11:$A$132,0),MATCH(T$10,$M$10:$W$10))</f>
        <v>0</v>
      </c>
      <c r="U86" s="122">
        <f>10^-6*J86*INDEX(TotalMarket!$M$26:$W$125,MATCH($A86,$A$11:$A$132,0),MATCH(U$10,$M$10:$W$10))</f>
        <v>0</v>
      </c>
      <c r="V86" s="122">
        <f>10^-6*K86*INDEX(TotalMarket!$M$26:$W$125,MATCH($A86,$A$11:$A$132,0),MATCH(V$10,$M$10:$W$10))</f>
        <v>0</v>
      </c>
      <c r="W86" s="122">
        <f>10^-6*L86*INDEX(TotalMarket!$M$26:$W$125,MATCH($A86,$A$11:$A$132,0),MATCH(W$10,$M$10:$W$10))</f>
        <v>0</v>
      </c>
      <c r="X86" s="1">
        <f>VLOOKUP(A86,Products!$A$29:$F$110,6,FALSE)</f>
        <v>3200</v>
      </c>
    </row>
    <row r="87" spans="1:24">
      <c r="A87" s="15" t="s">
        <v>194</v>
      </c>
      <c r="B87" s="8">
        <f xml:space="preserve"> SUMIF(tblGoogleUnits[Products],$A87, tblGoogleUnits[cv_2018]) + SUMIF(tblMetaUnits[Products],$A87, tblMetaUnits[cv_2018]) + SUMIF(tblAmazonUnits[Products],$A87, tblAmazonUnits[cv_2018]) + SUMIF(tblMicrosoftUnits[Products],$A87, tblMicrosoftUnits[cv_2018]) + SUMIF(tblAppleUnits[Products],$A87, tblAppleUnits[cv_2018]) + SUMIF(tblAlibabaUnits[Products],$A87, tblAlibabaUnits[cv_2018]) + SUMIF(tblHuaweiUnits[Products],$A87, tblHuaweiUnits[cv_2018]) + SUMIF(tblTencentUnits[Products],$A87, tblTencentUnits[cv_2018]) + SUMIF(tblBaiduUnits[Products],$A87, tblBaiduUnits[cv_2018]) + SUMIF(tblByteDanceUnits[Products],$A87, tblByteDanceUnits[cv_2018]) + SUMIF(tblCloudAOUnits[Products],$A87, tblCloudAOUnits[cv_2018])</f>
        <v>0</v>
      </c>
      <c r="C87" s="8">
        <f xml:space="preserve"> SUMIF(tblGoogleUnits[Products],$A87, tblGoogleUnits[cv_2019]) + SUMIF(tblMetaUnits[Products],$A87, tblMetaUnits[cv_2019]) + SUMIF(tblAmazonUnits[Products],$A87, tblAmazonUnits[cv_2019]) + SUMIF(tblMicrosoftUnits[Products],$A87, tblMicrosoftUnits[cv_2019]) + SUMIF(tblAppleUnits[Products],$A87, tblAppleUnits[cv_2019]) + SUMIF(tblAlibabaUnits[Products],$A87, tblAlibabaUnits[cv_2019]) + SUMIF(tblHuaweiUnits[Products],$A87, tblHuaweiUnits[cv_2019]) + SUMIF(tblTencentUnits[Products],$A87, tblTencentUnits[cv_2019]) + SUMIF(tblBaiduUnits[Products],$A87, tblBaiduUnits[cv_2019]) + SUMIF(tblByteDanceUnits[Products],$A87, tblByteDanceUnits[cv_2019]) + SUMIF(tblCloudAOUnits[Products],$A87, tblCloudAOUnits[cv_2019])</f>
        <v>0</v>
      </c>
      <c r="D87" s="8">
        <f xml:space="preserve"> SUMIF(tblGoogleUnits[Products],$A87, tblGoogleUnits[cv_2020]) + SUMIF(tblMetaUnits[Products],$A87, tblMetaUnits[cv_2020]) + SUMIF(tblAmazonUnits[Products],$A87, tblAmazonUnits[cv_2020]) + SUMIF(tblMicrosoftUnits[Products],$A87, tblMicrosoftUnits[cv_2020]) + SUMIF(tblAppleUnits[Products],$A87, tblAppleUnits[cv_2020]) + SUMIF(tblAlibabaUnits[Products],$A87, tblAlibabaUnits[cv_2020]) + SUMIF(tblHuaweiUnits[Products],$A87, tblHuaweiUnits[cv_2020]) + SUMIF(tblTencentUnits[Products],$A87, tblTencentUnits[cv_2020]) + SUMIF(tblBaiduUnits[Products],$A87, tblBaiduUnits[cv_2020]) + SUMIF(tblByteDanceUnits[Products],$A87, tblByteDanceUnits[cv_2020]) + SUMIF(tblCloudAOUnits[Products],$A87, tblCloudAOUnits[cv_2020])</f>
        <v>0</v>
      </c>
      <c r="E87" s="8">
        <f xml:space="preserve"> SUMIF(tblGoogleUnits[Products],$A87, tblGoogleUnits[cv_2021]) + SUMIF(tblMetaUnits[Products],$A87, tblMetaUnits[cv_2021]) + SUMIF(tblAmazonUnits[Products],$A87, tblAmazonUnits[cv_2021]) + SUMIF(tblMicrosoftUnits[Products],$A87, tblMicrosoftUnits[cv_2021]) + SUMIF(tblAppleUnits[Products],$A87, tblAppleUnits[cv_2021]) + SUMIF(tblAlibabaUnits[Products],$A87, tblAlibabaUnits[cv_2021]) + SUMIF(tblHuaweiUnits[Products],$A87, tblHuaweiUnits[cv_2021]) + SUMIF(tblTencentUnits[Products],$A87, tblTencentUnits[cv_2021]) + SUMIF(tblBaiduUnits[Products],$A87, tblBaiduUnits[cv_2021]) + SUMIF(tblByteDanceUnits[Products],$A87, tblByteDanceUnits[cv_2021]) + SUMIF(tblCloudAOUnits[Products],$A87, tblCloudAOUnits[cv_2021])</f>
        <v>0</v>
      </c>
      <c r="F87" s="8">
        <f xml:space="preserve"> SUMIF(tblGoogleUnits[Products],$A87, tblGoogleUnits[cv_2022]) + SUMIF(tblMetaUnits[Products],$A87, tblMetaUnits[cv_2022]) + SUMIF(tblAmazonUnits[Products],$A87, tblAmazonUnits[cv_2022]) + SUMIF(tblMicrosoftUnits[Products],$A87, tblMicrosoftUnits[cv_2022]) + SUMIF(tblAppleUnits[Products],$A87, tblAppleUnits[cv_2022]) + SUMIF(tblAlibabaUnits[Products],$A87, tblAlibabaUnits[cv_2022]) + SUMIF(tblHuaweiUnits[Products],$A87, tblHuaweiUnits[cv_2022]) + SUMIF(tblTencentUnits[Products],$A87, tblTencentUnits[cv_2022]) + SUMIF(tblBaiduUnits[Products],$A87, tblBaiduUnits[cv_2022]) + SUMIF(tblByteDanceUnits[Products],$A87, tblByteDanceUnits[cv_2022]) + SUMIF(tblCloudAOUnits[Products],$A87, tblCloudAOUnits[cv_2022])</f>
        <v>0</v>
      </c>
      <c r="G87" s="8">
        <f xml:space="preserve"> SUMIF(tblGoogleUnits[Products],$A87, tblGoogleUnits[cv_2023]) + SUMIF(tblMetaUnits[Products],$A87, tblMetaUnits[cv_2023]) + SUMIF(tblAmazonUnits[Products],$A87, tblAmazonUnits[cv_2023]) + SUMIF(tblMicrosoftUnits[Products],$A87, tblMicrosoftUnits[cv_2023]) + SUMIF(tblAppleUnits[Products],$A87, tblAppleUnits[cv_2023]) + SUMIF(tblAlibabaUnits[Products],$A87, tblAlibabaUnits[cv_2023]) + SUMIF(tblHuaweiUnits[Products],$A87, tblHuaweiUnits[cv_2023]) + SUMIF(tblTencentUnits[Products],$A87, tblTencentUnits[cv_2023]) + SUMIF(tblBaiduUnits[Products],$A87, tblBaiduUnits[cv_2023]) + SUMIF(tblByteDanceUnits[Products],$A87, tblByteDanceUnits[cv_2023]) + SUMIF(tblCloudAOUnits[Products],$A87, tblCloudAOUnits[cv_2023])</f>
        <v>0</v>
      </c>
      <c r="H87" s="8">
        <f xml:space="preserve"> SUMIF(tblGoogleUnits[Products],$A87, tblGoogleUnits[cv_2024]) + SUMIF(tblMetaUnits[Products],$A87, tblMetaUnits[cv_2024]) + SUMIF(tblAmazonUnits[Products],$A87, tblAmazonUnits[cv_2024]) + SUMIF(tblMicrosoftUnits[Products],$A87, tblMicrosoftUnits[cv_2024]) + SUMIF(tblAppleUnits[Products],$A87, tblAppleUnits[cv_2024]) + SUMIF(tblAlibabaUnits[Products],$A87, tblAlibabaUnits[cv_2024]) + SUMIF(tblHuaweiUnits[Products],$A87, tblHuaweiUnits[cv_2024]) + SUMIF(tblTencentUnits[Products],$A87, tblTencentUnits[cv_2024]) + SUMIF(tblBaiduUnits[Products],$A87, tblBaiduUnits[cv_2024]) + SUMIF(tblByteDanceUnits[Products],$A87, tblByteDanceUnits[cv_2024]) + SUMIF(tblCloudAOUnits[Products],$A87, tblCloudAOUnits[cv_2024])</f>
        <v>0</v>
      </c>
      <c r="I87" s="8">
        <f xml:space="preserve"> SUMIF(tblGoogleUnits[Products],$A87, tblGoogleUnits[cv_2025]) + SUMIF(tblMetaUnits[Products],$A87, tblMetaUnits[cv_2025]) + SUMIF(tblAmazonUnits[Products],$A87, tblAmazonUnits[cv_2025]) + SUMIF(tblMicrosoftUnits[Products],$A87, tblMicrosoftUnits[cv_2025]) + SUMIF(tblAppleUnits[Products],$A87, tblAppleUnits[cv_2025]) + SUMIF(tblAlibabaUnits[Products],$A87, tblAlibabaUnits[cv_2025]) + SUMIF(tblHuaweiUnits[Products],$A87, tblHuaweiUnits[cv_2025]) + SUMIF(tblTencentUnits[Products],$A87, tblTencentUnits[cv_2025]) + SUMIF(tblBaiduUnits[Products],$A87, tblBaiduUnits[cv_2025]) + SUMIF(tblByteDanceUnits[Products],$A87, tblByteDanceUnits[cv_2025]) + SUMIF(tblCloudAOUnits[Products],$A87, tblCloudAOUnits[cv_2025])</f>
        <v>0</v>
      </c>
      <c r="J87" s="8">
        <f xml:space="preserve"> SUMIF(tblGoogleUnits[Products],$A87, tblGoogleUnits[cv_2026]) + SUMIF(tblMetaUnits[Products],$A87, tblMetaUnits[cv_2026]) + SUMIF(tblAmazonUnits[Products],$A87, tblAmazonUnits[cv_2026]) + SUMIF(tblMicrosoftUnits[Products],$A87, tblMicrosoftUnits[cv_2026]) + SUMIF(tblAppleUnits[Products],$A87, tblAppleUnits[cv_2026]) + SUMIF(tblAlibabaUnits[Products],$A87, tblAlibabaUnits[cv_2026]) + SUMIF(tblHuaweiUnits[Products],$A87, tblHuaweiUnits[cv_2026]) + SUMIF(tblTencentUnits[Products],$A87, tblTencentUnits[cv_2026]) + SUMIF(tblBaiduUnits[Products],$A87, tblBaiduUnits[cv_2026]) + SUMIF(tblByteDanceUnits[Products],$A87, tblByteDanceUnits[cv_2026]) + SUMIF(tblCloudAOUnits[Products],$A87, tblCloudAOUnits[cv_2026])</f>
        <v>0</v>
      </c>
      <c r="K87" s="8">
        <f xml:space="preserve"> SUMIF(tblGoogleUnits[Products],$A87, tblGoogleUnits[cv_2027]) + SUMIF(tblMetaUnits[Products],$A87, tblMetaUnits[cv_2027]) + SUMIF(tblAmazonUnits[Products],$A87, tblAmazonUnits[cv_2027]) + SUMIF(tblMicrosoftUnits[Products],$A87, tblMicrosoftUnits[cv_2027]) + SUMIF(tblAppleUnits[Products],$A87, tblAppleUnits[cv_2027]) + SUMIF(tblAlibabaUnits[Products],$A87, tblAlibabaUnits[cv_2027]) + SUMIF(tblHuaweiUnits[Products],$A87, tblHuaweiUnits[cv_2027]) + SUMIF(tblTencentUnits[Products],$A87, tblTencentUnits[cv_2027]) + SUMIF(tblBaiduUnits[Products],$A87, tblBaiduUnits[cv_2027]) + SUMIF(tblByteDanceUnits[Products],$A87, tblByteDanceUnits[cv_2027]) + SUMIF(tblCloudAOUnits[Products],$A87, tblCloudAOUnits[cv_2027])</f>
        <v>0</v>
      </c>
      <c r="L87" s="8">
        <f xml:space="preserve"> SUMIF(tblGoogleUnits[Products],$A87, tblGoogleUnits[cv_2028]) + SUMIF(tblMetaUnits[Products],$A87, tblMetaUnits[cv_2028]) + SUMIF(tblAmazonUnits[Products],$A87, tblAmazonUnits[cv_2028]) + SUMIF(tblMicrosoftUnits[Products],$A87, tblMicrosoftUnits[cv_2028]) + SUMIF(tblAppleUnits[Products],$A87, tblAppleUnits[cv_2028]) + SUMIF(tblAlibabaUnits[Products],$A87, tblAlibabaUnits[cv_2028]) + SUMIF(tblHuaweiUnits[Products],$A87, tblHuaweiUnits[cv_2028]) + SUMIF(tblTencentUnits[Products],$A87, tblTencentUnits[cv_2028]) + SUMIF(tblBaiduUnits[Products],$A87, tblBaiduUnits[cv_2028]) + SUMIF(tblByteDanceUnits[Products],$A87, tblByteDanceUnits[cv_2028]) + SUMIF(tblCloudAOUnits[Products],$A87, tblCloudAOUnits[cv_2028])</f>
        <v>0</v>
      </c>
      <c r="M87" s="122">
        <f>10^-6*B87*INDEX(TotalMarket!$M$26:$W$125,MATCH($A87,$A$11:$A$132,0),MATCH(M$10,$M$10:$W$10))</f>
        <v>0</v>
      </c>
      <c r="N87" s="122">
        <f>10^-6*C87*INDEX(TotalMarket!$M$26:$W$125,MATCH($A87,$A$11:$A$132,0),MATCH(N$10,$M$10:$W$10))</f>
        <v>0</v>
      </c>
      <c r="O87" s="122">
        <f>10^-6*D87*INDEX(TotalMarket!$M$26:$W$125,MATCH($A87,$A$11:$A$132,0),MATCH(O$10,$M$10:$W$10))</f>
        <v>0</v>
      </c>
      <c r="P87" s="122">
        <f>10^-6*E87*INDEX(TotalMarket!$M$26:$W$125,MATCH($A87,$A$11:$A$132,0),MATCH(P$10,$M$10:$W$10))</f>
        <v>0</v>
      </c>
      <c r="Q87" s="122">
        <f>10^-6*F87*INDEX(TotalMarket!$M$26:$W$125,MATCH($A87,$A$11:$A$132,0),MATCH(Q$10,$M$10:$W$10))</f>
        <v>0</v>
      </c>
      <c r="R87" s="122">
        <f>10^-6*G87*INDEX(TotalMarket!$M$26:$W$125,MATCH($A87,$A$11:$A$132,0),MATCH(R$10,$M$10:$W$10))</f>
        <v>0</v>
      </c>
      <c r="S87" s="122">
        <f>10^-6*H87*INDEX(TotalMarket!$M$26:$W$125,MATCH($A87,$A$11:$A$132,0),MATCH(S$10,$M$10:$W$10))</f>
        <v>0</v>
      </c>
      <c r="T87" s="122">
        <f>10^-6*I87*INDEX(TotalMarket!$M$26:$W$125,MATCH($A87,$A$11:$A$132,0),MATCH(T$10,$M$10:$W$10))</f>
        <v>0</v>
      </c>
      <c r="U87" s="122">
        <f>10^-6*J87*INDEX(TotalMarket!$M$26:$W$125,MATCH($A87,$A$11:$A$132,0),MATCH(U$10,$M$10:$W$10))</f>
        <v>0</v>
      </c>
      <c r="V87" s="122">
        <f>10^-6*K87*INDEX(TotalMarket!$M$26:$W$125,MATCH($A87,$A$11:$A$132,0),MATCH(V$10,$M$10:$W$10))</f>
        <v>0</v>
      </c>
      <c r="W87" s="122">
        <f>10^-6*L87*INDEX(TotalMarket!$M$26:$W$125,MATCH($A87,$A$11:$A$132,0),MATCH(W$10,$M$10:$W$10))</f>
        <v>0</v>
      </c>
      <c r="X87" s="1">
        <f>VLOOKUP(A87,Products!$A$29:$F$110,6,FALSE)</f>
        <v>3200</v>
      </c>
    </row>
    <row r="88" spans="1:24">
      <c r="A88" s="15" t="s">
        <v>195</v>
      </c>
      <c r="B88" s="8">
        <f xml:space="preserve"> SUMIF(tblGoogleUnits[Products],$A88, tblGoogleUnits[cv_2018]) + SUMIF(tblMetaUnits[Products],$A88, tblMetaUnits[cv_2018]) + SUMIF(tblAmazonUnits[Products],$A88, tblAmazonUnits[cv_2018]) + SUMIF(tblMicrosoftUnits[Products],$A88, tblMicrosoftUnits[cv_2018]) + SUMIF(tblAppleUnits[Products],$A88, tblAppleUnits[cv_2018]) + SUMIF(tblAlibabaUnits[Products],$A88, tblAlibabaUnits[cv_2018]) + SUMIF(tblHuaweiUnits[Products],$A88, tblHuaweiUnits[cv_2018]) + SUMIF(tblTencentUnits[Products],$A88, tblTencentUnits[cv_2018]) + SUMIF(tblBaiduUnits[Products],$A88, tblBaiduUnits[cv_2018]) + SUMIF(tblByteDanceUnits[Products],$A88, tblByteDanceUnits[cv_2018]) + SUMIF(tblCloudAOUnits[Products],$A88, tblCloudAOUnits[cv_2018])</f>
        <v>0</v>
      </c>
      <c r="C88" s="8">
        <f xml:space="preserve"> SUMIF(tblGoogleUnits[Products],$A88, tblGoogleUnits[cv_2019]) + SUMIF(tblMetaUnits[Products],$A88, tblMetaUnits[cv_2019]) + SUMIF(tblAmazonUnits[Products],$A88, tblAmazonUnits[cv_2019]) + SUMIF(tblMicrosoftUnits[Products],$A88, tblMicrosoftUnits[cv_2019]) + SUMIF(tblAppleUnits[Products],$A88, tblAppleUnits[cv_2019]) + SUMIF(tblAlibabaUnits[Products],$A88, tblAlibabaUnits[cv_2019]) + SUMIF(tblHuaweiUnits[Products],$A88, tblHuaweiUnits[cv_2019]) + SUMIF(tblTencentUnits[Products],$A88, tblTencentUnits[cv_2019]) + SUMIF(tblBaiduUnits[Products],$A88, tblBaiduUnits[cv_2019]) + SUMIF(tblByteDanceUnits[Products],$A88, tblByteDanceUnits[cv_2019]) + SUMIF(tblCloudAOUnits[Products],$A88, tblCloudAOUnits[cv_2019])</f>
        <v>0</v>
      </c>
      <c r="D88" s="8">
        <f xml:space="preserve"> SUMIF(tblGoogleUnits[Products],$A88, tblGoogleUnits[cv_2020]) + SUMIF(tblMetaUnits[Products],$A88, tblMetaUnits[cv_2020]) + SUMIF(tblAmazonUnits[Products],$A88, tblAmazonUnits[cv_2020]) + SUMIF(tblMicrosoftUnits[Products],$A88, tblMicrosoftUnits[cv_2020]) + SUMIF(tblAppleUnits[Products],$A88, tblAppleUnits[cv_2020]) + SUMIF(tblAlibabaUnits[Products],$A88, tblAlibabaUnits[cv_2020]) + SUMIF(tblHuaweiUnits[Products],$A88, tblHuaweiUnits[cv_2020]) + SUMIF(tblTencentUnits[Products],$A88, tblTencentUnits[cv_2020]) + SUMIF(tblBaiduUnits[Products],$A88, tblBaiduUnits[cv_2020]) + SUMIF(tblByteDanceUnits[Products],$A88, tblByteDanceUnits[cv_2020]) + SUMIF(tblCloudAOUnits[Products],$A88, tblCloudAOUnits[cv_2020])</f>
        <v>0</v>
      </c>
      <c r="E88" s="8">
        <f xml:space="preserve"> SUMIF(tblGoogleUnits[Products],$A88, tblGoogleUnits[cv_2021]) + SUMIF(tblMetaUnits[Products],$A88, tblMetaUnits[cv_2021]) + SUMIF(tblAmazonUnits[Products],$A88, tblAmazonUnits[cv_2021]) + SUMIF(tblMicrosoftUnits[Products],$A88, tblMicrosoftUnits[cv_2021]) + SUMIF(tblAppleUnits[Products],$A88, tblAppleUnits[cv_2021]) + SUMIF(tblAlibabaUnits[Products],$A88, tblAlibabaUnits[cv_2021]) + SUMIF(tblHuaweiUnits[Products],$A88, tblHuaweiUnits[cv_2021]) + SUMIF(tblTencentUnits[Products],$A88, tblTencentUnits[cv_2021]) + SUMIF(tblBaiduUnits[Products],$A88, tblBaiduUnits[cv_2021]) + SUMIF(tblByteDanceUnits[Products],$A88, tblByteDanceUnits[cv_2021]) + SUMIF(tblCloudAOUnits[Products],$A88, tblCloudAOUnits[cv_2021])</f>
        <v>0</v>
      </c>
      <c r="F88" s="8">
        <f xml:space="preserve"> SUMIF(tblGoogleUnits[Products],$A88, tblGoogleUnits[cv_2022]) + SUMIF(tblMetaUnits[Products],$A88, tblMetaUnits[cv_2022]) + SUMIF(tblAmazonUnits[Products],$A88, tblAmazonUnits[cv_2022]) + SUMIF(tblMicrosoftUnits[Products],$A88, tblMicrosoftUnits[cv_2022]) + SUMIF(tblAppleUnits[Products],$A88, tblAppleUnits[cv_2022]) + SUMIF(tblAlibabaUnits[Products],$A88, tblAlibabaUnits[cv_2022]) + SUMIF(tblHuaweiUnits[Products],$A88, tblHuaweiUnits[cv_2022]) + SUMIF(tblTencentUnits[Products],$A88, tblTencentUnits[cv_2022]) + SUMIF(tblBaiduUnits[Products],$A88, tblBaiduUnits[cv_2022]) + SUMIF(tblByteDanceUnits[Products],$A88, tblByteDanceUnits[cv_2022]) + SUMIF(tblCloudAOUnits[Products],$A88, tblCloudAOUnits[cv_2022])</f>
        <v>0</v>
      </c>
      <c r="G88" s="8">
        <f xml:space="preserve"> SUMIF(tblGoogleUnits[Products],$A88, tblGoogleUnits[cv_2023]) + SUMIF(tblMetaUnits[Products],$A88, tblMetaUnits[cv_2023]) + SUMIF(tblAmazonUnits[Products],$A88, tblAmazonUnits[cv_2023]) + SUMIF(tblMicrosoftUnits[Products],$A88, tblMicrosoftUnits[cv_2023]) + SUMIF(tblAppleUnits[Products],$A88, tblAppleUnits[cv_2023]) + SUMIF(tblAlibabaUnits[Products],$A88, tblAlibabaUnits[cv_2023]) + SUMIF(tblHuaweiUnits[Products],$A88, tblHuaweiUnits[cv_2023]) + SUMIF(tblTencentUnits[Products],$A88, tblTencentUnits[cv_2023]) + SUMIF(tblBaiduUnits[Products],$A88, tblBaiduUnits[cv_2023]) + SUMIF(tblByteDanceUnits[Products],$A88, tblByteDanceUnits[cv_2023]) + SUMIF(tblCloudAOUnits[Products],$A88, tblCloudAOUnits[cv_2023])</f>
        <v>0</v>
      </c>
      <c r="H88" s="8">
        <f xml:space="preserve"> SUMIF(tblGoogleUnits[Products],$A88, tblGoogleUnits[cv_2024]) + SUMIF(tblMetaUnits[Products],$A88, tblMetaUnits[cv_2024]) + SUMIF(tblAmazonUnits[Products],$A88, tblAmazonUnits[cv_2024]) + SUMIF(tblMicrosoftUnits[Products],$A88, tblMicrosoftUnits[cv_2024]) + SUMIF(tblAppleUnits[Products],$A88, tblAppleUnits[cv_2024]) + SUMIF(tblAlibabaUnits[Products],$A88, tblAlibabaUnits[cv_2024]) + SUMIF(tblHuaweiUnits[Products],$A88, tblHuaweiUnits[cv_2024]) + SUMIF(tblTencentUnits[Products],$A88, tblTencentUnits[cv_2024]) + SUMIF(tblBaiduUnits[Products],$A88, tblBaiduUnits[cv_2024]) + SUMIF(tblByteDanceUnits[Products],$A88, tblByteDanceUnits[cv_2024]) + SUMIF(tblCloudAOUnits[Products],$A88, tblCloudAOUnits[cv_2024])</f>
        <v>0</v>
      </c>
      <c r="I88" s="8">
        <f xml:space="preserve"> SUMIF(tblGoogleUnits[Products],$A88, tblGoogleUnits[cv_2025]) + SUMIF(tblMetaUnits[Products],$A88, tblMetaUnits[cv_2025]) + SUMIF(tblAmazonUnits[Products],$A88, tblAmazonUnits[cv_2025]) + SUMIF(tblMicrosoftUnits[Products],$A88, tblMicrosoftUnits[cv_2025]) + SUMIF(tblAppleUnits[Products],$A88, tblAppleUnits[cv_2025]) + SUMIF(tblAlibabaUnits[Products],$A88, tblAlibabaUnits[cv_2025]) + SUMIF(tblHuaweiUnits[Products],$A88, tblHuaweiUnits[cv_2025]) + SUMIF(tblTencentUnits[Products],$A88, tblTencentUnits[cv_2025]) + SUMIF(tblBaiduUnits[Products],$A88, tblBaiduUnits[cv_2025]) + SUMIF(tblByteDanceUnits[Products],$A88, tblByteDanceUnits[cv_2025]) + SUMIF(tblCloudAOUnits[Products],$A88, tblCloudAOUnits[cv_2025])</f>
        <v>0</v>
      </c>
      <c r="J88" s="8">
        <f xml:space="preserve"> SUMIF(tblGoogleUnits[Products],$A88, tblGoogleUnits[cv_2026]) + SUMIF(tblMetaUnits[Products],$A88, tblMetaUnits[cv_2026]) + SUMIF(tblAmazonUnits[Products],$A88, tblAmazonUnits[cv_2026]) + SUMIF(tblMicrosoftUnits[Products],$A88, tblMicrosoftUnits[cv_2026]) + SUMIF(tblAppleUnits[Products],$A88, tblAppleUnits[cv_2026]) + SUMIF(tblAlibabaUnits[Products],$A88, tblAlibabaUnits[cv_2026]) + SUMIF(tblHuaweiUnits[Products],$A88, tblHuaweiUnits[cv_2026]) + SUMIF(tblTencentUnits[Products],$A88, tblTencentUnits[cv_2026]) + SUMIF(tblBaiduUnits[Products],$A88, tblBaiduUnits[cv_2026]) + SUMIF(tblByteDanceUnits[Products],$A88, tblByteDanceUnits[cv_2026]) + SUMIF(tblCloudAOUnits[Products],$A88, tblCloudAOUnits[cv_2026])</f>
        <v>0</v>
      </c>
      <c r="K88" s="8">
        <f xml:space="preserve"> SUMIF(tblGoogleUnits[Products],$A88, tblGoogleUnits[cv_2027]) + SUMIF(tblMetaUnits[Products],$A88, tblMetaUnits[cv_2027]) + SUMIF(tblAmazonUnits[Products],$A88, tblAmazonUnits[cv_2027]) + SUMIF(tblMicrosoftUnits[Products],$A88, tblMicrosoftUnits[cv_2027]) + SUMIF(tblAppleUnits[Products],$A88, tblAppleUnits[cv_2027]) + SUMIF(tblAlibabaUnits[Products],$A88, tblAlibabaUnits[cv_2027]) + SUMIF(tblHuaweiUnits[Products],$A88, tblHuaweiUnits[cv_2027]) + SUMIF(tblTencentUnits[Products],$A88, tblTencentUnits[cv_2027]) + SUMIF(tblBaiduUnits[Products],$A88, tblBaiduUnits[cv_2027]) + SUMIF(tblByteDanceUnits[Products],$A88, tblByteDanceUnits[cv_2027]) + SUMIF(tblCloudAOUnits[Products],$A88, tblCloudAOUnits[cv_2027])</f>
        <v>0</v>
      </c>
      <c r="L88" s="8">
        <f xml:space="preserve"> SUMIF(tblGoogleUnits[Products],$A88, tblGoogleUnits[cv_2028]) + SUMIF(tblMetaUnits[Products],$A88, tblMetaUnits[cv_2028]) + SUMIF(tblAmazonUnits[Products],$A88, tblAmazonUnits[cv_2028]) + SUMIF(tblMicrosoftUnits[Products],$A88, tblMicrosoftUnits[cv_2028]) + SUMIF(tblAppleUnits[Products],$A88, tblAppleUnits[cv_2028]) + SUMIF(tblAlibabaUnits[Products],$A88, tblAlibabaUnits[cv_2028]) + SUMIF(tblHuaweiUnits[Products],$A88, tblHuaweiUnits[cv_2028]) + SUMIF(tblTencentUnits[Products],$A88, tblTencentUnits[cv_2028]) + SUMIF(tblBaiduUnits[Products],$A88, tblBaiduUnits[cv_2028]) + SUMIF(tblByteDanceUnits[Products],$A88, tblByteDanceUnits[cv_2028]) + SUMIF(tblCloudAOUnits[Products],$A88, tblCloudAOUnits[cv_2028])</f>
        <v>0</v>
      </c>
      <c r="M88" s="122">
        <f>10^-6*B88*INDEX(TotalMarket!$M$26:$W$125,MATCH($A88,$A$11:$A$132,0),MATCH(M$10,$M$10:$W$10))</f>
        <v>0</v>
      </c>
      <c r="N88" s="122">
        <f>10^-6*C88*INDEX(TotalMarket!$M$26:$W$125,MATCH($A88,$A$11:$A$132,0),MATCH(N$10,$M$10:$W$10))</f>
        <v>0</v>
      </c>
      <c r="O88" s="122">
        <f>10^-6*D88*INDEX(TotalMarket!$M$26:$W$125,MATCH($A88,$A$11:$A$132,0),MATCH(O$10,$M$10:$W$10))</f>
        <v>0</v>
      </c>
      <c r="P88" s="122">
        <f>10^-6*E88*INDEX(TotalMarket!$M$26:$W$125,MATCH($A88,$A$11:$A$132,0),MATCH(P$10,$M$10:$W$10))</f>
        <v>0</v>
      </c>
      <c r="Q88" s="122">
        <f>10^-6*F88*INDEX(TotalMarket!$M$26:$W$125,MATCH($A88,$A$11:$A$132,0),MATCH(Q$10,$M$10:$W$10))</f>
        <v>0</v>
      </c>
      <c r="R88" s="122">
        <f>10^-6*G88*INDEX(TotalMarket!$M$26:$W$125,MATCH($A88,$A$11:$A$132,0),MATCH(R$10,$M$10:$W$10))</f>
        <v>0</v>
      </c>
      <c r="S88" s="122">
        <f>10^-6*H88*INDEX(TotalMarket!$M$26:$W$125,MATCH($A88,$A$11:$A$132,0),MATCH(S$10,$M$10:$W$10))</f>
        <v>0</v>
      </c>
      <c r="T88" s="122">
        <f>10^-6*I88*INDEX(TotalMarket!$M$26:$W$125,MATCH($A88,$A$11:$A$132,0),MATCH(T$10,$M$10:$W$10))</f>
        <v>0</v>
      </c>
      <c r="U88" s="122">
        <f>10^-6*J88*INDEX(TotalMarket!$M$26:$W$125,MATCH($A88,$A$11:$A$132,0),MATCH(U$10,$M$10:$W$10))</f>
        <v>0</v>
      </c>
      <c r="V88" s="122">
        <f>10^-6*K88*INDEX(TotalMarket!$M$26:$W$125,MATCH($A88,$A$11:$A$132,0),MATCH(V$10,$M$10:$W$10))</f>
        <v>0</v>
      </c>
      <c r="W88" s="122">
        <f>10^-6*L88*INDEX(TotalMarket!$M$26:$W$125,MATCH($A88,$A$11:$A$132,0),MATCH(W$10,$M$10:$W$10))</f>
        <v>0</v>
      </c>
      <c r="X88" s="1">
        <f>VLOOKUP(A88,Products!$A$29:$F$110,6,FALSE)</f>
        <v>3200</v>
      </c>
    </row>
    <row r="89" spans="1:24">
      <c r="A89" s="113" t="s">
        <v>196</v>
      </c>
      <c r="B89" s="73">
        <f xml:space="preserve"> SUMIF(tblGoogleUnits[Products],$A89, tblGoogleUnits[cv_2018]) + SUMIF(tblMetaUnits[Products],$A89, tblMetaUnits[cv_2018]) + SUMIF(tblAmazonUnits[Products],$A89, tblAmazonUnits[cv_2018]) + SUMIF(tblMicrosoftUnits[Products],$A89, tblMicrosoftUnits[cv_2018]) + SUMIF(tblAppleUnits[Products],$A89, tblAppleUnits[cv_2018]) + SUMIF(tblAlibabaUnits[Products],$A89, tblAlibabaUnits[cv_2018]) + SUMIF(tblHuaweiUnits[Products],$A89, tblHuaweiUnits[cv_2018]) + SUMIF(tblTencentUnits[Products],$A89, tblTencentUnits[cv_2018]) + SUMIF(tblBaiduUnits[Products],$A89, tblBaiduUnits[cv_2018]) + SUMIF(tblByteDanceUnits[Products],$A89, tblByteDanceUnits[cv_2018]) + SUMIF(tblCloudAOUnits[Products],$A89, tblCloudAOUnits[cv_2018])</f>
        <v>0</v>
      </c>
      <c r="C89" s="73">
        <f xml:space="preserve"> SUMIF(tblGoogleUnits[Products],$A89, tblGoogleUnits[cv_2019]) + SUMIF(tblMetaUnits[Products],$A89, tblMetaUnits[cv_2019]) + SUMIF(tblAmazonUnits[Products],$A89, tblAmazonUnits[cv_2019]) + SUMIF(tblMicrosoftUnits[Products],$A89, tblMicrosoftUnits[cv_2019]) + SUMIF(tblAppleUnits[Products],$A89, tblAppleUnits[cv_2019]) + SUMIF(tblAlibabaUnits[Products],$A89, tblAlibabaUnits[cv_2019]) + SUMIF(tblHuaweiUnits[Products],$A89, tblHuaweiUnits[cv_2019]) + SUMIF(tblTencentUnits[Products],$A89, tblTencentUnits[cv_2019]) + SUMIF(tblBaiduUnits[Products],$A89, tblBaiduUnits[cv_2019]) + SUMIF(tblByteDanceUnits[Products],$A89, tblByteDanceUnits[cv_2019]) + SUMIF(tblCloudAOUnits[Products],$A89, tblCloudAOUnits[cv_2019])</f>
        <v>0</v>
      </c>
      <c r="D89" s="73">
        <f xml:space="preserve"> SUMIF(tblGoogleUnits[Products],$A89, tblGoogleUnits[cv_2020]) + SUMIF(tblMetaUnits[Products],$A89, tblMetaUnits[cv_2020]) + SUMIF(tblAmazonUnits[Products],$A89, tblAmazonUnits[cv_2020]) + SUMIF(tblMicrosoftUnits[Products],$A89, tblMicrosoftUnits[cv_2020]) + SUMIF(tblAppleUnits[Products],$A89, tblAppleUnits[cv_2020]) + SUMIF(tblAlibabaUnits[Products],$A89, tblAlibabaUnits[cv_2020]) + SUMIF(tblHuaweiUnits[Products],$A89, tblHuaweiUnits[cv_2020]) + SUMIF(tblTencentUnits[Products],$A89, tblTencentUnits[cv_2020]) + SUMIF(tblBaiduUnits[Products],$A89, tblBaiduUnits[cv_2020]) + SUMIF(tblByteDanceUnits[Products],$A89, tblByteDanceUnits[cv_2020]) + SUMIF(tblCloudAOUnits[Products],$A89, tblCloudAOUnits[cv_2020])</f>
        <v>0</v>
      </c>
      <c r="E89" s="73">
        <f xml:space="preserve"> SUMIF(tblGoogleUnits[Products],$A89, tblGoogleUnits[cv_2021]) + SUMIF(tblMetaUnits[Products],$A89, tblMetaUnits[cv_2021]) + SUMIF(tblAmazonUnits[Products],$A89, tblAmazonUnits[cv_2021]) + SUMIF(tblMicrosoftUnits[Products],$A89, tblMicrosoftUnits[cv_2021]) + SUMIF(tblAppleUnits[Products],$A89, tblAppleUnits[cv_2021]) + SUMIF(tblAlibabaUnits[Products],$A89, tblAlibabaUnits[cv_2021]) + SUMIF(tblHuaweiUnits[Products],$A89, tblHuaweiUnits[cv_2021]) + SUMIF(tblTencentUnits[Products],$A89, tblTencentUnits[cv_2021]) + SUMIF(tblBaiduUnits[Products],$A89, tblBaiduUnits[cv_2021]) + SUMIF(tblByteDanceUnits[Products],$A89, tblByteDanceUnits[cv_2021]) + SUMIF(tblCloudAOUnits[Products],$A89, tblCloudAOUnits[cv_2021])</f>
        <v>0</v>
      </c>
      <c r="F89" s="73">
        <f xml:space="preserve"> SUMIF(tblGoogleUnits[Products],$A89, tblGoogleUnits[cv_2022]) + SUMIF(tblMetaUnits[Products],$A89, tblMetaUnits[cv_2022]) + SUMIF(tblAmazonUnits[Products],$A89, tblAmazonUnits[cv_2022]) + SUMIF(tblMicrosoftUnits[Products],$A89, tblMicrosoftUnits[cv_2022]) + SUMIF(tblAppleUnits[Products],$A89, tblAppleUnits[cv_2022]) + SUMIF(tblAlibabaUnits[Products],$A89, tblAlibabaUnits[cv_2022]) + SUMIF(tblHuaweiUnits[Products],$A89, tblHuaweiUnits[cv_2022]) + SUMIF(tblTencentUnits[Products],$A89, tblTencentUnits[cv_2022]) + SUMIF(tblBaiduUnits[Products],$A89, tblBaiduUnits[cv_2022]) + SUMIF(tblByteDanceUnits[Products],$A89, tblByteDanceUnits[cv_2022]) + SUMIF(tblCloudAOUnits[Products],$A89, tblCloudAOUnits[cv_2022])</f>
        <v>0</v>
      </c>
      <c r="G89" s="73">
        <f xml:space="preserve"> SUMIF(tblGoogleUnits[Products],$A89, tblGoogleUnits[cv_2023]) + SUMIF(tblMetaUnits[Products],$A89, tblMetaUnits[cv_2023]) + SUMIF(tblAmazonUnits[Products],$A89, tblAmazonUnits[cv_2023]) + SUMIF(tblMicrosoftUnits[Products],$A89, tblMicrosoftUnits[cv_2023]) + SUMIF(tblAppleUnits[Products],$A89, tblAppleUnits[cv_2023]) + SUMIF(tblAlibabaUnits[Products],$A89, tblAlibabaUnits[cv_2023]) + SUMIF(tblHuaweiUnits[Products],$A89, tblHuaweiUnits[cv_2023]) + SUMIF(tblTencentUnits[Products],$A89, tblTencentUnits[cv_2023]) + SUMIF(tblBaiduUnits[Products],$A89, tblBaiduUnits[cv_2023]) + SUMIF(tblByteDanceUnits[Products],$A89, tblByteDanceUnits[cv_2023]) + SUMIF(tblCloudAOUnits[Products],$A89, tblCloudAOUnits[cv_2023])</f>
        <v>0</v>
      </c>
      <c r="H89" s="73">
        <f xml:space="preserve"> SUMIF(tblGoogleUnits[Products],$A89, tblGoogleUnits[cv_2024]) + SUMIF(tblMetaUnits[Products],$A89, tblMetaUnits[cv_2024]) + SUMIF(tblAmazonUnits[Products],$A89, tblAmazonUnits[cv_2024]) + SUMIF(tblMicrosoftUnits[Products],$A89, tblMicrosoftUnits[cv_2024]) + SUMIF(tblAppleUnits[Products],$A89, tblAppleUnits[cv_2024]) + SUMIF(tblAlibabaUnits[Products],$A89, tblAlibabaUnits[cv_2024]) + SUMIF(tblHuaweiUnits[Products],$A89, tblHuaweiUnits[cv_2024]) + SUMIF(tblTencentUnits[Products],$A89, tblTencentUnits[cv_2024]) + SUMIF(tblBaiduUnits[Products],$A89, tblBaiduUnits[cv_2024]) + SUMIF(tblByteDanceUnits[Products],$A89, tblByteDanceUnits[cv_2024]) + SUMIF(tblCloudAOUnits[Products],$A89, tblCloudAOUnits[cv_2024])</f>
        <v>0</v>
      </c>
      <c r="I89" s="73">
        <f xml:space="preserve"> SUMIF(tblGoogleUnits[Products],$A89, tblGoogleUnits[cv_2025]) + SUMIF(tblMetaUnits[Products],$A89, tblMetaUnits[cv_2025]) + SUMIF(tblAmazonUnits[Products],$A89, tblAmazonUnits[cv_2025]) + SUMIF(tblMicrosoftUnits[Products],$A89, tblMicrosoftUnits[cv_2025]) + SUMIF(tblAppleUnits[Products],$A89, tblAppleUnits[cv_2025]) + SUMIF(tblAlibabaUnits[Products],$A89, tblAlibabaUnits[cv_2025]) + SUMIF(tblHuaweiUnits[Products],$A89, tblHuaweiUnits[cv_2025]) + SUMIF(tblTencentUnits[Products],$A89, tblTencentUnits[cv_2025]) + SUMIF(tblBaiduUnits[Products],$A89, tblBaiduUnits[cv_2025]) + SUMIF(tblByteDanceUnits[Products],$A89, tblByteDanceUnits[cv_2025]) + SUMIF(tblCloudAOUnits[Products],$A89, tblCloudAOUnits[cv_2025])</f>
        <v>0</v>
      </c>
      <c r="J89" s="73">
        <f xml:space="preserve"> SUMIF(tblGoogleUnits[Products],$A89, tblGoogleUnits[cv_2026]) + SUMIF(tblMetaUnits[Products],$A89, tblMetaUnits[cv_2026]) + SUMIF(tblAmazonUnits[Products],$A89, tblAmazonUnits[cv_2026]) + SUMIF(tblMicrosoftUnits[Products],$A89, tblMicrosoftUnits[cv_2026]) + SUMIF(tblAppleUnits[Products],$A89, tblAppleUnits[cv_2026]) + SUMIF(tblAlibabaUnits[Products],$A89, tblAlibabaUnits[cv_2026]) + SUMIF(tblHuaweiUnits[Products],$A89, tblHuaweiUnits[cv_2026]) + SUMIF(tblTencentUnits[Products],$A89, tblTencentUnits[cv_2026]) + SUMIF(tblBaiduUnits[Products],$A89, tblBaiduUnits[cv_2026]) + SUMIF(tblByteDanceUnits[Products],$A89, tblByteDanceUnits[cv_2026]) + SUMIF(tblCloudAOUnits[Products],$A89, tblCloudAOUnits[cv_2026])</f>
        <v>0</v>
      </c>
      <c r="K89" s="73">
        <f xml:space="preserve"> SUMIF(tblGoogleUnits[Products],$A89, tblGoogleUnits[cv_2027]) + SUMIF(tblMetaUnits[Products],$A89, tblMetaUnits[cv_2027]) + SUMIF(tblAmazonUnits[Products],$A89, tblAmazonUnits[cv_2027]) + SUMIF(tblMicrosoftUnits[Products],$A89, tblMicrosoftUnits[cv_2027]) + SUMIF(tblAppleUnits[Products],$A89, tblAppleUnits[cv_2027]) + SUMIF(tblAlibabaUnits[Products],$A89, tblAlibabaUnits[cv_2027]) + SUMIF(tblHuaweiUnits[Products],$A89, tblHuaweiUnits[cv_2027]) + SUMIF(tblTencentUnits[Products],$A89, tblTencentUnits[cv_2027]) + SUMIF(tblBaiduUnits[Products],$A89, tblBaiduUnits[cv_2027]) + SUMIF(tblByteDanceUnits[Products],$A89, tblByteDanceUnits[cv_2027]) + SUMIF(tblCloudAOUnits[Products],$A89, tblCloudAOUnits[cv_2027])</f>
        <v>0</v>
      </c>
      <c r="L89" s="73">
        <f xml:space="preserve"> SUMIF(tblGoogleUnits[Products],$A89, tblGoogleUnits[cv_2028]) + SUMIF(tblMetaUnits[Products],$A89, tblMetaUnits[cv_2028]) + SUMIF(tblAmazonUnits[Products],$A89, tblAmazonUnits[cv_2028]) + SUMIF(tblMicrosoftUnits[Products],$A89, tblMicrosoftUnits[cv_2028]) + SUMIF(tblAppleUnits[Products],$A89, tblAppleUnits[cv_2028]) + SUMIF(tblAlibabaUnits[Products],$A89, tblAlibabaUnits[cv_2028]) + SUMIF(tblHuaweiUnits[Products],$A89, tblHuaweiUnits[cv_2028]) + SUMIF(tblTencentUnits[Products],$A89, tblTencentUnits[cv_2028]) + SUMIF(tblBaiduUnits[Products],$A89, tblBaiduUnits[cv_2028]) + SUMIF(tblByteDanceUnits[Products],$A89, tblByteDanceUnits[cv_2028]) + SUMIF(tblCloudAOUnits[Products],$A89, tblCloudAOUnits[cv_2028])</f>
        <v>0</v>
      </c>
      <c r="M89" s="115">
        <f>10^-6*B89*INDEX(TotalMarket!$M$26:$W$125,MATCH($A89,$A$11:$A$132,0),MATCH(M$10,$M$10:$W$10))</f>
        <v>0</v>
      </c>
      <c r="N89" s="115">
        <f>10^-6*C89*INDEX(TotalMarket!$M$26:$W$125,MATCH($A89,$A$11:$A$132,0),MATCH(N$10,$M$10:$W$10))</f>
        <v>0</v>
      </c>
      <c r="O89" s="115">
        <f>10^-6*D89*INDEX(TotalMarket!$M$26:$W$125,MATCH($A89,$A$11:$A$132,0),MATCH(O$10,$M$10:$W$10))</f>
        <v>0</v>
      </c>
      <c r="P89" s="115">
        <f>10^-6*E89*INDEX(TotalMarket!$M$26:$W$125,MATCH($A89,$A$11:$A$132,0),MATCH(P$10,$M$10:$W$10))</f>
        <v>0</v>
      </c>
      <c r="Q89" s="115">
        <f>10^-6*F89*INDEX(TotalMarket!$M$26:$W$125,MATCH($A89,$A$11:$A$132,0),MATCH(Q$10,$M$10:$W$10))</f>
        <v>0</v>
      </c>
      <c r="R89" s="115">
        <f>10^-6*G89*INDEX(TotalMarket!$M$26:$W$125,MATCH($A89,$A$11:$A$132,0),MATCH(R$10,$M$10:$W$10))</f>
        <v>0</v>
      </c>
      <c r="S89" s="115">
        <f>10^-6*H89*INDEX(TotalMarket!$M$26:$W$125,MATCH($A89,$A$11:$A$132,0),MATCH(S$10,$M$10:$W$10))</f>
        <v>0</v>
      </c>
      <c r="T89" s="115">
        <f>10^-6*I89*INDEX(TotalMarket!$M$26:$W$125,MATCH($A89,$A$11:$A$132,0),MATCH(T$10,$M$10:$W$10))</f>
        <v>0</v>
      </c>
      <c r="U89" s="115">
        <f>10^-6*J89*INDEX(TotalMarket!$M$26:$W$125,MATCH($A89,$A$11:$A$132,0),MATCH(U$10,$M$10:$W$10))</f>
        <v>0</v>
      </c>
      <c r="V89" s="115">
        <f>10^-6*K89*INDEX(TotalMarket!$M$26:$W$125,MATCH($A89,$A$11:$A$132,0),MATCH(V$10,$M$10:$W$10))</f>
        <v>0</v>
      </c>
      <c r="W89" s="115">
        <f>10^-6*L89*INDEX(TotalMarket!$M$26:$W$125,MATCH($A89,$A$11:$A$132,0),MATCH(W$10,$M$10:$W$10))</f>
        <v>0</v>
      </c>
      <c r="X89" s="4">
        <f>VLOOKUP(A89,Products!$A$29:$F$110,6,FALSE)</f>
        <v>3200</v>
      </c>
    </row>
    <row r="90" spans="1:24">
      <c r="A90" s="15" t="s">
        <v>197</v>
      </c>
      <c r="B90" s="8">
        <f xml:space="preserve"> SUMIF(tblGoogleUnits[Products],$A90, tblGoogleUnits[cv_2018]) + SUMIF(tblMetaUnits[Products],$A90, tblMetaUnits[cv_2018]) + SUMIF(tblAmazonUnits[Products],$A90, tblAmazonUnits[cv_2018]) + SUMIF(tblMicrosoftUnits[Products],$A90, tblMicrosoftUnits[cv_2018]) + SUMIF(tblAppleUnits[Products],$A90, tblAppleUnits[cv_2018]) + SUMIF(tblAlibabaUnits[Products],$A90, tblAlibabaUnits[cv_2018]) + SUMIF(tblHuaweiUnits[Products],$A90, tblHuaweiUnits[cv_2018]) + SUMIF(tblTencentUnits[Products],$A90, tblTencentUnits[cv_2018]) + SUMIF(tblBaiduUnits[Products],$A90, tblBaiduUnits[cv_2018]) + SUMIF(tblByteDanceUnits[Products],$A90, tblByteDanceUnits[cv_2018]) + SUMIF(tblCloudAOUnits[Products],$A90, tblCloudAOUnits[cv_2018])</f>
        <v>0</v>
      </c>
      <c r="C90" s="8">
        <f xml:space="preserve"> SUMIF(tblGoogleUnits[Products],$A90, tblGoogleUnits[cv_2019]) + SUMIF(tblMetaUnits[Products],$A90, tblMetaUnits[cv_2019]) + SUMIF(tblAmazonUnits[Products],$A90, tblAmazonUnits[cv_2019]) + SUMIF(tblMicrosoftUnits[Products],$A90, tblMicrosoftUnits[cv_2019]) + SUMIF(tblAppleUnits[Products],$A90, tblAppleUnits[cv_2019]) + SUMIF(tblAlibabaUnits[Products],$A90, tblAlibabaUnits[cv_2019]) + SUMIF(tblHuaweiUnits[Products],$A90, tblHuaweiUnits[cv_2019]) + SUMIF(tblTencentUnits[Products],$A90, tblTencentUnits[cv_2019]) + SUMIF(tblBaiduUnits[Products],$A90, tblBaiduUnits[cv_2019]) + SUMIF(tblByteDanceUnits[Products],$A90, tblByteDanceUnits[cv_2019]) + SUMIF(tblCloudAOUnits[Products],$A90, tblCloudAOUnits[cv_2019])</f>
        <v>0</v>
      </c>
      <c r="D90" s="8">
        <f xml:space="preserve"> SUMIF(tblGoogleUnits[Products],$A90, tblGoogleUnits[cv_2020]) + SUMIF(tblMetaUnits[Products],$A90, tblMetaUnits[cv_2020]) + SUMIF(tblAmazonUnits[Products],$A90, tblAmazonUnits[cv_2020]) + SUMIF(tblMicrosoftUnits[Products],$A90, tblMicrosoftUnits[cv_2020]) + SUMIF(tblAppleUnits[Products],$A90, tblAppleUnits[cv_2020]) + SUMIF(tblAlibabaUnits[Products],$A90, tblAlibabaUnits[cv_2020]) + SUMIF(tblHuaweiUnits[Products],$A90, tblHuaweiUnits[cv_2020]) + SUMIF(tblTencentUnits[Products],$A90, tblTencentUnits[cv_2020]) + SUMIF(tblBaiduUnits[Products],$A90, tblBaiduUnits[cv_2020]) + SUMIF(tblByteDanceUnits[Products],$A90, tblByteDanceUnits[cv_2020]) + SUMIF(tblCloudAOUnits[Products],$A90, tblCloudAOUnits[cv_2020])</f>
        <v>0</v>
      </c>
      <c r="E90" s="8">
        <f xml:space="preserve"> SUMIF(tblGoogleUnits[Products],$A90, tblGoogleUnits[cv_2021]) + SUMIF(tblMetaUnits[Products],$A90, tblMetaUnits[cv_2021]) + SUMIF(tblAmazonUnits[Products],$A90, tblAmazonUnits[cv_2021]) + SUMIF(tblMicrosoftUnits[Products],$A90, tblMicrosoftUnits[cv_2021]) + SUMIF(tblAppleUnits[Products],$A90, tblAppleUnits[cv_2021]) + SUMIF(tblAlibabaUnits[Products],$A90, tblAlibabaUnits[cv_2021]) + SUMIF(tblHuaweiUnits[Products],$A90, tblHuaweiUnits[cv_2021]) + SUMIF(tblTencentUnits[Products],$A90, tblTencentUnits[cv_2021]) + SUMIF(tblBaiduUnits[Products],$A90, tblBaiduUnits[cv_2021]) + SUMIF(tblByteDanceUnits[Products],$A90, tblByteDanceUnits[cv_2021]) + SUMIF(tblCloudAOUnits[Products],$A90, tblCloudAOUnits[cv_2021])</f>
        <v>0</v>
      </c>
      <c r="F90" s="8">
        <f xml:space="preserve"> SUMIF(tblGoogleUnits[Products],$A90, tblGoogleUnits[cv_2022]) + SUMIF(tblMetaUnits[Products],$A90, tblMetaUnits[cv_2022]) + SUMIF(tblAmazonUnits[Products],$A90, tblAmazonUnits[cv_2022]) + SUMIF(tblMicrosoftUnits[Products],$A90, tblMicrosoftUnits[cv_2022]) + SUMIF(tblAppleUnits[Products],$A90, tblAppleUnits[cv_2022]) + SUMIF(tblAlibabaUnits[Products],$A90, tblAlibabaUnits[cv_2022]) + SUMIF(tblHuaweiUnits[Products],$A90, tblHuaweiUnits[cv_2022]) + SUMIF(tblTencentUnits[Products],$A90, tblTencentUnits[cv_2022]) + SUMIF(tblBaiduUnits[Products],$A90, tblBaiduUnits[cv_2022]) + SUMIF(tblByteDanceUnits[Products],$A90, tblByteDanceUnits[cv_2022]) + SUMIF(tblCloudAOUnits[Products],$A90, tblCloudAOUnits[cv_2022])</f>
        <v>0</v>
      </c>
      <c r="G90" s="8">
        <f xml:space="preserve"> SUMIF(tblGoogleUnits[Products],$A90, tblGoogleUnits[cv_2023]) + SUMIF(tblMetaUnits[Products],$A90, tblMetaUnits[cv_2023]) + SUMIF(tblAmazonUnits[Products],$A90, tblAmazonUnits[cv_2023]) + SUMIF(tblMicrosoftUnits[Products],$A90, tblMicrosoftUnits[cv_2023]) + SUMIF(tblAppleUnits[Products],$A90, tblAppleUnits[cv_2023]) + SUMIF(tblAlibabaUnits[Products],$A90, tblAlibabaUnits[cv_2023]) + SUMIF(tblHuaweiUnits[Products],$A90, tblHuaweiUnits[cv_2023]) + SUMIF(tblTencentUnits[Products],$A90, tblTencentUnits[cv_2023]) + SUMIF(tblBaiduUnits[Products],$A90, tblBaiduUnits[cv_2023]) + SUMIF(tblByteDanceUnits[Products],$A90, tblByteDanceUnits[cv_2023]) + SUMIF(tblCloudAOUnits[Products],$A90, tblCloudAOUnits[cv_2023])</f>
        <v>0</v>
      </c>
      <c r="H90" s="8">
        <f xml:space="preserve"> SUMIF(tblGoogleUnits[Products],$A90, tblGoogleUnits[cv_2024]) + SUMIF(tblMetaUnits[Products],$A90, tblMetaUnits[cv_2024]) + SUMIF(tblAmazonUnits[Products],$A90, tblAmazonUnits[cv_2024]) + SUMIF(tblMicrosoftUnits[Products],$A90, tblMicrosoftUnits[cv_2024]) + SUMIF(tblAppleUnits[Products],$A90, tblAppleUnits[cv_2024]) + SUMIF(tblAlibabaUnits[Products],$A90, tblAlibabaUnits[cv_2024]) + SUMIF(tblHuaweiUnits[Products],$A90, tblHuaweiUnits[cv_2024]) + SUMIF(tblTencentUnits[Products],$A90, tblTencentUnits[cv_2024]) + SUMIF(tblBaiduUnits[Products],$A90, tblBaiduUnits[cv_2024]) + SUMIF(tblByteDanceUnits[Products],$A90, tblByteDanceUnits[cv_2024]) + SUMIF(tblCloudAOUnits[Products],$A90, tblCloudAOUnits[cv_2024])</f>
        <v>0</v>
      </c>
      <c r="I90" s="8">
        <f xml:space="preserve"> SUMIF(tblGoogleUnits[Products],$A90, tblGoogleUnits[cv_2025]) + SUMIF(tblMetaUnits[Products],$A90, tblMetaUnits[cv_2025]) + SUMIF(tblAmazonUnits[Products],$A90, tblAmazonUnits[cv_2025]) + SUMIF(tblMicrosoftUnits[Products],$A90, tblMicrosoftUnits[cv_2025]) + SUMIF(tblAppleUnits[Products],$A90, tblAppleUnits[cv_2025]) + SUMIF(tblAlibabaUnits[Products],$A90, tblAlibabaUnits[cv_2025]) + SUMIF(tblHuaweiUnits[Products],$A90, tblHuaweiUnits[cv_2025]) + SUMIF(tblTencentUnits[Products],$A90, tblTencentUnits[cv_2025]) + SUMIF(tblBaiduUnits[Products],$A90, tblBaiduUnits[cv_2025]) + SUMIF(tblByteDanceUnits[Products],$A90, tblByteDanceUnits[cv_2025]) + SUMIF(tblCloudAOUnits[Products],$A90, tblCloudAOUnits[cv_2025])</f>
        <v>0</v>
      </c>
      <c r="J90" s="8">
        <f xml:space="preserve"> SUMIF(tblGoogleUnits[Products],$A90, tblGoogleUnits[cv_2026]) + SUMIF(tblMetaUnits[Products],$A90, tblMetaUnits[cv_2026]) + SUMIF(tblAmazonUnits[Products],$A90, tblAmazonUnits[cv_2026]) + SUMIF(tblMicrosoftUnits[Products],$A90, tblMicrosoftUnits[cv_2026]) + SUMIF(tblAppleUnits[Products],$A90, tblAppleUnits[cv_2026]) + SUMIF(tblAlibabaUnits[Products],$A90, tblAlibabaUnits[cv_2026]) + SUMIF(tblHuaweiUnits[Products],$A90, tblHuaweiUnits[cv_2026]) + SUMIF(tblTencentUnits[Products],$A90, tblTencentUnits[cv_2026]) + SUMIF(tblBaiduUnits[Products],$A90, tblBaiduUnits[cv_2026]) + SUMIF(tblByteDanceUnits[Products],$A90, tblByteDanceUnits[cv_2026]) + SUMIF(tblCloudAOUnits[Products],$A90, tblCloudAOUnits[cv_2026])</f>
        <v>0</v>
      </c>
      <c r="K90" s="8">
        <f xml:space="preserve"> SUMIF(tblGoogleUnits[Products],$A90, tblGoogleUnits[cv_2027]) + SUMIF(tblMetaUnits[Products],$A90, tblMetaUnits[cv_2027]) + SUMIF(tblAmazonUnits[Products],$A90, tblAmazonUnits[cv_2027]) + SUMIF(tblMicrosoftUnits[Products],$A90, tblMicrosoftUnits[cv_2027]) + SUMIF(tblAppleUnits[Products],$A90, tblAppleUnits[cv_2027]) + SUMIF(tblAlibabaUnits[Products],$A90, tblAlibabaUnits[cv_2027]) + SUMIF(tblHuaweiUnits[Products],$A90, tblHuaweiUnits[cv_2027]) + SUMIF(tblTencentUnits[Products],$A90, tblTencentUnits[cv_2027]) + SUMIF(tblBaiduUnits[Products],$A90, tblBaiduUnits[cv_2027]) + SUMIF(tblByteDanceUnits[Products],$A90, tblByteDanceUnits[cv_2027]) + SUMIF(tblCloudAOUnits[Products],$A90, tblCloudAOUnits[cv_2027])</f>
        <v>0</v>
      </c>
      <c r="L90" s="8">
        <f xml:space="preserve"> SUMIF(tblGoogleUnits[Products],$A90, tblGoogleUnits[cv_2028]) + SUMIF(tblMetaUnits[Products],$A90, tblMetaUnits[cv_2028]) + SUMIF(tblAmazonUnits[Products],$A90, tblAmazonUnits[cv_2028]) + SUMIF(tblMicrosoftUnits[Products],$A90, tblMicrosoftUnits[cv_2028]) + SUMIF(tblAppleUnits[Products],$A90, tblAppleUnits[cv_2028]) + SUMIF(tblAlibabaUnits[Products],$A90, tblAlibabaUnits[cv_2028]) + SUMIF(tblHuaweiUnits[Products],$A90, tblHuaweiUnits[cv_2028]) + SUMIF(tblTencentUnits[Products],$A90, tblTencentUnits[cv_2028]) + SUMIF(tblBaiduUnits[Products],$A90, tblBaiduUnits[cv_2028]) + SUMIF(tblByteDanceUnits[Products],$A90, tblByteDanceUnits[cv_2028]) + SUMIF(tblCloudAOUnits[Products],$A90, tblCloudAOUnits[cv_2028])</f>
        <v>0</v>
      </c>
      <c r="M90" s="122">
        <f>10^-6*B90*INDEX(TotalMarket!$M$26:$W$125,MATCH($A90,$A$11:$A$132,0),MATCH(M$10,$M$10:$W$10))</f>
        <v>0</v>
      </c>
      <c r="N90" s="122">
        <f>10^-6*C90*INDEX(TotalMarket!$M$26:$W$125,MATCH($A90,$A$11:$A$132,0),MATCH(N$10,$M$10:$W$10))</f>
        <v>0</v>
      </c>
      <c r="O90" s="122">
        <f>10^-6*D90*INDEX(TotalMarket!$M$26:$W$125,MATCH($A90,$A$11:$A$132,0),MATCH(O$10,$M$10:$W$10))</f>
        <v>0</v>
      </c>
      <c r="P90" s="122">
        <f>10^-6*E90*INDEX(TotalMarket!$M$26:$W$125,MATCH($A90,$A$11:$A$132,0),MATCH(P$10,$M$10:$W$10))</f>
        <v>0</v>
      </c>
      <c r="Q90" s="122">
        <f>10^-6*F90*INDEX(TotalMarket!$M$26:$W$125,MATCH($A90,$A$11:$A$132,0),MATCH(Q$10,$M$10:$W$10))</f>
        <v>0</v>
      </c>
      <c r="R90" s="122">
        <f>10^-6*G90*INDEX(TotalMarket!$M$26:$W$125,MATCH($A90,$A$11:$A$132,0),MATCH(R$10,$M$10:$W$10))</f>
        <v>0</v>
      </c>
      <c r="S90" s="122">
        <f>10^-6*H90*INDEX(TotalMarket!$M$26:$W$125,MATCH($A90,$A$11:$A$132,0),MATCH(S$10,$M$10:$W$10))</f>
        <v>0</v>
      </c>
      <c r="T90" s="122">
        <f>10^-6*I90*INDEX(TotalMarket!$M$26:$W$125,MATCH($A90,$A$11:$A$132,0),MATCH(T$10,$M$10:$W$10))</f>
        <v>0</v>
      </c>
      <c r="U90" s="122">
        <f>10^-6*J90*INDEX(TotalMarket!$M$26:$W$125,MATCH($A90,$A$11:$A$132,0),MATCH(U$10,$M$10:$W$10))</f>
        <v>0</v>
      </c>
      <c r="V90" s="122">
        <f>10^-6*K90*INDEX(TotalMarket!$M$26:$W$125,MATCH($A90,$A$11:$A$132,0),MATCH(V$10,$M$10:$W$10))</f>
        <v>0</v>
      </c>
      <c r="W90" s="122">
        <f>10^-6*L90*INDEX(TotalMarket!$M$26:$W$125,MATCH($A90,$A$11:$A$132,0),MATCH(W$10,$M$10:$W$10))</f>
        <v>0</v>
      </c>
      <c r="X90" s="1">
        <f>VLOOKUP(A90,Products!$A$29:$F$110,6,FALSE)</f>
        <v>10</v>
      </c>
    </row>
    <row r="91" spans="1:24">
      <c r="A91" s="15" t="s">
        <v>198</v>
      </c>
      <c r="B91" s="8">
        <f xml:space="preserve"> SUMIF(tblGoogleUnits[Products],$A91, tblGoogleUnits[cv_2018]) + SUMIF(tblMetaUnits[Products],$A91, tblMetaUnits[cv_2018]) + SUMIF(tblAmazonUnits[Products],$A91, tblAmazonUnits[cv_2018]) + SUMIF(tblMicrosoftUnits[Products],$A91, tblMicrosoftUnits[cv_2018]) + SUMIF(tblAppleUnits[Products],$A91, tblAppleUnits[cv_2018]) + SUMIF(tblAlibabaUnits[Products],$A91, tblAlibabaUnits[cv_2018]) + SUMIF(tblHuaweiUnits[Products],$A91, tblHuaweiUnits[cv_2018]) + SUMIF(tblTencentUnits[Products],$A91, tblTencentUnits[cv_2018]) + SUMIF(tblBaiduUnits[Products],$A91, tblBaiduUnits[cv_2018]) + SUMIF(tblByteDanceUnits[Products],$A91, tblByteDanceUnits[cv_2018]) + SUMIF(tblCloudAOUnits[Products],$A91, tblCloudAOUnits[cv_2018])</f>
        <v>0</v>
      </c>
      <c r="C91" s="8">
        <f xml:space="preserve"> SUMIF(tblGoogleUnits[Products],$A91, tblGoogleUnits[cv_2019]) + SUMIF(tblMetaUnits[Products],$A91, tblMetaUnits[cv_2019]) + SUMIF(tblAmazonUnits[Products],$A91, tblAmazonUnits[cv_2019]) + SUMIF(tblMicrosoftUnits[Products],$A91, tblMicrosoftUnits[cv_2019]) + SUMIF(tblAppleUnits[Products],$A91, tblAppleUnits[cv_2019]) + SUMIF(tblAlibabaUnits[Products],$A91, tblAlibabaUnits[cv_2019]) + SUMIF(tblHuaweiUnits[Products],$A91, tblHuaweiUnits[cv_2019]) + SUMIF(tblTencentUnits[Products],$A91, tblTencentUnits[cv_2019]) + SUMIF(tblBaiduUnits[Products],$A91, tblBaiduUnits[cv_2019]) + SUMIF(tblByteDanceUnits[Products],$A91, tblByteDanceUnits[cv_2019]) + SUMIF(tblCloudAOUnits[Products],$A91, tblCloudAOUnits[cv_2019])</f>
        <v>0</v>
      </c>
      <c r="D91" s="8">
        <f xml:space="preserve"> SUMIF(tblGoogleUnits[Products],$A91, tblGoogleUnits[cv_2020]) + SUMIF(tblMetaUnits[Products],$A91, tblMetaUnits[cv_2020]) + SUMIF(tblAmazonUnits[Products],$A91, tblAmazonUnits[cv_2020]) + SUMIF(tblMicrosoftUnits[Products],$A91, tblMicrosoftUnits[cv_2020]) + SUMIF(tblAppleUnits[Products],$A91, tblAppleUnits[cv_2020]) + SUMIF(tblAlibabaUnits[Products],$A91, tblAlibabaUnits[cv_2020]) + SUMIF(tblHuaweiUnits[Products],$A91, tblHuaweiUnits[cv_2020]) + SUMIF(tblTencentUnits[Products],$A91, tblTencentUnits[cv_2020]) + SUMIF(tblBaiduUnits[Products],$A91, tblBaiduUnits[cv_2020]) + SUMIF(tblByteDanceUnits[Products],$A91, tblByteDanceUnits[cv_2020]) + SUMIF(tblCloudAOUnits[Products],$A91, tblCloudAOUnits[cv_2020])</f>
        <v>0</v>
      </c>
      <c r="E91" s="8">
        <f xml:space="preserve"> SUMIF(tblGoogleUnits[Products],$A91, tblGoogleUnits[cv_2021]) + SUMIF(tblMetaUnits[Products],$A91, tblMetaUnits[cv_2021]) + SUMIF(tblAmazonUnits[Products],$A91, tblAmazonUnits[cv_2021]) + SUMIF(tblMicrosoftUnits[Products],$A91, tblMicrosoftUnits[cv_2021]) + SUMIF(tblAppleUnits[Products],$A91, tblAppleUnits[cv_2021]) + SUMIF(tblAlibabaUnits[Products],$A91, tblAlibabaUnits[cv_2021]) + SUMIF(tblHuaweiUnits[Products],$A91, tblHuaweiUnits[cv_2021]) + SUMIF(tblTencentUnits[Products],$A91, tblTencentUnits[cv_2021]) + SUMIF(tblBaiduUnits[Products],$A91, tblBaiduUnits[cv_2021]) + SUMIF(tblByteDanceUnits[Products],$A91, tblByteDanceUnits[cv_2021]) + SUMIF(tblCloudAOUnits[Products],$A91, tblCloudAOUnits[cv_2021])</f>
        <v>0</v>
      </c>
      <c r="F91" s="8">
        <f xml:space="preserve"> SUMIF(tblGoogleUnits[Products],$A91, tblGoogleUnits[cv_2022]) + SUMIF(tblMetaUnits[Products],$A91, tblMetaUnits[cv_2022]) + SUMIF(tblAmazonUnits[Products],$A91, tblAmazonUnits[cv_2022]) + SUMIF(tblMicrosoftUnits[Products],$A91, tblMicrosoftUnits[cv_2022]) + SUMIF(tblAppleUnits[Products],$A91, tblAppleUnits[cv_2022]) + SUMIF(tblAlibabaUnits[Products],$A91, tblAlibabaUnits[cv_2022]) + SUMIF(tblHuaweiUnits[Products],$A91, tblHuaweiUnits[cv_2022]) + SUMIF(tblTencentUnits[Products],$A91, tblTencentUnits[cv_2022]) + SUMIF(tblBaiduUnits[Products],$A91, tblBaiduUnits[cv_2022]) + SUMIF(tblByteDanceUnits[Products],$A91, tblByteDanceUnits[cv_2022]) + SUMIF(tblCloudAOUnits[Products],$A91, tblCloudAOUnits[cv_2022])</f>
        <v>0</v>
      </c>
      <c r="G91" s="8">
        <f xml:space="preserve"> SUMIF(tblGoogleUnits[Products],$A91, tblGoogleUnits[cv_2023]) + SUMIF(tblMetaUnits[Products],$A91, tblMetaUnits[cv_2023]) + SUMIF(tblAmazonUnits[Products],$A91, tblAmazonUnits[cv_2023]) + SUMIF(tblMicrosoftUnits[Products],$A91, tblMicrosoftUnits[cv_2023]) + SUMIF(tblAppleUnits[Products],$A91, tblAppleUnits[cv_2023]) + SUMIF(tblAlibabaUnits[Products],$A91, tblAlibabaUnits[cv_2023]) + SUMIF(tblHuaweiUnits[Products],$A91, tblHuaweiUnits[cv_2023]) + SUMIF(tblTencentUnits[Products],$A91, tblTencentUnits[cv_2023]) + SUMIF(tblBaiduUnits[Products],$A91, tblBaiduUnits[cv_2023]) + SUMIF(tblByteDanceUnits[Products],$A91, tblByteDanceUnits[cv_2023]) + SUMIF(tblCloudAOUnits[Products],$A91, tblCloudAOUnits[cv_2023])</f>
        <v>0</v>
      </c>
      <c r="H91" s="8">
        <f xml:space="preserve"> SUMIF(tblGoogleUnits[Products],$A91, tblGoogleUnits[cv_2024]) + SUMIF(tblMetaUnits[Products],$A91, tblMetaUnits[cv_2024]) + SUMIF(tblAmazonUnits[Products],$A91, tblAmazonUnits[cv_2024]) + SUMIF(tblMicrosoftUnits[Products],$A91, tblMicrosoftUnits[cv_2024]) + SUMIF(tblAppleUnits[Products],$A91, tblAppleUnits[cv_2024]) + SUMIF(tblAlibabaUnits[Products],$A91, tblAlibabaUnits[cv_2024]) + SUMIF(tblHuaweiUnits[Products],$A91, tblHuaweiUnits[cv_2024]) + SUMIF(tblTencentUnits[Products],$A91, tblTencentUnits[cv_2024]) + SUMIF(tblBaiduUnits[Products],$A91, tblBaiduUnits[cv_2024]) + SUMIF(tblByteDanceUnits[Products],$A91, tblByteDanceUnits[cv_2024]) + SUMIF(tblCloudAOUnits[Products],$A91, tblCloudAOUnits[cv_2024])</f>
        <v>0</v>
      </c>
      <c r="I91" s="8">
        <f xml:space="preserve"> SUMIF(tblGoogleUnits[Products],$A91, tblGoogleUnits[cv_2025]) + SUMIF(tblMetaUnits[Products],$A91, tblMetaUnits[cv_2025]) + SUMIF(tblAmazonUnits[Products],$A91, tblAmazonUnits[cv_2025]) + SUMIF(tblMicrosoftUnits[Products],$A91, tblMicrosoftUnits[cv_2025]) + SUMIF(tblAppleUnits[Products],$A91, tblAppleUnits[cv_2025]) + SUMIF(tblAlibabaUnits[Products],$A91, tblAlibabaUnits[cv_2025]) + SUMIF(tblHuaweiUnits[Products],$A91, tblHuaweiUnits[cv_2025]) + SUMIF(tblTencentUnits[Products],$A91, tblTencentUnits[cv_2025]) + SUMIF(tblBaiduUnits[Products],$A91, tblBaiduUnits[cv_2025]) + SUMIF(tblByteDanceUnits[Products],$A91, tblByteDanceUnits[cv_2025]) + SUMIF(tblCloudAOUnits[Products],$A91, tblCloudAOUnits[cv_2025])</f>
        <v>0</v>
      </c>
      <c r="J91" s="8">
        <f xml:space="preserve"> SUMIF(tblGoogleUnits[Products],$A91, tblGoogleUnits[cv_2026]) + SUMIF(tblMetaUnits[Products],$A91, tblMetaUnits[cv_2026]) + SUMIF(tblAmazonUnits[Products],$A91, tblAmazonUnits[cv_2026]) + SUMIF(tblMicrosoftUnits[Products],$A91, tblMicrosoftUnits[cv_2026]) + SUMIF(tblAppleUnits[Products],$A91, tblAppleUnits[cv_2026]) + SUMIF(tblAlibabaUnits[Products],$A91, tblAlibabaUnits[cv_2026]) + SUMIF(tblHuaweiUnits[Products],$A91, tblHuaweiUnits[cv_2026]) + SUMIF(tblTencentUnits[Products],$A91, tblTencentUnits[cv_2026]) + SUMIF(tblBaiduUnits[Products],$A91, tblBaiduUnits[cv_2026]) + SUMIF(tblByteDanceUnits[Products],$A91, tblByteDanceUnits[cv_2026]) + SUMIF(tblCloudAOUnits[Products],$A91, tblCloudAOUnits[cv_2026])</f>
        <v>0</v>
      </c>
      <c r="K91" s="8">
        <f xml:space="preserve"> SUMIF(tblGoogleUnits[Products],$A91, tblGoogleUnits[cv_2027]) + SUMIF(tblMetaUnits[Products],$A91, tblMetaUnits[cv_2027]) + SUMIF(tblAmazonUnits[Products],$A91, tblAmazonUnits[cv_2027]) + SUMIF(tblMicrosoftUnits[Products],$A91, tblMicrosoftUnits[cv_2027]) + SUMIF(tblAppleUnits[Products],$A91, tblAppleUnits[cv_2027]) + SUMIF(tblAlibabaUnits[Products],$A91, tblAlibabaUnits[cv_2027]) + SUMIF(tblHuaweiUnits[Products],$A91, tblHuaweiUnits[cv_2027]) + SUMIF(tblTencentUnits[Products],$A91, tblTencentUnits[cv_2027]) + SUMIF(tblBaiduUnits[Products],$A91, tblBaiduUnits[cv_2027]) + SUMIF(tblByteDanceUnits[Products],$A91, tblByteDanceUnits[cv_2027]) + SUMIF(tblCloudAOUnits[Products],$A91, tblCloudAOUnits[cv_2027])</f>
        <v>0</v>
      </c>
      <c r="L91" s="8">
        <f xml:space="preserve"> SUMIF(tblGoogleUnits[Products],$A91, tblGoogleUnits[cv_2028]) + SUMIF(tblMetaUnits[Products],$A91, tblMetaUnits[cv_2028]) + SUMIF(tblAmazonUnits[Products],$A91, tblAmazonUnits[cv_2028]) + SUMIF(tblMicrosoftUnits[Products],$A91, tblMicrosoftUnits[cv_2028]) + SUMIF(tblAppleUnits[Products],$A91, tblAppleUnits[cv_2028]) + SUMIF(tblAlibabaUnits[Products],$A91, tblAlibabaUnits[cv_2028]) + SUMIF(tblHuaweiUnits[Products],$A91, tblHuaweiUnits[cv_2028]) + SUMIF(tblTencentUnits[Products],$A91, tblTencentUnits[cv_2028]) + SUMIF(tblBaiduUnits[Products],$A91, tblBaiduUnits[cv_2028]) + SUMIF(tblByteDanceUnits[Products],$A91, tblByteDanceUnits[cv_2028]) + SUMIF(tblCloudAOUnits[Products],$A91, tblCloudAOUnits[cv_2028])</f>
        <v>0</v>
      </c>
      <c r="M91" s="122">
        <f>10^-6*B91*INDEX(TotalMarket!$M$26:$W$125,MATCH($A91,$A$11:$A$132,0),MATCH(M$10,$M$10:$W$10))</f>
        <v>0</v>
      </c>
      <c r="N91" s="122">
        <f>10^-6*C91*INDEX(TotalMarket!$M$26:$W$125,MATCH($A91,$A$11:$A$132,0),MATCH(N$10,$M$10:$W$10))</f>
        <v>0</v>
      </c>
      <c r="O91" s="122">
        <f>10^-6*D91*INDEX(TotalMarket!$M$26:$W$125,MATCH($A91,$A$11:$A$132,0),MATCH(O$10,$M$10:$W$10))</f>
        <v>0</v>
      </c>
      <c r="P91" s="122">
        <f>10^-6*E91*INDEX(TotalMarket!$M$26:$W$125,MATCH($A91,$A$11:$A$132,0),MATCH(P$10,$M$10:$W$10))</f>
        <v>0</v>
      </c>
      <c r="Q91" s="122">
        <f>10^-6*F91*INDEX(TotalMarket!$M$26:$W$125,MATCH($A91,$A$11:$A$132,0),MATCH(Q$10,$M$10:$W$10))</f>
        <v>0</v>
      </c>
      <c r="R91" s="122">
        <f>10^-6*G91*INDEX(TotalMarket!$M$26:$W$125,MATCH($A91,$A$11:$A$132,0),MATCH(R$10,$M$10:$W$10))</f>
        <v>0</v>
      </c>
      <c r="S91" s="122">
        <f>10^-6*H91*INDEX(TotalMarket!$M$26:$W$125,MATCH($A91,$A$11:$A$132,0),MATCH(S$10,$M$10:$W$10))</f>
        <v>0</v>
      </c>
      <c r="T91" s="122">
        <f>10^-6*I91*INDEX(TotalMarket!$M$26:$W$125,MATCH($A91,$A$11:$A$132,0),MATCH(T$10,$M$10:$W$10))</f>
        <v>0</v>
      </c>
      <c r="U91" s="122">
        <f>10^-6*J91*INDEX(TotalMarket!$M$26:$W$125,MATCH($A91,$A$11:$A$132,0),MATCH(U$10,$M$10:$W$10))</f>
        <v>0</v>
      </c>
      <c r="V91" s="122">
        <f>10^-6*K91*INDEX(TotalMarket!$M$26:$W$125,MATCH($A91,$A$11:$A$132,0),MATCH(V$10,$M$10:$W$10))</f>
        <v>0</v>
      </c>
      <c r="W91" s="122">
        <f>10^-6*L91*INDEX(TotalMarket!$M$26:$W$125,MATCH($A91,$A$11:$A$132,0),MATCH(W$10,$M$10:$W$10))</f>
        <v>0</v>
      </c>
      <c r="X91" s="1">
        <f>VLOOKUP(A91,Products!$A$29:$F$110,6,FALSE)</f>
        <v>2.5</v>
      </c>
    </row>
    <row r="92" spans="1:24">
      <c r="A92" s="15" t="s">
        <v>21</v>
      </c>
      <c r="B92" s="8">
        <f xml:space="preserve"> SUMIF(tblGoogleUnits[Products],$A92, tblGoogleUnits[cv_2018]) + SUMIF(tblMetaUnits[Products],$A92, tblMetaUnits[cv_2018]) + SUMIF(tblAmazonUnits[Products],$A92, tblAmazonUnits[cv_2018]) + SUMIF(tblMicrosoftUnits[Products],$A92, tblMicrosoftUnits[cv_2018]) + SUMIF(tblAppleUnits[Products],$A92, tblAppleUnits[cv_2018]) + SUMIF(tblAlibabaUnits[Products],$A92, tblAlibabaUnits[cv_2018]) + SUMIF(tblHuaweiUnits[Products],$A92, tblHuaweiUnits[cv_2018]) + SUMIF(tblTencentUnits[Products],$A92, tblTencentUnits[cv_2018]) + SUMIF(tblBaiduUnits[Products],$A92, tblBaiduUnits[cv_2018]) + SUMIF(tblByteDanceUnits[Products],$A92, tblByteDanceUnits[cv_2018]) + SUMIF(tblCloudAOUnits[Products],$A92, tblCloudAOUnits[cv_2018])</f>
        <v>41220.80999999999</v>
      </c>
      <c r="C92" s="8">
        <f xml:space="preserve"> SUMIF(tblGoogleUnits[Products],$A92, tblGoogleUnits[cv_2019]) + SUMIF(tblMetaUnits[Products],$A92, tblMetaUnits[cv_2019]) + SUMIF(tblAmazonUnits[Products],$A92, tblAmazonUnits[cv_2019]) + SUMIF(tblMicrosoftUnits[Products],$A92, tblMicrosoftUnits[cv_2019]) + SUMIF(tblAppleUnits[Products],$A92, tblAppleUnits[cv_2019]) + SUMIF(tblAlibabaUnits[Products],$A92, tblAlibabaUnits[cv_2019]) + SUMIF(tblHuaweiUnits[Products],$A92, tblHuaweiUnits[cv_2019]) + SUMIF(tblTencentUnits[Products],$A92, tblTencentUnits[cv_2019]) + SUMIF(tblBaiduUnits[Products],$A92, tblBaiduUnits[cv_2019]) + SUMIF(tblByteDanceUnits[Products],$A92, tblByteDanceUnits[cv_2019]) + SUMIF(tblCloudAOUnits[Products],$A92, tblCloudAOUnits[cv_2019])</f>
        <v>40872.341434075039</v>
      </c>
      <c r="D92" s="8">
        <f xml:space="preserve"> SUMIF(tblGoogleUnits[Products],$A92, tblGoogleUnits[cv_2020]) + SUMIF(tblMetaUnits[Products],$A92, tblMetaUnits[cv_2020]) + SUMIF(tblAmazonUnits[Products],$A92, tblAmazonUnits[cv_2020]) + SUMIF(tblMicrosoftUnits[Products],$A92, tblMicrosoftUnits[cv_2020]) + SUMIF(tblAppleUnits[Products],$A92, tblAppleUnits[cv_2020]) + SUMIF(tblAlibabaUnits[Products],$A92, tblAlibabaUnits[cv_2020]) + SUMIF(tblHuaweiUnits[Products],$A92, tblHuaweiUnits[cv_2020]) + SUMIF(tblTencentUnits[Products],$A92, tblTencentUnits[cv_2020]) + SUMIF(tblBaiduUnits[Products],$A92, tblBaiduUnits[cv_2020]) + SUMIF(tblByteDanceUnits[Products],$A92, tblByteDanceUnits[cv_2020]) + SUMIF(tblCloudAOUnits[Products],$A92, tblCloudAOUnits[cv_2020])</f>
        <v>0</v>
      </c>
      <c r="E92" s="8">
        <f xml:space="preserve"> SUMIF(tblGoogleUnits[Products],$A92, tblGoogleUnits[cv_2021]) + SUMIF(tblMetaUnits[Products],$A92, tblMetaUnits[cv_2021]) + SUMIF(tblAmazonUnits[Products],$A92, tblAmazonUnits[cv_2021]) + SUMIF(tblMicrosoftUnits[Products],$A92, tblMicrosoftUnits[cv_2021]) + SUMIF(tblAppleUnits[Products],$A92, tblAppleUnits[cv_2021]) + SUMIF(tblAlibabaUnits[Products],$A92, tblAlibabaUnits[cv_2021]) + SUMIF(tblHuaweiUnits[Products],$A92, tblHuaweiUnits[cv_2021]) + SUMIF(tblTencentUnits[Products],$A92, tblTencentUnits[cv_2021]) + SUMIF(tblBaiduUnits[Products],$A92, tblBaiduUnits[cv_2021]) + SUMIF(tblByteDanceUnits[Products],$A92, tblByteDanceUnits[cv_2021]) + SUMIF(tblCloudAOUnits[Products],$A92, tblCloudAOUnits[cv_2021])</f>
        <v>0</v>
      </c>
      <c r="F92" s="8">
        <f xml:space="preserve"> SUMIF(tblGoogleUnits[Products],$A92, tblGoogleUnits[cv_2022]) + SUMIF(tblMetaUnits[Products],$A92, tblMetaUnits[cv_2022]) + SUMIF(tblAmazonUnits[Products],$A92, tblAmazonUnits[cv_2022]) + SUMIF(tblMicrosoftUnits[Products],$A92, tblMicrosoftUnits[cv_2022]) + SUMIF(tblAppleUnits[Products],$A92, tblAppleUnits[cv_2022]) + SUMIF(tblAlibabaUnits[Products],$A92, tblAlibabaUnits[cv_2022]) + SUMIF(tblHuaweiUnits[Products],$A92, tblHuaweiUnits[cv_2022]) + SUMIF(tblTencentUnits[Products],$A92, tblTencentUnits[cv_2022]) + SUMIF(tblBaiduUnits[Products],$A92, tblBaiduUnits[cv_2022]) + SUMIF(tblByteDanceUnits[Products],$A92, tblByteDanceUnits[cv_2022]) + SUMIF(tblCloudAOUnits[Products],$A92, tblCloudAOUnits[cv_2022])</f>
        <v>0</v>
      </c>
      <c r="G92" s="8">
        <f xml:space="preserve"> SUMIF(tblGoogleUnits[Products],$A92, tblGoogleUnits[cv_2023]) + SUMIF(tblMetaUnits[Products],$A92, tblMetaUnits[cv_2023]) + SUMIF(tblAmazonUnits[Products],$A92, tblAmazonUnits[cv_2023]) + SUMIF(tblMicrosoftUnits[Products],$A92, tblMicrosoftUnits[cv_2023]) + SUMIF(tblAppleUnits[Products],$A92, tblAppleUnits[cv_2023]) + SUMIF(tblAlibabaUnits[Products],$A92, tblAlibabaUnits[cv_2023]) + SUMIF(tblHuaweiUnits[Products],$A92, tblHuaweiUnits[cv_2023]) + SUMIF(tblTencentUnits[Products],$A92, tblTencentUnits[cv_2023]) + SUMIF(tblBaiduUnits[Products],$A92, tblBaiduUnits[cv_2023]) + SUMIF(tblByteDanceUnits[Products],$A92, tblByteDanceUnits[cv_2023]) + SUMIF(tblCloudAOUnits[Products],$A92, tblCloudAOUnits[cv_2023])</f>
        <v>0</v>
      </c>
      <c r="H92" s="8">
        <f xml:space="preserve"> SUMIF(tblGoogleUnits[Products],$A92, tblGoogleUnits[cv_2024]) + SUMIF(tblMetaUnits[Products],$A92, tblMetaUnits[cv_2024]) + SUMIF(tblAmazonUnits[Products],$A92, tblAmazonUnits[cv_2024]) + SUMIF(tblMicrosoftUnits[Products],$A92, tblMicrosoftUnits[cv_2024]) + SUMIF(tblAppleUnits[Products],$A92, tblAppleUnits[cv_2024]) + SUMIF(tblAlibabaUnits[Products],$A92, tblAlibabaUnits[cv_2024]) + SUMIF(tblHuaweiUnits[Products],$A92, tblHuaweiUnits[cv_2024]) + SUMIF(tblTencentUnits[Products],$A92, tblTencentUnits[cv_2024]) + SUMIF(tblBaiduUnits[Products],$A92, tblBaiduUnits[cv_2024]) + SUMIF(tblByteDanceUnits[Products],$A92, tblByteDanceUnits[cv_2024]) + SUMIF(tblCloudAOUnits[Products],$A92, tblCloudAOUnits[cv_2024])</f>
        <v>0</v>
      </c>
      <c r="I92" s="8">
        <f xml:space="preserve"> SUMIF(tblGoogleUnits[Products],$A92, tblGoogleUnits[cv_2025]) + SUMIF(tblMetaUnits[Products],$A92, tblMetaUnits[cv_2025]) + SUMIF(tblAmazonUnits[Products],$A92, tblAmazonUnits[cv_2025]) + SUMIF(tblMicrosoftUnits[Products],$A92, tblMicrosoftUnits[cv_2025]) + SUMIF(tblAppleUnits[Products],$A92, tblAppleUnits[cv_2025]) + SUMIF(tblAlibabaUnits[Products],$A92, tblAlibabaUnits[cv_2025]) + SUMIF(tblHuaweiUnits[Products],$A92, tblHuaweiUnits[cv_2025]) + SUMIF(tblTencentUnits[Products],$A92, tblTencentUnits[cv_2025]) + SUMIF(tblBaiduUnits[Products],$A92, tblBaiduUnits[cv_2025]) + SUMIF(tblByteDanceUnits[Products],$A92, tblByteDanceUnits[cv_2025]) + SUMIF(tblCloudAOUnits[Products],$A92, tblCloudAOUnits[cv_2025])</f>
        <v>0</v>
      </c>
      <c r="J92" s="8">
        <f xml:space="preserve"> SUMIF(tblGoogleUnits[Products],$A92, tblGoogleUnits[cv_2026]) + SUMIF(tblMetaUnits[Products],$A92, tblMetaUnits[cv_2026]) + SUMIF(tblAmazonUnits[Products],$A92, tblAmazonUnits[cv_2026]) + SUMIF(tblMicrosoftUnits[Products],$A92, tblMicrosoftUnits[cv_2026]) + SUMIF(tblAppleUnits[Products],$A92, tblAppleUnits[cv_2026]) + SUMIF(tblAlibabaUnits[Products],$A92, tblAlibabaUnits[cv_2026]) + SUMIF(tblHuaweiUnits[Products],$A92, tblHuaweiUnits[cv_2026]) + SUMIF(tblTencentUnits[Products],$A92, tblTencentUnits[cv_2026]) + SUMIF(tblBaiduUnits[Products],$A92, tblBaiduUnits[cv_2026]) + SUMIF(tblByteDanceUnits[Products],$A92, tblByteDanceUnits[cv_2026]) + SUMIF(tblCloudAOUnits[Products],$A92, tblCloudAOUnits[cv_2026])</f>
        <v>0</v>
      </c>
      <c r="K92" s="8">
        <f xml:space="preserve"> SUMIF(tblGoogleUnits[Products],$A92, tblGoogleUnits[cv_2027]) + SUMIF(tblMetaUnits[Products],$A92, tblMetaUnits[cv_2027]) + SUMIF(tblAmazonUnits[Products],$A92, tblAmazonUnits[cv_2027]) + SUMIF(tblMicrosoftUnits[Products],$A92, tblMicrosoftUnits[cv_2027]) + SUMIF(tblAppleUnits[Products],$A92, tblAppleUnits[cv_2027]) + SUMIF(tblAlibabaUnits[Products],$A92, tblAlibabaUnits[cv_2027]) + SUMIF(tblHuaweiUnits[Products],$A92, tblHuaweiUnits[cv_2027]) + SUMIF(tblTencentUnits[Products],$A92, tblTencentUnits[cv_2027]) + SUMIF(tblBaiduUnits[Products],$A92, tblBaiduUnits[cv_2027]) + SUMIF(tblByteDanceUnits[Products],$A92, tblByteDanceUnits[cv_2027]) + SUMIF(tblCloudAOUnits[Products],$A92, tblCloudAOUnits[cv_2027])</f>
        <v>0</v>
      </c>
      <c r="L92" s="8">
        <f xml:space="preserve"> SUMIF(tblGoogleUnits[Products],$A92, tblGoogleUnits[cv_2028]) + SUMIF(tblMetaUnits[Products],$A92, tblMetaUnits[cv_2028]) + SUMIF(tblAmazonUnits[Products],$A92, tblAmazonUnits[cv_2028]) + SUMIF(tblMicrosoftUnits[Products],$A92, tblMicrosoftUnits[cv_2028]) + SUMIF(tblAppleUnits[Products],$A92, tblAppleUnits[cv_2028]) + SUMIF(tblAlibabaUnits[Products],$A92, tblAlibabaUnits[cv_2028]) + SUMIF(tblHuaweiUnits[Products],$A92, tblHuaweiUnits[cv_2028]) + SUMIF(tblTencentUnits[Products],$A92, tblTencentUnits[cv_2028]) + SUMIF(tblBaiduUnits[Products],$A92, tblBaiduUnits[cv_2028]) + SUMIF(tblByteDanceUnits[Products],$A92, tblByteDanceUnits[cv_2028]) + SUMIF(tblCloudAOUnits[Products],$A92, tblCloudAOUnits[cv_2028])</f>
        <v>0</v>
      </c>
      <c r="M92" s="122">
        <f>10^-6*B92*INDEX(TotalMarket!$M$26:$W$125,MATCH($A92,$A$11:$A$132,0),MATCH(M$10,$M$10:$W$10))</f>
        <v>19.747826761380121</v>
      </c>
      <c r="N92" s="122">
        <f>10^-6*C92*INDEX(TotalMarket!$M$26:$W$125,MATCH($A92,$A$11:$A$132,0),MATCH(N$10,$M$10:$W$10))</f>
        <v>16.006869838837034</v>
      </c>
      <c r="O92" s="122">
        <f>10^-6*D92*INDEX(TotalMarket!$M$26:$W$125,MATCH($A92,$A$11:$A$132,0),MATCH(O$10,$M$10:$W$10))</f>
        <v>0</v>
      </c>
      <c r="P92" s="122">
        <f>10^-6*E92*INDEX(TotalMarket!$M$26:$W$125,MATCH($A92,$A$11:$A$132,0),MATCH(P$10,$M$10:$W$10))</f>
        <v>0</v>
      </c>
      <c r="Q92" s="122">
        <f>10^-6*F92*INDEX(TotalMarket!$M$26:$W$125,MATCH($A92,$A$11:$A$132,0),MATCH(Q$10,$M$10:$W$10))</f>
        <v>0</v>
      </c>
      <c r="R92" s="122">
        <f>10^-6*G92*INDEX(TotalMarket!$M$26:$W$125,MATCH($A92,$A$11:$A$132,0),MATCH(R$10,$M$10:$W$10))</f>
        <v>0</v>
      </c>
      <c r="S92" s="122">
        <f>10^-6*H92*INDEX(TotalMarket!$M$26:$W$125,MATCH($A92,$A$11:$A$132,0),MATCH(S$10,$M$10:$W$10))</f>
        <v>0</v>
      </c>
      <c r="T92" s="122">
        <f>10^-6*I92*INDEX(TotalMarket!$M$26:$W$125,MATCH($A92,$A$11:$A$132,0),MATCH(T$10,$M$10:$W$10))</f>
        <v>0</v>
      </c>
      <c r="U92" s="122">
        <f>10^-6*J92*INDEX(TotalMarket!$M$26:$W$125,MATCH($A92,$A$11:$A$132,0),MATCH(U$10,$M$10:$W$10))</f>
        <v>0</v>
      </c>
      <c r="V92" s="122">
        <f>10^-6*K92*INDEX(TotalMarket!$M$26:$W$125,MATCH($A92,$A$11:$A$132,0),MATCH(V$10,$M$10:$W$10))</f>
        <v>0</v>
      </c>
      <c r="W92" s="122">
        <f>10^-6*L92*INDEX(TotalMarket!$M$26:$W$125,MATCH($A92,$A$11:$A$132,0),MATCH(W$10,$M$10:$W$10))</f>
        <v>0</v>
      </c>
      <c r="X92" s="1">
        <f>VLOOKUP(A92,Products!$A$29:$F$110,6,FALSE)</f>
        <v>10</v>
      </c>
    </row>
    <row r="93" spans="1:24">
      <c r="A93" s="15" t="s">
        <v>22</v>
      </c>
      <c r="B93" s="8">
        <f xml:space="preserve"> SUMIF(tblGoogleUnits[Products],$A93, tblGoogleUnits[cv_2018]) + SUMIF(tblMetaUnits[Products],$A93, tblMetaUnits[cv_2018]) + SUMIF(tblAmazonUnits[Products],$A93, tblAmazonUnits[cv_2018]) + SUMIF(tblMicrosoftUnits[Products],$A93, tblMicrosoftUnits[cv_2018]) + SUMIF(tblAppleUnits[Products],$A93, tblAppleUnits[cv_2018]) + SUMIF(tblAlibabaUnits[Products],$A93, tblAlibabaUnits[cv_2018]) + SUMIF(tblHuaweiUnits[Products],$A93, tblHuaweiUnits[cv_2018]) + SUMIF(tblTencentUnits[Products],$A93, tblTencentUnits[cv_2018]) + SUMIF(tblBaiduUnits[Products],$A93, tblBaiduUnits[cv_2018]) + SUMIF(tblByteDanceUnits[Products],$A93, tblByteDanceUnits[cv_2018]) + SUMIF(tblCloudAOUnits[Products],$A93, tblCloudAOUnits[cv_2018])</f>
        <v>0</v>
      </c>
      <c r="C93" s="8">
        <f xml:space="preserve"> SUMIF(tblGoogleUnits[Products],$A93, tblGoogleUnits[cv_2019]) + SUMIF(tblMetaUnits[Products],$A93, tblMetaUnits[cv_2019]) + SUMIF(tblAmazonUnits[Products],$A93, tblAmazonUnits[cv_2019]) + SUMIF(tblMicrosoftUnits[Products],$A93, tblMicrosoftUnits[cv_2019]) + SUMIF(tblAppleUnits[Products],$A93, tblAppleUnits[cv_2019]) + SUMIF(tblAlibabaUnits[Products],$A93, tblAlibabaUnits[cv_2019]) + SUMIF(tblHuaweiUnits[Products],$A93, tblHuaweiUnits[cv_2019]) + SUMIF(tblTencentUnits[Products],$A93, tblTencentUnits[cv_2019]) + SUMIF(tblBaiduUnits[Products],$A93, tblBaiduUnits[cv_2019]) + SUMIF(tblByteDanceUnits[Products],$A93, tblByteDanceUnits[cv_2019]) + SUMIF(tblCloudAOUnits[Products],$A93, tblCloudAOUnits[cv_2019])</f>
        <v>0</v>
      </c>
      <c r="D93" s="8">
        <f xml:space="preserve"> SUMIF(tblGoogleUnits[Products],$A93, tblGoogleUnits[cv_2020]) + SUMIF(tblMetaUnits[Products],$A93, tblMetaUnits[cv_2020]) + SUMIF(tblAmazonUnits[Products],$A93, tblAmazonUnits[cv_2020]) + SUMIF(tblMicrosoftUnits[Products],$A93, tblMicrosoftUnits[cv_2020]) + SUMIF(tblAppleUnits[Products],$A93, tblAppleUnits[cv_2020]) + SUMIF(tblAlibabaUnits[Products],$A93, tblAlibabaUnits[cv_2020]) + SUMIF(tblHuaweiUnits[Products],$A93, tblHuaweiUnits[cv_2020]) + SUMIF(tblTencentUnits[Products],$A93, tblTencentUnits[cv_2020]) + SUMIF(tblBaiduUnits[Products],$A93, tblBaiduUnits[cv_2020]) + SUMIF(tblByteDanceUnits[Products],$A93, tblByteDanceUnits[cv_2020]) + SUMIF(tblCloudAOUnits[Products],$A93, tblCloudAOUnits[cv_2020])</f>
        <v>0</v>
      </c>
      <c r="E93" s="8">
        <f xml:space="preserve"> SUMIF(tblGoogleUnits[Products],$A93, tblGoogleUnits[cv_2021]) + SUMIF(tblMetaUnits[Products],$A93, tblMetaUnits[cv_2021]) + SUMIF(tblAmazonUnits[Products],$A93, tblAmazonUnits[cv_2021]) + SUMIF(tblMicrosoftUnits[Products],$A93, tblMicrosoftUnits[cv_2021]) + SUMIF(tblAppleUnits[Products],$A93, tblAppleUnits[cv_2021]) + SUMIF(tblAlibabaUnits[Products],$A93, tblAlibabaUnits[cv_2021]) + SUMIF(tblHuaweiUnits[Products],$A93, tblHuaweiUnits[cv_2021]) + SUMIF(tblTencentUnits[Products],$A93, tblTencentUnits[cv_2021]) + SUMIF(tblBaiduUnits[Products],$A93, tblBaiduUnits[cv_2021]) + SUMIF(tblByteDanceUnits[Products],$A93, tblByteDanceUnits[cv_2021]) + SUMIF(tblCloudAOUnits[Products],$A93, tblCloudAOUnits[cv_2021])</f>
        <v>0</v>
      </c>
      <c r="F93" s="8">
        <f xml:space="preserve"> SUMIF(tblGoogleUnits[Products],$A93, tblGoogleUnits[cv_2022]) + SUMIF(tblMetaUnits[Products],$A93, tblMetaUnits[cv_2022]) + SUMIF(tblAmazonUnits[Products],$A93, tblAmazonUnits[cv_2022]) + SUMIF(tblMicrosoftUnits[Products],$A93, tblMicrosoftUnits[cv_2022]) + SUMIF(tblAppleUnits[Products],$A93, tblAppleUnits[cv_2022]) + SUMIF(tblAlibabaUnits[Products],$A93, tblAlibabaUnits[cv_2022]) + SUMIF(tblHuaweiUnits[Products],$A93, tblHuaweiUnits[cv_2022]) + SUMIF(tblTencentUnits[Products],$A93, tblTencentUnits[cv_2022]) + SUMIF(tblBaiduUnits[Products],$A93, tblBaiduUnits[cv_2022]) + SUMIF(tblByteDanceUnits[Products],$A93, tblByteDanceUnits[cv_2022]) + SUMIF(tblCloudAOUnits[Products],$A93, tblCloudAOUnits[cv_2022])</f>
        <v>0</v>
      </c>
      <c r="G93" s="8">
        <f xml:space="preserve"> SUMIF(tblGoogleUnits[Products],$A93, tblGoogleUnits[cv_2023]) + SUMIF(tblMetaUnits[Products],$A93, tblMetaUnits[cv_2023]) + SUMIF(tblAmazonUnits[Products],$A93, tblAmazonUnits[cv_2023]) + SUMIF(tblMicrosoftUnits[Products],$A93, tblMicrosoftUnits[cv_2023]) + SUMIF(tblAppleUnits[Products],$A93, tblAppleUnits[cv_2023]) + SUMIF(tblAlibabaUnits[Products],$A93, tblAlibabaUnits[cv_2023]) + SUMIF(tblHuaweiUnits[Products],$A93, tblHuaweiUnits[cv_2023]) + SUMIF(tblTencentUnits[Products],$A93, tblTencentUnits[cv_2023]) + SUMIF(tblBaiduUnits[Products],$A93, tblBaiduUnits[cv_2023]) + SUMIF(tblByteDanceUnits[Products],$A93, tblByteDanceUnits[cv_2023]) + SUMIF(tblCloudAOUnits[Products],$A93, tblCloudAOUnits[cv_2023])</f>
        <v>0</v>
      </c>
      <c r="H93" s="8">
        <f xml:space="preserve"> SUMIF(tblGoogleUnits[Products],$A93, tblGoogleUnits[cv_2024]) + SUMIF(tblMetaUnits[Products],$A93, tblMetaUnits[cv_2024]) + SUMIF(tblAmazonUnits[Products],$A93, tblAmazonUnits[cv_2024]) + SUMIF(tblMicrosoftUnits[Products],$A93, tblMicrosoftUnits[cv_2024]) + SUMIF(tblAppleUnits[Products],$A93, tblAppleUnits[cv_2024]) + SUMIF(tblAlibabaUnits[Products],$A93, tblAlibabaUnits[cv_2024]) + SUMIF(tblHuaweiUnits[Products],$A93, tblHuaweiUnits[cv_2024]) + SUMIF(tblTencentUnits[Products],$A93, tblTencentUnits[cv_2024]) + SUMIF(tblBaiduUnits[Products],$A93, tblBaiduUnits[cv_2024]) + SUMIF(tblByteDanceUnits[Products],$A93, tblByteDanceUnits[cv_2024]) + SUMIF(tblCloudAOUnits[Products],$A93, tblCloudAOUnits[cv_2024])</f>
        <v>0</v>
      </c>
      <c r="I93" s="8">
        <f xml:space="preserve"> SUMIF(tblGoogleUnits[Products],$A93, tblGoogleUnits[cv_2025]) + SUMIF(tblMetaUnits[Products],$A93, tblMetaUnits[cv_2025]) + SUMIF(tblAmazonUnits[Products],$A93, tblAmazonUnits[cv_2025]) + SUMIF(tblMicrosoftUnits[Products],$A93, tblMicrosoftUnits[cv_2025]) + SUMIF(tblAppleUnits[Products],$A93, tblAppleUnits[cv_2025]) + SUMIF(tblAlibabaUnits[Products],$A93, tblAlibabaUnits[cv_2025]) + SUMIF(tblHuaweiUnits[Products],$A93, tblHuaweiUnits[cv_2025]) + SUMIF(tblTencentUnits[Products],$A93, tblTencentUnits[cv_2025]) + SUMIF(tblBaiduUnits[Products],$A93, tblBaiduUnits[cv_2025]) + SUMIF(tblByteDanceUnits[Products],$A93, tblByteDanceUnits[cv_2025]) + SUMIF(tblCloudAOUnits[Products],$A93, tblCloudAOUnits[cv_2025])</f>
        <v>0</v>
      </c>
      <c r="J93" s="8">
        <f xml:space="preserve"> SUMIF(tblGoogleUnits[Products],$A93, tblGoogleUnits[cv_2026]) + SUMIF(tblMetaUnits[Products],$A93, tblMetaUnits[cv_2026]) + SUMIF(tblAmazonUnits[Products],$A93, tblAmazonUnits[cv_2026]) + SUMIF(tblMicrosoftUnits[Products],$A93, tblMicrosoftUnits[cv_2026]) + SUMIF(tblAppleUnits[Products],$A93, tblAppleUnits[cv_2026]) + SUMIF(tblAlibabaUnits[Products],$A93, tblAlibabaUnits[cv_2026]) + SUMIF(tblHuaweiUnits[Products],$A93, tblHuaweiUnits[cv_2026]) + SUMIF(tblTencentUnits[Products],$A93, tblTencentUnits[cv_2026]) + SUMIF(tblBaiduUnits[Products],$A93, tblBaiduUnits[cv_2026]) + SUMIF(tblByteDanceUnits[Products],$A93, tblByteDanceUnits[cv_2026]) + SUMIF(tblCloudAOUnits[Products],$A93, tblCloudAOUnits[cv_2026])</f>
        <v>0</v>
      </c>
      <c r="K93" s="8">
        <f xml:space="preserve"> SUMIF(tblGoogleUnits[Products],$A93, tblGoogleUnits[cv_2027]) + SUMIF(tblMetaUnits[Products],$A93, tblMetaUnits[cv_2027]) + SUMIF(tblAmazonUnits[Products],$A93, tblAmazonUnits[cv_2027]) + SUMIF(tblMicrosoftUnits[Products],$A93, tblMicrosoftUnits[cv_2027]) + SUMIF(tblAppleUnits[Products],$A93, tblAppleUnits[cv_2027]) + SUMIF(tblAlibabaUnits[Products],$A93, tblAlibabaUnits[cv_2027]) + SUMIF(tblHuaweiUnits[Products],$A93, tblHuaweiUnits[cv_2027]) + SUMIF(tblTencentUnits[Products],$A93, tblTencentUnits[cv_2027]) + SUMIF(tblBaiduUnits[Products],$A93, tblBaiduUnits[cv_2027]) + SUMIF(tblByteDanceUnits[Products],$A93, tblByteDanceUnits[cv_2027]) + SUMIF(tblCloudAOUnits[Products],$A93, tblCloudAOUnits[cv_2027])</f>
        <v>0</v>
      </c>
      <c r="L93" s="8">
        <f xml:space="preserve"> SUMIF(tblGoogleUnits[Products],$A93, tblGoogleUnits[cv_2028]) + SUMIF(tblMetaUnits[Products],$A93, tblMetaUnits[cv_2028]) + SUMIF(tblAmazonUnits[Products],$A93, tblAmazonUnits[cv_2028]) + SUMIF(tblMicrosoftUnits[Products],$A93, tblMicrosoftUnits[cv_2028]) + SUMIF(tblAppleUnits[Products],$A93, tblAppleUnits[cv_2028]) + SUMIF(tblAlibabaUnits[Products],$A93, tblAlibabaUnits[cv_2028]) + SUMIF(tblHuaweiUnits[Products],$A93, tblHuaweiUnits[cv_2028]) + SUMIF(tblTencentUnits[Products],$A93, tblTencentUnits[cv_2028]) + SUMIF(tblBaiduUnits[Products],$A93, tblBaiduUnits[cv_2028]) + SUMIF(tblByteDanceUnits[Products],$A93, tblByteDanceUnits[cv_2028]) + SUMIF(tblCloudAOUnits[Products],$A93, tblCloudAOUnits[cv_2028])</f>
        <v>0</v>
      </c>
      <c r="M93" s="122">
        <f>10^-6*B93*INDEX(TotalMarket!$M$26:$W$125,MATCH($A93,$A$11:$A$132,0),MATCH(M$10,$M$10:$W$10))</f>
        <v>0</v>
      </c>
      <c r="N93" s="122">
        <f>10^-6*C93*INDEX(TotalMarket!$M$26:$W$125,MATCH($A93,$A$11:$A$132,0),MATCH(N$10,$M$10:$W$10))</f>
        <v>0</v>
      </c>
      <c r="O93" s="122">
        <f>10^-6*D93*INDEX(TotalMarket!$M$26:$W$125,MATCH($A93,$A$11:$A$132,0),MATCH(O$10,$M$10:$W$10))</f>
        <v>0</v>
      </c>
      <c r="P93" s="122">
        <f>10^-6*E93*INDEX(TotalMarket!$M$26:$W$125,MATCH($A93,$A$11:$A$132,0),MATCH(P$10,$M$10:$W$10))</f>
        <v>0</v>
      </c>
      <c r="Q93" s="122">
        <f>10^-6*F93*INDEX(TotalMarket!$M$26:$W$125,MATCH($A93,$A$11:$A$132,0),MATCH(Q$10,$M$10:$W$10))</f>
        <v>0</v>
      </c>
      <c r="R93" s="122">
        <f>10^-6*G93*INDEX(TotalMarket!$M$26:$W$125,MATCH($A93,$A$11:$A$132,0),MATCH(R$10,$M$10:$W$10))</f>
        <v>0</v>
      </c>
      <c r="S93" s="122">
        <f>10^-6*H93*INDEX(TotalMarket!$M$26:$W$125,MATCH($A93,$A$11:$A$132,0),MATCH(S$10,$M$10:$W$10))</f>
        <v>0</v>
      </c>
      <c r="T93" s="122">
        <f>10^-6*I93*INDEX(TotalMarket!$M$26:$W$125,MATCH($A93,$A$11:$A$132,0),MATCH(T$10,$M$10:$W$10))</f>
        <v>0</v>
      </c>
      <c r="U93" s="122">
        <f>10^-6*J93*INDEX(TotalMarket!$M$26:$W$125,MATCH($A93,$A$11:$A$132,0),MATCH(U$10,$M$10:$W$10))</f>
        <v>0</v>
      </c>
      <c r="V93" s="122">
        <f>10^-6*K93*INDEX(TotalMarket!$M$26:$W$125,MATCH($A93,$A$11:$A$132,0),MATCH(V$10,$M$10:$W$10))</f>
        <v>0</v>
      </c>
      <c r="W93" s="122">
        <f>10^-6*L93*INDEX(TotalMarket!$M$26:$W$125,MATCH($A93,$A$11:$A$132,0),MATCH(W$10,$M$10:$W$10))</f>
        <v>0</v>
      </c>
      <c r="X93" s="1">
        <f>VLOOKUP(A93,Products!$A$29:$F$110,6,FALSE)</f>
        <v>40</v>
      </c>
    </row>
    <row r="94" spans="1:24">
      <c r="A94" s="15" t="s">
        <v>23</v>
      </c>
      <c r="B94" s="8">
        <f xml:space="preserve"> SUMIF(tblGoogleUnits[Products],$A94, tblGoogleUnits[cv_2018]) + SUMIF(tblMetaUnits[Products],$A94, tblMetaUnits[cv_2018]) + SUMIF(tblAmazonUnits[Products],$A94, tblAmazonUnits[cv_2018]) + SUMIF(tblMicrosoftUnits[Products],$A94, tblMicrosoftUnits[cv_2018]) + SUMIF(tblAppleUnits[Products],$A94, tblAppleUnits[cv_2018]) + SUMIF(tblAlibabaUnits[Products],$A94, tblAlibabaUnits[cv_2018]) + SUMIF(tblHuaweiUnits[Products],$A94, tblHuaweiUnits[cv_2018]) + SUMIF(tblTencentUnits[Products],$A94, tblTencentUnits[cv_2018]) + SUMIF(tblBaiduUnits[Products],$A94, tblBaiduUnits[cv_2018]) + SUMIF(tblByteDanceUnits[Products],$A94, tblByteDanceUnits[cv_2018]) + SUMIF(tblCloudAOUnits[Products],$A94, tblCloudAOUnits[cv_2018])</f>
        <v>66239.59546218488</v>
      </c>
      <c r="C94" s="8">
        <f xml:space="preserve"> SUMIF(tblGoogleUnits[Products],$A94, tblGoogleUnits[cv_2019]) + SUMIF(tblMetaUnits[Products],$A94, tblMetaUnits[cv_2019]) + SUMIF(tblAmazonUnits[Products],$A94, tblAmazonUnits[cv_2019]) + SUMIF(tblMicrosoftUnits[Products],$A94, tblMicrosoftUnits[cv_2019]) + SUMIF(tblAppleUnits[Products],$A94, tblAppleUnits[cv_2019]) + SUMIF(tblAlibabaUnits[Products],$A94, tblAlibabaUnits[cv_2019]) + SUMIF(tblHuaweiUnits[Products],$A94, tblHuaweiUnits[cv_2019]) + SUMIF(tblTencentUnits[Products],$A94, tblTencentUnits[cv_2019]) + SUMIF(tblBaiduUnits[Products],$A94, tblBaiduUnits[cv_2019]) + SUMIF(tblByteDanceUnits[Products],$A94, tblByteDanceUnits[cv_2019]) + SUMIF(tblCloudAOUnits[Products],$A94, tblCloudAOUnits[cv_2019])</f>
        <v>44164.040000000008</v>
      </c>
      <c r="D94" s="8">
        <f xml:space="preserve"> SUMIF(tblGoogleUnits[Products],$A94, tblGoogleUnits[cv_2020]) + SUMIF(tblMetaUnits[Products],$A94, tblMetaUnits[cv_2020]) + SUMIF(tblAmazonUnits[Products],$A94, tblAmazonUnits[cv_2020]) + SUMIF(tblMicrosoftUnits[Products],$A94, tblMicrosoftUnits[cv_2020]) + SUMIF(tblAppleUnits[Products],$A94, tblAppleUnits[cv_2020]) + SUMIF(tblAlibabaUnits[Products],$A94, tblAlibabaUnits[cv_2020]) + SUMIF(tblHuaweiUnits[Products],$A94, tblHuaweiUnits[cv_2020]) + SUMIF(tblTencentUnits[Products],$A94, tblTencentUnits[cv_2020]) + SUMIF(tblBaiduUnits[Products],$A94, tblBaiduUnits[cv_2020]) + SUMIF(tblByteDanceUnits[Products],$A94, tblByteDanceUnits[cv_2020]) + SUMIF(tblCloudAOUnits[Products],$A94, tblCloudAOUnits[cv_2020])</f>
        <v>0</v>
      </c>
      <c r="E94" s="8">
        <f xml:space="preserve"> SUMIF(tblGoogleUnits[Products],$A94, tblGoogleUnits[cv_2021]) + SUMIF(tblMetaUnits[Products],$A94, tblMetaUnits[cv_2021]) + SUMIF(tblAmazonUnits[Products],$A94, tblAmazonUnits[cv_2021]) + SUMIF(tblMicrosoftUnits[Products],$A94, tblMicrosoftUnits[cv_2021]) + SUMIF(tblAppleUnits[Products],$A94, tblAppleUnits[cv_2021]) + SUMIF(tblAlibabaUnits[Products],$A94, tblAlibabaUnits[cv_2021]) + SUMIF(tblHuaweiUnits[Products],$A94, tblHuaweiUnits[cv_2021]) + SUMIF(tblTencentUnits[Products],$A94, tblTencentUnits[cv_2021]) + SUMIF(tblBaiduUnits[Products],$A94, tblBaiduUnits[cv_2021]) + SUMIF(tblByteDanceUnits[Products],$A94, tblByteDanceUnits[cv_2021]) + SUMIF(tblCloudAOUnits[Products],$A94, tblCloudAOUnits[cv_2021])</f>
        <v>0</v>
      </c>
      <c r="F94" s="8">
        <f xml:space="preserve"> SUMIF(tblGoogleUnits[Products],$A94, tblGoogleUnits[cv_2022]) + SUMIF(tblMetaUnits[Products],$A94, tblMetaUnits[cv_2022]) + SUMIF(tblAmazonUnits[Products],$A94, tblAmazonUnits[cv_2022]) + SUMIF(tblMicrosoftUnits[Products],$A94, tblMicrosoftUnits[cv_2022]) + SUMIF(tblAppleUnits[Products],$A94, tblAppleUnits[cv_2022]) + SUMIF(tblAlibabaUnits[Products],$A94, tblAlibabaUnits[cv_2022]) + SUMIF(tblHuaweiUnits[Products],$A94, tblHuaweiUnits[cv_2022]) + SUMIF(tblTencentUnits[Products],$A94, tblTencentUnits[cv_2022]) + SUMIF(tblBaiduUnits[Products],$A94, tblBaiduUnits[cv_2022]) + SUMIF(tblByteDanceUnits[Products],$A94, tblByteDanceUnits[cv_2022]) + SUMIF(tblCloudAOUnits[Products],$A94, tblCloudAOUnits[cv_2022])</f>
        <v>0</v>
      </c>
      <c r="G94" s="8">
        <f xml:space="preserve"> SUMIF(tblGoogleUnits[Products],$A94, tblGoogleUnits[cv_2023]) + SUMIF(tblMetaUnits[Products],$A94, tblMetaUnits[cv_2023]) + SUMIF(tblAmazonUnits[Products],$A94, tblAmazonUnits[cv_2023]) + SUMIF(tblMicrosoftUnits[Products],$A94, tblMicrosoftUnits[cv_2023]) + SUMIF(tblAppleUnits[Products],$A94, tblAppleUnits[cv_2023]) + SUMIF(tblAlibabaUnits[Products],$A94, tblAlibabaUnits[cv_2023]) + SUMIF(tblHuaweiUnits[Products],$A94, tblHuaweiUnits[cv_2023]) + SUMIF(tblTencentUnits[Products],$A94, tblTencentUnits[cv_2023]) + SUMIF(tblBaiduUnits[Products],$A94, tblBaiduUnits[cv_2023]) + SUMIF(tblByteDanceUnits[Products],$A94, tblByteDanceUnits[cv_2023]) + SUMIF(tblCloudAOUnits[Products],$A94, tblCloudAOUnits[cv_2023])</f>
        <v>0</v>
      </c>
      <c r="H94" s="8">
        <f xml:space="preserve"> SUMIF(tblGoogleUnits[Products],$A94, tblGoogleUnits[cv_2024]) + SUMIF(tblMetaUnits[Products],$A94, tblMetaUnits[cv_2024]) + SUMIF(tblAmazonUnits[Products],$A94, tblAmazonUnits[cv_2024]) + SUMIF(tblMicrosoftUnits[Products],$A94, tblMicrosoftUnits[cv_2024]) + SUMIF(tblAppleUnits[Products],$A94, tblAppleUnits[cv_2024]) + SUMIF(tblAlibabaUnits[Products],$A94, tblAlibabaUnits[cv_2024]) + SUMIF(tblHuaweiUnits[Products],$A94, tblHuaweiUnits[cv_2024]) + SUMIF(tblTencentUnits[Products],$A94, tblTencentUnits[cv_2024]) + SUMIF(tblBaiduUnits[Products],$A94, tblBaiduUnits[cv_2024]) + SUMIF(tblByteDanceUnits[Products],$A94, tblByteDanceUnits[cv_2024]) + SUMIF(tblCloudAOUnits[Products],$A94, tblCloudAOUnits[cv_2024])</f>
        <v>0</v>
      </c>
      <c r="I94" s="8">
        <f xml:space="preserve"> SUMIF(tblGoogleUnits[Products],$A94, tblGoogleUnits[cv_2025]) + SUMIF(tblMetaUnits[Products],$A94, tblMetaUnits[cv_2025]) + SUMIF(tblAmazonUnits[Products],$A94, tblAmazonUnits[cv_2025]) + SUMIF(tblMicrosoftUnits[Products],$A94, tblMicrosoftUnits[cv_2025]) + SUMIF(tblAppleUnits[Products],$A94, tblAppleUnits[cv_2025]) + SUMIF(tblAlibabaUnits[Products],$A94, tblAlibabaUnits[cv_2025]) + SUMIF(tblHuaweiUnits[Products],$A94, tblHuaweiUnits[cv_2025]) + SUMIF(tblTencentUnits[Products],$A94, tblTencentUnits[cv_2025]) + SUMIF(tblBaiduUnits[Products],$A94, tblBaiduUnits[cv_2025]) + SUMIF(tblByteDanceUnits[Products],$A94, tblByteDanceUnits[cv_2025]) + SUMIF(tblCloudAOUnits[Products],$A94, tblCloudAOUnits[cv_2025])</f>
        <v>0</v>
      </c>
      <c r="J94" s="8">
        <f xml:space="preserve"> SUMIF(tblGoogleUnits[Products],$A94, tblGoogleUnits[cv_2026]) + SUMIF(tblMetaUnits[Products],$A94, tblMetaUnits[cv_2026]) + SUMIF(tblAmazonUnits[Products],$A94, tblAmazonUnits[cv_2026]) + SUMIF(tblMicrosoftUnits[Products],$A94, tblMicrosoftUnits[cv_2026]) + SUMIF(tblAppleUnits[Products],$A94, tblAppleUnits[cv_2026]) + SUMIF(tblAlibabaUnits[Products],$A94, tblAlibabaUnits[cv_2026]) + SUMIF(tblHuaweiUnits[Products],$A94, tblHuaweiUnits[cv_2026]) + SUMIF(tblTencentUnits[Products],$A94, tblTencentUnits[cv_2026]) + SUMIF(tblBaiduUnits[Products],$A94, tblBaiduUnits[cv_2026]) + SUMIF(tblByteDanceUnits[Products],$A94, tblByteDanceUnits[cv_2026]) + SUMIF(tblCloudAOUnits[Products],$A94, tblCloudAOUnits[cv_2026])</f>
        <v>0</v>
      </c>
      <c r="K94" s="8">
        <f xml:space="preserve"> SUMIF(tblGoogleUnits[Products],$A94, tblGoogleUnits[cv_2027]) + SUMIF(tblMetaUnits[Products],$A94, tblMetaUnits[cv_2027]) + SUMIF(tblAmazonUnits[Products],$A94, tblAmazonUnits[cv_2027]) + SUMIF(tblMicrosoftUnits[Products],$A94, tblMicrosoftUnits[cv_2027]) + SUMIF(tblAppleUnits[Products],$A94, tblAppleUnits[cv_2027]) + SUMIF(tblAlibabaUnits[Products],$A94, tblAlibabaUnits[cv_2027]) + SUMIF(tblHuaweiUnits[Products],$A94, tblHuaweiUnits[cv_2027]) + SUMIF(tblTencentUnits[Products],$A94, tblTencentUnits[cv_2027]) + SUMIF(tblBaiduUnits[Products],$A94, tblBaiduUnits[cv_2027]) + SUMIF(tblByteDanceUnits[Products],$A94, tblByteDanceUnits[cv_2027]) + SUMIF(tblCloudAOUnits[Products],$A94, tblCloudAOUnits[cv_2027])</f>
        <v>0</v>
      </c>
      <c r="L94" s="8">
        <f xml:space="preserve"> SUMIF(tblGoogleUnits[Products],$A94, tblGoogleUnits[cv_2028]) + SUMIF(tblMetaUnits[Products],$A94, tblMetaUnits[cv_2028]) + SUMIF(tblAmazonUnits[Products],$A94, tblAmazonUnits[cv_2028]) + SUMIF(tblMicrosoftUnits[Products],$A94, tblMicrosoftUnits[cv_2028]) + SUMIF(tblAppleUnits[Products],$A94, tblAppleUnits[cv_2028]) + SUMIF(tblAlibabaUnits[Products],$A94, tblAlibabaUnits[cv_2028]) + SUMIF(tblHuaweiUnits[Products],$A94, tblHuaweiUnits[cv_2028]) + SUMIF(tblTencentUnits[Products],$A94, tblTencentUnits[cv_2028]) + SUMIF(tblBaiduUnits[Products],$A94, tblBaiduUnits[cv_2028]) + SUMIF(tblByteDanceUnits[Products],$A94, tblByteDanceUnits[cv_2028]) + SUMIF(tblCloudAOUnits[Products],$A94, tblCloudAOUnits[cv_2028])</f>
        <v>0</v>
      </c>
      <c r="M94" s="122">
        <f>10^-6*B94*INDEX(TotalMarket!$M$26:$W$125,MATCH($A94,$A$11:$A$132,0),MATCH(M$10,$M$10:$W$10))</f>
        <v>529.91676369747893</v>
      </c>
      <c r="N94" s="122">
        <f>10^-6*C94*INDEX(TotalMarket!$M$26:$W$125,MATCH($A94,$A$11:$A$132,0),MATCH(N$10,$M$10:$W$10))</f>
        <v>282.64985600000006</v>
      </c>
      <c r="O94" s="122">
        <f>10^-6*D94*INDEX(TotalMarket!$M$26:$W$125,MATCH($A94,$A$11:$A$132,0),MATCH(O$10,$M$10:$W$10))</f>
        <v>0</v>
      </c>
      <c r="P94" s="122">
        <f>10^-6*E94*INDEX(TotalMarket!$M$26:$W$125,MATCH($A94,$A$11:$A$132,0),MATCH(P$10,$M$10:$W$10))</f>
        <v>0</v>
      </c>
      <c r="Q94" s="122">
        <f>10^-6*F94*INDEX(TotalMarket!$M$26:$W$125,MATCH($A94,$A$11:$A$132,0),MATCH(Q$10,$M$10:$W$10))</f>
        <v>0</v>
      </c>
      <c r="R94" s="122">
        <f>10^-6*G94*INDEX(TotalMarket!$M$26:$W$125,MATCH($A94,$A$11:$A$132,0),MATCH(R$10,$M$10:$W$10))</f>
        <v>0</v>
      </c>
      <c r="S94" s="122">
        <f>10^-6*H94*INDEX(TotalMarket!$M$26:$W$125,MATCH($A94,$A$11:$A$132,0),MATCH(S$10,$M$10:$W$10))</f>
        <v>0</v>
      </c>
      <c r="T94" s="122">
        <f>10^-6*I94*INDEX(TotalMarket!$M$26:$W$125,MATCH($A94,$A$11:$A$132,0),MATCH(T$10,$M$10:$W$10))</f>
        <v>0</v>
      </c>
      <c r="U94" s="122">
        <f>10^-6*J94*INDEX(TotalMarket!$M$26:$W$125,MATCH($A94,$A$11:$A$132,0),MATCH(U$10,$M$10:$W$10))</f>
        <v>0</v>
      </c>
      <c r="V94" s="122">
        <f>10^-6*K94*INDEX(TotalMarket!$M$26:$W$125,MATCH($A94,$A$11:$A$132,0),MATCH(V$10,$M$10:$W$10))</f>
        <v>0</v>
      </c>
      <c r="W94" s="122">
        <f>10^-6*L94*INDEX(TotalMarket!$M$26:$W$125,MATCH($A94,$A$11:$A$132,0),MATCH(W$10,$M$10:$W$10))</f>
        <v>0</v>
      </c>
      <c r="X94" s="1">
        <f>VLOOKUP(A94,Products!$A$29:$F$110,6,FALSE)</f>
        <v>100</v>
      </c>
    </row>
    <row r="95" spans="1:24">
      <c r="A95" s="15" t="s">
        <v>24</v>
      </c>
      <c r="B95" s="8">
        <f xml:space="preserve"> SUMIF(tblGoogleUnits[Products],$A95, tblGoogleUnits[cv_2018]) + SUMIF(tblMetaUnits[Products],$A95, tblMetaUnits[cv_2018]) + SUMIF(tblAmazonUnits[Products],$A95, tblAmazonUnits[cv_2018]) + SUMIF(tblMicrosoftUnits[Products],$A95, tblMicrosoftUnits[cv_2018]) + SUMIF(tblAppleUnits[Products],$A95, tblAppleUnits[cv_2018]) + SUMIF(tblAlibabaUnits[Products],$A95, tblAlibabaUnits[cv_2018]) + SUMIF(tblHuaweiUnits[Products],$A95, tblHuaweiUnits[cv_2018]) + SUMIF(tblTencentUnits[Products],$A95, tblTencentUnits[cv_2018]) + SUMIF(tblBaiduUnits[Products],$A95, tblBaiduUnits[cv_2018]) + SUMIF(tblByteDanceUnits[Products],$A95, tblByteDanceUnits[cv_2018]) + SUMIF(tblCloudAOUnits[Products],$A95, tblCloudAOUnits[cv_2018])</f>
        <v>27000</v>
      </c>
      <c r="C95" s="8">
        <f xml:space="preserve"> SUMIF(tblGoogleUnits[Products],$A95, tblGoogleUnits[cv_2019]) + SUMIF(tblMetaUnits[Products],$A95, tblMetaUnits[cv_2019]) + SUMIF(tblAmazonUnits[Products],$A95, tblAmazonUnits[cv_2019]) + SUMIF(tblMicrosoftUnits[Products],$A95, tblMicrosoftUnits[cv_2019]) + SUMIF(tblAppleUnits[Products],$A95, tblAppleUnits[cv_2019]) + SUMIF(tblAlibabaUnits[Products],$A95, tblAlibabaUnits[cv_2019]) + SUMIF(tblHuaweiUnits[Products],$A95, tblHuaweiUnits[cv_2019]) + SUMIF(tblTencentUnits[Products],$A95, tblTencentUnits[cv_2019]) + SUMIF(tblBaiduUnits[Products],$A95, tblBaiduUnits[cv_2019]) + SUMIF(tblByteDanceUnits[Products],$A95, tblByteDanceUnits[cv_2019]) + SUMIF(tblCloudAOUnits[Products],$A95, tblCloudAOUnits[cv_2019])</f>
        <v>38000</v>
      </c>
      <c r="D95" s="8">
        <f xml:space="preserve"> SUMIF(tblGoogleUnits[Products],$A95, tblGoogleUnits[cv_2020]) + SUMIF(tblMetaUnits[Products],$A95, tblMetaUnits[cv_2020]) + SUMIF(tblAmazonUnits[Products],$A95, tblAmazonUnits[cv_2020]) + SUMIF(tblMicrosoftUnits[Products],$A95, tblMicrosoftUnits[cv_2020]) + SUMIF(tblAppleUnits[Products],$A95, tblAppleUnits[cv_2020]) + SUMIF(tblAlibabaUnits[Products],$A95, tblAlibabaUnits[cv_2020]) + SUMIF(tblHuaweiUnits[Products],$A95, tblHuaweiUnits[cv_2020]) + SUMIF(tblTencentUnits[Products],$A95, tblTencentUnits[cv_2020]) + SUMIF(tblBaiduUnits[Products],$A95, tblBaiduUnits[cv_2020]) + SUMIF(tblByteDanceUnits[Products],$A95, tblByteDanceUnits[cv_2020]) + SUMIF(tblCloudAOUnits[Products],$A95, tblCloudAOUnits[cv_2020])</f>
        <v>0</v>
      </c>
      <c r="E95" s="8">
        <f xml:space="preserve"> SUMIF(tblGoogleUnits[Products],$A95, tblGoogleUnits[cv_2021]) + SUMIF(tblMetaUnits[Products],$A95, tblMetaUnits[cv_2021]) + SUMIF(tblAmazonUnits[Products],$A95, tblAmazonUnits[cv_2021]) + SUMIF(tblMicrosoftUnits[Products],$A95, tblMicrosoftUnits[cv_2021]) + SUMIF(tblAppleUnits[Products],$A95, tblAppleUnits[cv_2021]) + SUMIF(tblAlibabaUnits[Products],$A95, tblAlibabaUnits[cv_2021]) + SUMIF(tblHuaweiUnits[Products],$A95, tblHuaweiUnits[cv_2021]) + SUMIF(tblTencentUnits[Products],$A95, tblTencentUnits[cv_2021]) + SUMIF(tblBaiduUnits[Products],$A95, tblBaiduUnits[cv_2021]) + SUMIF(tblByteDanceUnits[Products],$A95, tblByteDanceUnits[cv_2021]) + SUMIF(tblCloudAOUnits[Products],$A95, tblCloudAOUnits[cv_2021])</f>
        <v>0</v>
      </c>
      <c r="F95" s="8">
        <f xml:space="preserve"> SUMIF(tblGoogleUnits[Products],$A95, tblGoogleUnits[cv_2022]) + SUMIF(tblMetaUnits[Products],$A95, tblMetaUnits[cv_2022]) + SUMIF(tblAmazonUnits[Products],$A95, tblAmazonUnits[cv_2022]) + SUMIF(tblMicrosoftUnits[Products],$A95, tblMicrosoftUnits[cv_2022]) + SUMIF(tblAppleUnits[Products],$A95, tblAppleUnits[cv_2022]) + SUMIF(tblAlibabaUnits[Products],$A95, tblAlibabaUnits[cv_2022]) + SUMIF(tblHuaweiUnits[Products],$A95, tblHuaweiUnits[cv_2022]) + SUMIF(tblTencentUnits[Products],$A95, tblTencentUnits[cv_2022]) + SUMIF(tblBaiduUnits[Products],$A95, tblBaiduUnits[cv_2022]) + SUMIF(tblByteDanceUnits[Products],$A95, tblByteDanceUnits[cv_2022]) + SUMIF(tblCloudAOUnits[Products],$A95, tblCloudAOUnits[cv_2022])</f>
        <v>0</v>
      </c>
      <c r="G95" s="8">
        <f xml:space="preserve"> SUMIF(tblGoogleUnits[Products],$A95, tblGoogleUnits[cv_2023]) + SUMIF(tblMetaUnits[Products],$A95, tblMetaUnits[cv_2023]) + SUMIF(tblAmazonUnits[Products],$A95, tblAmazonUnits[cv_2023]) + SUMIF(tblMicrosoftUnits[Products],$A95, tblMicrosoftUnits[cv_2023]) + SUMIF(tblAppleUnits[Products],$A95, tblAppleUnits[cv_2023]) + SUMIF(tblAlibabaUnits[Products],$A95, tblAlibabaUnits[cv_2023]) + SUMIF(tblHuaweiUnits[Products],$A95, tblHuaweiUnits[cv_2023]) + SUMIF(tblTencentUnits[Products],$A95, tblTencentUnits[cv_2023]) + SUMIF(tblBaiduUnits[Products],$A95, tblBaiduUnits[cv_2023]) + SUMIF(tblByteDanceUnits[Products],$A95, tblByteDanceUnits[cv_2023]) + SUMIF(tblCloudAOUnits[Products],$A95, tblCloudAOUnits[cv_2023])</f>
        <v>0</v>
      </c>
      <c r="H95" s="8">
        <f xml:space="preserve"> SUMIF(tblGoogleUnits[Products],$A95, tblGoogleUnits[cv_2024]) + SUMIF(tblMetaUnits[Products],$A95, tblMetaUnits[cv_2024]) + SUMIF(tblAmazonUnits[Products],$A95, tblAmazonUnits[cv_2024]) + SUMIF(tblMicrosoftUnits[Products],$A95, tblMicrosoftUnits[cv_2024]) + SUMIF(tblAppleUnits[Products],$A95, tblAppleUnits[cv_2024]) + SUMIF(tblAlibabaUnits[Products],$A95, tblAlibabaUnits[cv_2024]) + SUMIF(tblHuaweiUnits[Products],$A95, tblHuaweiUnits[cv_2024]) + SUMIF(tblTencentUnits[Products],$A95, tblTencentUnits[cv_2024]) + SUMIF(tblBaiduUnits[Products],$A95, tblBaiduUnits[cv_2024]) + SUMIF(tblByteDanceUnits[Products],$A95, tblByteDanceUnits[cv_2024]) + SUMIF(tblCloudAOUnits[Products],$A95, tblCloudAOUnits[cv_2024])</f>
        <v>0</v>
      </c>
      <c r="I95" s="8">
        <f xml:space="preserve"> SUMIF(tblGoogleUnits[Products],$A95, tblGoogleUnits[cv_2025]) + SUMIF(tblMetaUnits[Products],$A95, tblMetaUnits[cv_2025]) + SUMIF(tblAmazonUnits[Products],$A95, tblAmazonUnits[cv_2025]) + SUMIF(tblMicrosoftUnits[Products],$A95, tblMicrosoftUnits[cv_2025]) + SUMIF(tblAppleUnits[Products],$A95, tblAppleUnits[cv_2025]) + SUMIF(tblAlibabaUnits[Products],$A95, tblAlibabaUnits[cv_2025]) + SUMIF(tblHuaweiUnits[Products],$A95, tblHuaweiUnits[cv_2025]) + SUMIF(tblTencentUnits[Products],$A95, tblTencentUnits[cv_2025]) + SUMIF(tblBaiduUnits[Products],$A95, tblBaiduUnits[cv_2025]) + SUMIF(tblByteDanceUnits[Products],$A95, tblByteDanceUnits[cv_2025]) + SUMIF(tblCloudAOUnits[Products],$A95, tblCloudAOUnits[cv_2025])</f>
        <v>0</v>
      </c>
      <c r="J95" s="8">
        <f xml:space="preserve"> SUMIF(tblGoogleUnits[Products],$A95, tblGoogleUnits[cv_2026]) + SUMIF(tblMetaUnits[Products],$A95, tblMetaUnits[cv_2026]) + SUMIF(tblAmazonUnits[Products],$A95, tblAmazonUnits[cv_2026]) + SUMIF(tblMicrosoftUnits[Products],$A95, tblMicrosoftUnits[cv_2026]) + SUMIF(tblAppleUnits[Products],$A95, tblAppleUnits[cv_2026]) + SUMIF(tblAlibabaUnits[Products],$A95, tblAlibabaUnits[cv_2026]) + SUMIF(tblHuaweiUnits[Products],$A95, tblHuaweiUnits[cv_2026]) + SUMIF(tblTencentUnits[Products],$A95, tblTencentUnits[cv_2026]) + SUMIF(tblBaiduUnits[Products],$A95, tblBaiduUnits[cv_2026]) + SUMIF(tblByteDanceUnits[Products],$A95, tblByteDanceUnits[cv_2026]) + SUMIF(tblCloudAOUnits[Products],$A95, tblCloudAOUnits[cv_2026])</f>
        <v>0</v>
      </c>
      <c r="K95" s="8">
        <f xml:space="preserve"> SUMIF(tblGoogleUnits[Products],$A95, tblGoogleUnits[cv_2027]) + SUMIF(tblMetaUnits[Products],$A95, tblMetaUnits[cv_2027]) + SUMIF(tblAmazonUnits[Products],$A95, tblAmazonUnits[cv_2027]) + SUMIF(tblMicrosoftUnits[Products],$A95, tblMicrosoftUnits[cv_2027]) + SUMIF(tblAppleUnits[Products],$A95, tblAppleUnits[cv_2027]) + SUMIF(tblAlibabaUnits[Products],$A95, tblAlibabaUnits[cv_2027]) + SUMIF(tblHuaweiUnits[Products],$A95, tblHuaweiUnits[cv_2027]) + SUMIF(tblTencentUnits[Products],$A95, tblTencentUnits[cv_2027]) + SUMIF(tblBaiduUnits[Products],$A95, tblBaiduUnits[cv_2027]) + SUMIF(tblByteDanceUnits[Products],$A95, tblByteDanceUnits[cv_2027]) + SUMIF(tblCloudAOUnits[Products],$A95, tblCloudAOUnits[cv_2027])</f>
        <v>0</v>
      </c>
      <c r="L95" s="8">
        <f xml:space="preserve"> SUMIF(tblGoogleUnits[Products],$A95, tblGoogleUnits[cv_2028]) + SUMIF(tblMetaUnits[Products],$A95, tblMetaUnits[cv_2028]) + SUMIF(tblAmazonUnits[Products],$A95, tblAmazonUnits[cv_2028]) + SUMIF(tblMicrosoftUnits[Products],$A95, tblMicrosoftUnits[cv_2028]) + SUMIF(tblAppleUnits[Products],$A95, tblAppleUnits[cv_2028]) + SUMIF(tblAlibabaUnits[Products],$A95, tblAlibabaUnits[cv_2028]) + SUMIF(tblHuaweiUnits[Products],$A95, tblHuaweiUnits[cv_2028]) + SUMIF(tblTencentUnits[Products],$A95, tblTencentUnits[cv_2028]) + SUMIF(tblBaiduUnits[Products],$A95, tblBaiduUnits[cv_2028]) + SUMIF(tblByteDanceUnits[Products],$A95, tblByteDanceUnits[cv_2028]) + SUMIF(tblCloudAOUnits[Products],$A95, tblCloudAOUnits[cv_2028])</f>
        <v>0</v>
      </c>
      <c r="M95" s="122">
        <f>10^-6*B95*INDEX(TotalMarket!$M$26:$W$125,MATCH($A95,$A$11:$A$132,0),MATCH(M$10,$M$10:$W$10))</f>
        <v>71.334000000000003</v>
      </c>
      <c r="N95" s="122">
        <f>10^-6*C95*INDEX(TotalMarket!$M$26:$W$125,MATCH($A95,$A$11:$A$132,0),MATCH(N$10,$M$10:$W$10))</f>
        <v>93.416666666666671</v>
      </c>
      <c r="O95" s="122">
        <f>10^-6*D95*INDEX(TotalMarket!$M$26:$W$125,MATCH($A95,$A$11:$A$132,0),MATCH(O$10,$M$10:$W$10))</f>
        <v>0</v>
      </c>
      <c r="P95" s="122">
        <f>10^-6*E95*INDEX(TotalMarket!$M$26:$W$125,MATCH($A95,$A$11:$A$132,0),MATCH(P$10,$M$10:$W$10))</f>
        <v>0</v>
      </c>
      <c r="Q95" s="122">
        <f>10^-6*F95*INDEX(TotalMarket!$M$26:$W$125,MATCH($A95,$A$11:$A$132,0),MATCH(Q$10,$M$10:$W$10))</f>
        <v>0</v>
      </c>
      <c r="R95" s="122">
        <f>10^-6*G95*INDEX(TotalMarket!$M$26:$W$125,MATCH($A95,$A$11:$A$132,0),MATCH(R$10,$M$10:$W$10))</f>
        <v>0</v>
      </c>
      <c r="S95" s="122">
        <f>10^-6*H95*INDEX(TotalMarket!$M$26:$W$125,MATCH($A95,$A$11:$A$132,0),MATCH(S$10,$M$10:$W$10))</f>
        <v>0</v>
      </c>
      <c r="T95" s="122">
        <f>10^-6*I95*INDEX(TotalMarket!$M$26:$W$125,MATCH($A95,$A$11:$A$132,0),MATCH(T$10,$M$10:$W$10))</f>
        <v>0</v>
      </c>
      <c r="U95" s="122">
        <f>10^-6*J95*INDEX(TotalMarket!$M$26:$W$125,MATCH($A95,$A$11:$A$132,0),MATCH(U$10,$M$10:$W$10))</f>
        <v>0</v>
      </c>
      <c r="V95" s="122">
        <f>10^-6*K95*INDEX(TotalMarket!$M$26:$W$125,MATCH($A95,$A$11:$A$132,0),MATCH(V$10,$M$10:$W$10))</f>
        <v>0</v>
      </c>
      <c r="W95" s="122">
        <f>10^-6*L95*INDEX(TotalMarket!$M$26:$W$125,MATCH($A95,$A$11:$A$132,0),MATCH(W$10,$M$10:$W$10))</f>
        <v>0</v>
      </c>
      <c r="X95" s="1">
        <f>VLOOKUP(A95,Products!$A$29:$F$110,6,FALSE)</f>
        <v>100</v>
      </c>
    </row>
    <row r="96" spans="1:24">
      <c r="A96" s="15" t="s">
        <v>25</v>
      </c>
      <c r="B96" s="8">
        <f xml:space="preserve"> SUMIF(tblGoogleUnits[Products],$A96, tblGoogleUnits[cv_2018]) + SUMIF(tblMetaUnits[Products],$A96, tblMetaUnits[cv_2018]) + SUMIF(tblAmazonUnits[Products],$A96, tblAmazonUnits[cv_2018]) + SUMIF(tblMicrosoftUnits[Products],$A96, tblMicrosoftUnits[cv_2018]) + SUMIF(tblAppleUnits[Products],$A96, tblAppleUnits[cv_2018]) + SUMIF(tblAlibabaUnits[Products],$A96, tblAlibabaUnits[cv_2018]) + SUMIF(tblHuaweiUnits[Products],$A96, tblHuaweiUnits[cv_2018]) + SUMIF(tblTencentUnits[Products],$A96, tblTencentUnits[cv_2018]) + SUMIF(tblBaiduUnits[Products],$A96, tblBaiduUnits[cv_2018]) + SUMIF(tblByteDanceUnits[Products],$A96, tblByteDanceUnits[cv_2018]) + SUMIF(tblCloudAOUnits[Products],$A96, tblCloudAOUnits[cv_2018])</f>
        <v>9370.720575980391</v>
      </c>
      <c r="C96" s="8">
        <f xml:space="preserve"> SUMIF(tblGoogleUnits[Products],$A96, tblGoogleUnits[cv_2019]) + SUMIF(tblMetaUnits[Products],$A96, tblMetaUnits[cv_2019]) + SUMIF(tblAmazonUnits[Products],$A96, tblAmazonUnits[cv_2019]) + SUMIF(tblMicrosoftUnits[Products],$A96, tblMicrosoftUnits[cv_2019]) + SUMIF(tblAppleUnits[Products],$A96, tblAppleUnits[cv_2019]) + SUMIF(tblAlibabaUnits[Products],$A96, tblAlibabaUnits[cv_2019]) + SUMIF(tblHuaweiUnits[Products],$A96, tblHuaweiUnits[cv_2019]) + SUMIF(tblTencentUnits[Products],$A96, tblTencentUnits[cv_2019]) + SUMIF(tblBaiduUnits[Products],$A96, tblBaiduUnits[cv_2019]) + SUMIF(tblByteDanceUnits[Products],$A96, tblByteDanceUnits[cv_2019]) + SUMIF(tblCloudAOUnits[Products],$A96, tblCloudAOUnits[cv_2019])</f>
        <v>14659.563999999998</v>
      </c>
      <c r="D96" s="8">
        <f xml:space="preserve"> SUMIF(tblGoogleUnits[Products],$A96, tblGoogleUnits[cv_2020]) + SUMIF(tblMetaUnits[Products],$A96, tblMetaUnits[cv_2020]) + SUMIF(tblAmazonUnits[Products],$A96, tblAmazonUnits[cv_2020]) + SUMIF(tblMicrosoftUnits[Products],$A96, tblMicrosoftUnits[cv_2020]) + SUMIF(tblAppleUnits[Products],$A96, tblAppleUnits[cv_2020]) + SUMIF(tblAlibabaUnits[Products],$A96, tblAlibabaUnits[cv_2020]) + SUMIF(tblHuaweiUnits[Products],$A96, tblHuaweiUnits[cv_2020]) + SUMIF(tblTencentUnits[Products],$A96, tblTencentUnits[cv_2020]) + SUMIF(tblBaiduUnits[Products],$A96, tblBaiduUnits[cv_2020]) + SUMIF(tblByteDanceUnits[Products],$A96, tblByteDanceUnits[cv_2020]) + SUMIF(tblCloudAOUnits[Products],$A96, tblCloudAOUnits[cv_2020])</f>
        <v>0</v>
      </c>
      <c r="E96" s="8">
        <f xml:space="preserve"> SUMIF(tblGoogleUnits[Products],$A96, tblGoogleUnits[cv_2021]) + SUMIF(tblMetaUnits[Products],$A96, tblMetaUnits[cv_2021]) + SUMIF(tblAmazonUnits[Products],$A96, tblAmazonUnits[cv_2021]) + SUMIF(tblMicrosoftUnits[Products],$A96, tblMicrosoftUnits[cv_2021]) + SUMIF(tblAppleUnits[Products],$A96, tblAppleUnits[cv_2021]) + SUMIF(tblAlibabaUnits[Products],$A96, tblAlibabaUnits[cv_2021]) + SUMIF(tblHuaweiUnits[Products],$A96, tblHuaweiUnits[cv_2021]) + SUMIF(tblTencentUnits[Products],$A96, tblTencentUnits[cv_2021]) + SUMIF(tblBaiduUnits[Products],$A96, tblBaiduUnits[cv_2021]) + SUMIF(tblByteDanceUnits[Products],$A96, tblByteDanceUnits[cv_2021]) + SUMIF(tblCloudAOUnits[Products],$A96, tblCloudAOUnits[cv_2021])</f>
        <v>0</v>
      </c>
      <c r="F96" s="8">
        <f xml:space="preserve"> SUMIF(tblGoogleUnits[Products],$A96, tblGoogleUnits[cv_2022]) + SUMIF(tblMetaUnits[Products],$A96, tblMetaUnits[cv_2022]) + SUMIF(tblAmazonUnits[Products],$A96, tblAmazonUnits[cv_2022]) + SUMIF(tblMicrosoftUnits[Products],$A96, tblMicrosoftUnits[cv_2022]) + SUMIF(tblAppleUnits[Products],$A96, tblAppleUnits[cv_2022]) + SUMIF(tblAlibabaUnits[Products],$A96, tblAlibabaUnits[cv_2022]) + SUMIF(tblHuaweiUnits[Products],$A96, tblHuaweiUnits[cv_2022]) + SUMIF(tblTencentUnits[Products],$A96, tblTencentUnits[cv_2022]) + SUMIF(tblBaiduUnits[Products],$A96, tblBaiduUnits[cv_2022]) + SUMIF(tblByteDanceUnits[Products],$A96, tblByteDanceUnits[cv_2022]) + SUMIF(tblCloudAOUnits[Products],$A96, tblCloudAOUnits[cv_2022])</f>
        <v>0</v>
      </c>
      <c r="G96" s="8">
        <f xml:space="preserve"> SUMIF(tblGoogleUnits[Products],$A96, tblGoogleUnits[cv_2023]) + SUMIF(tblMetaUnits[Products],$A96, tblMetaUnits[cv_2023]) + SUMIF(tblAmazonUnits[Products],$A96, tblAmazonUnits[cv_2023]) + SUMIF(tblMicrosoftUnits[Products],$A96, tblMicrosoftUnits[cv_2023]) + SUMIF(tblAppleUnits[Products],$A96, tblAppleUnits[cv_2023]) + SUMIF(tblAlibabaUnits[Products],$A96, tblAlibabaUnits[cv_2023]) + SUMIF(tblHuaweiUnits[Products],$A96, tblHuaweiUnits[cv_2023]) + SUMIF(tblTencentUnits[Products],$A96, tblTencentUnits[cv_2023]) + SUMIF(tblBaiduUnits[Products],$A96, tblBaiduUnits[cv_2023]) + SUMIF(tblByteDanceUnits[Products],$A96, tblByteDanceUnits[cv_2023]) + SUMIF(tblCloudAOUnits[Products],$A96, tblCloudAOUnits[cv_2023])</f>
        <v>0</v>
      </c>
      <c r="H96" s="8">
        <f xml:space="preserve"> SUMIF(tblGoogleUnits[Products],$A96, tblGoogleUnits[cv_2024]) + SUMIF(tblMetaUnits[Products],$A96, tblMetaUnits[cv_2024]) + SUMIF(tblAmazonUnits[Products],$A96, tblAmazonUnits[cv_2024]) + SUMIF(tblMicrosoftUnits[Products],$A96, tblMicrosoftUnits[cv_2024]) + SUMIF(tblAppleUnits[Products],$A96, tblAppleUnits[cv_2024]) + SUMIF(tblAlibabaUnits[Products],$A96, tblAlibabaUnits[cv_2024]) + SUMIF(tblHuaweiUnits[Products],$A96, tblHuaweiUnits[cv_2024]) + SUMIF(tblTencentUnits[Products],$A96, tblTencentUnits[cv_2024]) + SUMIF(tblBaiduUnits[Products],$A96, tblBaiduUnits[cv_2024]) + SUMIF(tblByteDanceUnits[Products],$A96, tblByteDanceUnits[cv_2024]) + SUMIF(tblCloudAOUnits[Products],$A96, tblCloudAOUnits[cv_2024])</f>
        <v>0</v>
      </c>
      <c r="I96" s="8">
        <f xml:space="preserve"> SUMIF(tblGoogleUnits[Products],$A96, tblGoogleUnits[cv_2025]) + SUMIF(tblMetaUnits[Products],$A96, tblMetaUnits[cv_2025]) + SUMIF(tblAmazonUnits[Products],$A96, tblAmazonUnits[cv_2025]) + SUMIF(tblMicrosoftUnits[Products],$A96, tblMicrosoftUnits[cv_2025]) + SUMIF(tblAppleUnits[Products],$A96, tblAppleUnits[cv_2025]) + SUMIF(tblAlibabaUnits[Products],$A96, tblAlibabaUnits[cv_2025]) + SUMIF(tblHuaweiUnits[Products],$A96, tblHuaweiUnits[cv_2025]) + SUMIF(tblTencentUnits[Products],$A96, tblTencentUnits[cv_2025]) + SUMIF(tblBaiduUnits[Products],$A96, tblBaiduUnits[cv_2025]) + SUMIF(tblByteDanceUnits[Products],$A96, tblByteDanceUnits[cv_2025]) + SUMIF(tblCloudAOUnits[Products],$A96, tblCloudAOUnits[cv_2025])</f>
        <v>0</v>
      </c>
      <c r="J96" s="8">
        <f xml:space="preserve"> SUMIF(tblGoogleUnits[Products],$A96, tblGoogleUnits[cv_2026]) + SUMIF(tblMetaUnits[Products],$A96, tblMetaUnits[cv_2026]) + SUMIF(tblAmazonUnits[Products],$A96, tblAmazonUnits[cv_2026]) + SUMIF(tblMicrosoftUnits[Products],$A96, tblMicrosoftUnits[cv_2026]) + SUMIF(tblAppleUnits[Products],$A96, tblAppleUnits[cv_2026]) + SUMIF(tblAlibabaUnits[Products],$A96, tblAlibabaUnits[cv_2026]) + SUMIF(tblHuaweiUnits[Products],$A96, tblHuaweiUnits[cv_2026]) + SUMIF(tblTencentUnits[Products],$A96, tblTencentUnits[cv_2026]) + SUMIF(tblBaiduUnits[Products],$A96, tblBaiduUnits[cv_2026]) + SUMIF(tblByteDanceUnits[Products],$A96, tblByteDanceUnits[cv_2026]) + SUMIF(tblCloudAOUnits[Products],$A96, tblCloudAOUnits[cv_2026])</f>
        <v>0</v>
      </c>
      <c r="K96" s="8">
        <f xml:space="preserve"> SUMIF(tblGoogleUnits[Products],$A96, tblGoogleUnits[cv_2027]) + SUMIF(tblMetaUnits[Products],$A96, tblMetaUnits[cv_2027]) + SUMIF(tblAmazonUnits[Products],$A96, tblAmazonUnits[cv_2027]) + SUMIF(tblMicrosoftUnits[Products],$A96, tblMicrosoftUnits[cv_2027]) + SUMIF(tblAppleUnits[Products],$A96, tblAppleUnits[cv_2027]) + SUMIF(tblAlibabaUnits[Products],$A96, tblAlibabaUnits[cv_2027]) + SUMIF(tblHuaweiUnits[Products],$A96, tblHuaweiUnits[cv_2027]) + SUMIF(tblTencentUnits[Products],$A96, tblTencentUnits[cv_2027]) + SUMIF(tblBaiduUnits[Products],$A96, tblBaiduUnits[cv_2027]) + SUMIF(tblByteDanceUnits[Products],$A96, tblByteDanceUnits[cv_2027]) + SUMIF(tblCloudAOUnits[Products],$A96, tblCloudAOUnits[cv_2027])</f>
        <v>0</v>
      </c>
      <c r="L96" s="8">
        <f xml:space="preserve"> SUMIF(tblGoogleUnits[Products],$A96, tblGoogleUnits[cv_2028]) + SUMIF(tblMetaUnits[Products],$A96, tblMetaUnits[cv_2028]) + SUMIF(tblAmazonUnits[Products],$A96, tblAmazonUnits[cv_2028]) + SUMIF(tblMicrosoftUnits[Products],$A96, tblMicrosoftUnits[cv_2028]) + SUMIF(tblAppleUnits[Products],$A96, tblAppleUnits[cv_2028]) + SUMIF(tblAlibabaUnits[Products],$A96, tblAlibabaUnits[cv_2028]) + SUMIF(tblHuaweiUnits[Products],$A96, tblHuaweiUnits[cv_2028]) + SUMIF(tblTencentUnits[Products],$A96, tblTencentUnits[cv_2028]) + SUMIF(tblBaiduUnits[Products],$A96, tblBaiduUnits[cv_2028]) + SUMIF(tblByteDanceUnits[Products],$A96, tblByteDanceUnits[cv_2028]) + SUMIF(tblCloudAOUnits[Products],$A96, tblCloudAOUnits[cv_2028])</f>
        <v>0</v>
      </c>
      <c r="M96" s="122">
        <f>10^-6*B96*INDEX(TotalMarket!$M$26:$W$125,MATCH($A96,$A$11:$A$132,0),MATCH(M$10,$M$10:$W$10))</f>
        <v>51.538963167892149</v>
      </c>
      <c r="N96" s="122">
        <f>10^-6*C96*INDEX(TotalMarket!$M$26:$W$125,MATCH($A96,$A$11:$A$132,0),MATCH(N$10,$M$10:$W$10))</f>
        <v>64.502081599999997</v>
      </c>
      <c r="O96" s="122">
        <f>10^-6*D96*INDEX(TotalMarket!$M$26:$W$125,MATCH($A96,$A$11:$A$132,0),MATCH(O$10,$M$10:$W$10))</f>
        <v>0</v>
      </c>
      <c r="P96" s="122">
        <f>10^-6*E96*INDEX(TotalMarket!$M$26:$W$125,MATCH($A96,$A$11:$A$132,0),MATCH(P$10,$M$10:$W$10))</f>
        <v>0</v>
      </c>
      <c r="Q96" s="122">
        <f>10^-6*F96*INDEX(TotalMarket!$M$26:$W$125,MATCH($A96,$A$11:$A$132,0),MATCH(Q$10,$M$10:$W$10))</f>
        <v>0</v>
      </c>
      <c r="R96" s="122">
        <f>10^-6*G96*INDEX(TotalMarket!$M$26:$W$125,MATCH($A96,$A$11:$A$132,0),MATCH(R$10,$M$10:$W$10))</f>
        <v>0</v>
      </c>
      <c r="S96" s="122">
        <f>10^-6*H96*INDEX(TotalMarket!$M$26:$W$125,MATCH($A96,$A$11:$A$132,0),MATCH(S$10,$M$10:$W$10))</f>
        <v>0</v>
      </c>
      <c r="T96" s="122">
        <f>10^-6*I96*INDEX(TotalMarket!$M$26:$W$125,MATCH($A96,$A$11:$A$132,0),MATCH(T$10,$M$10:$W$10))</f>
        <v>0</v>
      </c>
      <c r="U96" s="122">
        <f>10^-6*J96*INDEX(TotalMarket!$M$26:$W$125,MATCH($A96,$A$11:$A$132,0),MATCH(U$10,$M$10:$W$10))</f>
        <v>0</v>
      </c>
      <c r="V96" s="122">
        <f>10^-6*K96*INDEX(TotalMarket!$M$26:$W$125,MATCH($A96,$A$11:$A$132,0),MATCH(V$10,$M$10:$W$10))</f>
        <v>0</v>
      </c>
      <c r="W96" s="122">
        <f>10^-6*L96*INDEX(TotalMarket!$M$26:$W$125,MATCH($A96,$A$11:$A$132,0),MATCH(W$10,$M$10:$W$10))</f>
        <v>0</v>
      </c>
      <c r="X96" s="1">
        <f>VLOOKUP(A96,Products!$A$29:$F$110,6,FALSE)</f>
        <v>100</v>
      </c>
    </row>
    <row r="97" spans="1:24">
      <c r="A97" s="15" t="s">
        <v>26</v>
      </c>
      <c r="B97" s="8">
        <f xml:space="preserve"> SUMIF(tblGoogleUnits[Products],$A97, tblGoogleUnits[cv_2018]) + SUMIF(tblMetaUnits[Products],$A97, tblMetaUnits[cv_2018]) + SUMIF(tblAmazonUnits[Products],$A97, tblAmazonUnits[cv_2018]) + SUMIF(tblMicrosoftUnits[Products],$A97, tblMicrosoftUnits[cv_2018]) + SUMIF(tblAppleUnits[Products],$A97, tblAppleUnits[cv_2018]) + SUMIF(tblAlibabaUnits[Products],$A97, tblAlibabaUnits[cv_2018]) + SUMIF(tblHuaweiUnits[Products],$A97, tblHuaweiUnits[cv_2018]) + SUMIF(tblTencentUnits[Products],$A97, tblTencentUnits[cv_2018]) + SUMIF(tblBaiduUnits[Products],$A97, tblBaiduUnits[cv_2018]) + SUMIF(tblByteDanceUnits[Products],$A97, tblByteDanceUnits[cv_2018]) + SUMIF(tblCloudAOUnits[Products],$A97, tblCloudAOUnits[cv_2018])</f>
        <v>0</v>
      </c>
      <c r="C97" s="8">
        <f xml:space="preserve"> SUMIF(tblGoogleUnits[Products],$A97, tblGoogleUnits[cv_2019]) + SUMIF(tblMetaUnits[Products],$A97, tblMetaUnits[cv_2019]) + SUMIF(tblAmazonUnits[Products],$A97, tblAmazonUnits[cv_2019]) + SUMIF(tblMicrosoftUnits[Products],$A97, tblMicrosoftUnits[cv_2019]) + SUMIF(tblAppleUnits[Products],$A97, tblAppleUnits[cv_2019]) + SUMIF(tblAlibabaUnits[Products],$A97, tblAlibabaUnits[cv_2019]) + SUMIF(tblHuaweiUnits[Products],$A97, tblHuaweiUnits[cv_2019]) + SUMIF(tblTencentUnits[Products],$A97, tblTencentUnits[cv_2019]) + SUMIF(tblBaiduUnits[Products],$A97, tblBaiduUnits[cv_2019]) + SUMIF(tblByteDanceUnits[Products],$A97, tblByteDanceUnits[cv_2019]) + SUMIF(tblCloudAOUnits[Products],$A97, tblCloudAOUnits[cv_2019])</f>
        <v>0</v>
      </c>
      <c r="D97" s="8">
        <f xml:space="preserve"> SUMIF(tblGoogleUnits[Products],$A97, tblGoogleUnits[cv_2020]) + SUMIF(tblMetaUnits[Products],$A97, tblMetaUnits[cv_2020]) + SUMIF(tblAmazonUnits[Products],$A97, tblAmazonUnits[cv_2020]) + SUMIF(tblMicrosoftUnits[Products],$A97, tblMicrosoftUnits[cv_2020]) + SUMIF(tblAppleUnits[Products],$A97, tblAppleUnits[cv_2020]) + SUMIF(tblAlibabaUnits[Products],$A97, tblAlibabaUnits[cv_2020]) + SUMIF(tblHuaweiUnits[Products],$A97, tblHuaweiUnits[cv_2020]) + SUMIF(tblTencentUnits[Products],$A97, tblTencentUnits[cv_2020]) + SUMIF(tblBaiduUnits[Products],$A97, tblBaiduUnits[cv_2020]) + SUMIF(tblByteDanceUnits[Products],$A97, tblByteDanceUnits[cv_2020]) + SUMIF(tblCloudAOUnits[Products],$A97, tblCloudAOUnits[cv_2020])</f>
        <v>0</v>
      </c>
      <c r="E97" s="8">
        <f xml:space="preserve"> SUMIF(tblGoogleUnits[Products],$A97, tblGoogleUnits[cv_2021]) + SUMIF(tblMetaUnits[Products],$A97, tblMetaUnits[cv_2021]) + SUMIF(tblAmazonUnits[Products],$A97, tblAmazonUnits[cv_2021]) + SUMIF(tblMicrosoftUnits[Products],$A97, tblMicrosoftUnits[cv_2021]) + SUMIF(tblAppleUnits[Products],$A97, tblAppleUnits[cv_2021]) + SUMIF(tblAlibabaUnits[Products],$A97, tblAlibabaUnits[cv_2021]) + SUMIF(tblHuaweiUnits[Products],$A97, tblHuaweiUnits[cv_2021]) + SUMIF(tblTencentUnits[Products],$A97, tblTencentUnits[cv_2021]) + SUMIF(tblBaiduUnits[Products],$A97, tblBaiduUnits[cv_2021]) + SUMIF(tblByteDanceUnits[Products],$A97, tblByteDanceUnits[cv_2021]) + SUMIF(tblCloudAOUnits[Products],$A97, tblCloudAOUnits[cv_2021])</f>
        <v>0</v>
      </c>
      <c r="F97" s="8">
        <f xml:space="preserve"> SUMIF(tblGoogleUnits[Products],$A97, tblGoogleUnits[cv_2022]) + SUMIF(tblMetaUnits[Products],$A97, tblMetaUnits[cv_2022]) + SUMIF(tblAmazonUnits[Products],$A97, tblAmazonUnits[cv_2022]) + SUMIF(tblMicrosoftUnits[Products],$A97, tblMicrosoftUnits[cv_2022]) + SUMIF(tblAppleUnits[Products],$A97, tblAppleUnits[cv_2022]) + SUMIF(tblAlibabaUnits[Products],$A97, tblAlibabaUnits[cv_2022]) + SUMIF(tblHuaweiUnits[Products],$A97, tblHuaweiUnits[cv_2022]) + SUMIF(tblTencentUnits[Products],$A97, tblTencentUnits[cv_2022]) + SUMIF(tblBaiduUnits[Products],$A97, tblBaiduUnits[cv_2022]) + SUMIF(tblByteDanceUnits[Products],$A97, tblByteDanceUnits[cv_2022]) + SUMIF(tblCloudAOUnits[Products],$A97, tblCloudAOUnits[cv_2022])</f>
        <v>0</v>
      </c>
      <c r="G97" s="8">
        <f xml:space="preserve"> SUMIF(tblGoogleUnits[Products],$A97, tblGoogleUnits[cv_2023]) + SUMIF(tblMetaUnits[Products],$A97, tblMetaUnits[cv_2023]) + SUMIF(tblAmazonUnits[Products],$A97, tblAmazonUnits[cv_2023]) + SUMIF(tblMicrosoftUnits[Products],$A97, tblMicrosoftUnits[cv_2023]) + SUMIF(tblAppleUnits[Products],$A97, tblAppleUnits[cv_2023]) + SUMIF(tblAlibabaUnits[Products],$A97, tblAlibabaUnits[cv_2023]) + SUMIF(tblHuaweiUnits[Products],$A97, tblHuaweiUnits[cv_2023]) + SUMIF(tblTencentUnits[Products],$A97, tblTencentUnits[cv_2023]) + SUMIF(tblBaiduUnits[Products],$A97, tblBaiduUnits[cv_2023]) + SUMIF(tblByteDanceUnits[Products],$A97, tblByteDanceUnits[cv_2023]) + SUMIF(tblCloudAOUnits[Products],$A97, tblCloudAOUnits[cv_2023])</f>
        <v>0</v>
      </c>
      <c r="H97" s="8">
        <f xml:space="preserve"> SUMIF(tblGoogleUnits[Products],$A97, tblGoogleUnits[cv_2024]) + SUMIF(tblMetaUnits[Products],$A97, tblMetaUnits[cv_2024]) + SUMIF(tblAmazonUnits[Products],$A97, tblAmazonUnits[cv_2024]) + SUMIF(tblMicrosoftUnits[Products],$A97, tblMicrosoftUnits[cv_2024]) + SUMIF(tblAppleUnits[Products],$A97, tblAppleUnits[cv_2024]) + SUMIF(tblAlibabaUnits[Products],$A97, tblAlibabaUnits[cv_2024]) + SUMIF(tblHuaweiUnits[Products],$A97, tblHuaweiUnits[cv_2024]) + SUMIF(tblTencentUnits[Products],$A97, tblTencentUnits[cv_2024]) + SUMIF(tblBaiduUnits[Products],$A97, tblBaiduUnits[cv_2024]) + SUMIF(tblByteDanceUnits[Products],$A97, tblByteDanceUnits[cv_2024]) + SUMIF(tblCloudAOUnits[Products],$A97, tblCloudAOUnits[cv_2024])</f>
        <v>0</v>
      </c>
      <c r="I97" s="8">
        <f xml:space="preserve"> SUMIF(tblGoogleUnits[Products],$A97, tblGoogleUnits[cv_2025]) + SUMIF(tblMetaUnits[Products],$A97, tblMetaUnits[cv_2025]) + SUMIF(tblAmazonUnits[Products],$A97, tblAmazonUnits[cv_2025]) + SUMIF(tblMicrosoftUnits[Products],$A97, tblMicrosoftUnits[cv_2025]) + SUMIF(tblAppleUnits[Products],$A97, tblAppleUnits[cv_2025]) + SUMIF(tblAlibabaUnits[Products],$A97, tblAlibabaUnits[cv_2025]) + SUMIF(tblHuaweiUnits[Products],$A97, tblHuaweiUnits[cv_2025]) + SUMIF(tblTencentUnits[Products],$A97, tblTencentUnits[cv_2025]) + SUMIF(tblBaiduUnits[Products],$A97, tblBaiduUnits[cv_2025]) + SUMIF(tblByteDanceUnits[Products],$A97, tblByteDanceUnits[cv_2025]) + SUMIF(tblCloudAOUnits[Products],$A97, tblCloudAOUnits[cv_2025])</f>
        <v>0</v>
      </c>
      <c r="J97" s="8">
        <f xml:space="preserve"> SUMIF(tblGoogleUnits[Products],$A97, tblGoogleUnits[cv_2026]) + SUMIF(tblMetaUnits[Products],$A97, tblMetaUnits[cv_2026]) + SUMIF(tblAmazonUnits[Products],$A97, tblAmazonUnits[cv_2026]) + SUMIF(tblMicrosoftUnits[Products],$A97, tblMicrosoftUnits[cv_2026]) + SUMIF(tblAppleUnits[Products],$A97, tblAppleUnits[cv_2026]) + SUMIF(tblAlibabaUnits[Products],$A97, tblAlibabaUnits[cv_2026]) + SUMIF(tblHuaweiUnits[Products],$A97, tblHuaweiUnits[cv_2026]) + SUMIF(tblTencentUnits[Products],$A97, tblTencentUnits[cv_2026]) + SUMIF(tblBaiduUnits[Products],$A97, tblBaiduUnits[cv_2026]) + SUMIF(tblByteDanceUnits[Products],$A97, tblByteDanceUnits[cv_2026]) + SUMIF(tblCloudAOUnits[Products],$A97, tblCloudAOUnits[cv_2026])</f>
        <v>0</v>
      </c>
      <c r="K97" s="8">
        <f xml:space="preserve"> SUMIF(tblGoogleUnits[Products],$A97, tblGoogleUnits[cv_2027]) + SUMIF(tblMetaUnits[Products],$A97, tblMetaUnits[cv_2027]) + SUMIF(tblAmazonUnits[Products],$A97, tblAmazonUnits[cv_2027]) + SUMIF(tblMicrosoftUnits[Products],$A97, tblMicrosoftUnits[cv_2027]) + SUMIF(tblAppleUnits[Products],$A97, tblAppleUnits[cv_2027]) + SUMIF(tblAlibabaUnits[Products],$A97, tblAlibabaUnits[cv_2027]) + SUMIF(tblHuaweiUnits[Products],$A97, tblHuaweiUnits[cv_2027]) + SUMIF(tblTencentUnits[Products],$A97, tblTencentUnits[cv_2027]) + SUMIF(tblBaiduUnits[Products],$A97, tblBaiduUnits[cv_2027]) + SUMIF(tblByteDanceUnits[Products],$A97, tblByteDanceUnits[cv_2027]) + SUMIF(tblCloudAOUnits[Products],$A97, tblCloudAOUnits[cv_2027])</f>
        <v>0</v>
      </c>
      <c r="L97" s="8">
        <f xml:space="preserve"> SUMIF(tblGoogleUnits[Products],$A97, tblGoogleUnits[cv_2028]) + SUMIF(tblMetaUnits[Products],$A97, tblMetaUnits[cv_2028]) + SUMIF(tblAmazonUnits[Products],$A97, tblAmazonUnits[cv_2028]) + SUMIF(tblMicrosoftUnits[Products],$A97, tblMicrosoftUnits[cv_2028]) + SUMIF(tblAppleUnits[Products],$A97, tblAppleUnits[cv_2028]) + SUMIF(tblAlibabaUnits[Products],$A97, tblAlibabaUnits[cv_2028]) + SUMIF(tblHuaweiUnits[Products],$A97, tblHuaweiUnits[cv_2028]) + SUMIF(tblTencentUnits[Products],$A97, tblTencentUnits[cv_2028]) + SUMIF(tblBaiduUnits[Products],$A97, tblBaiduUnits[cv_2028]) + SUMIF(tblByteDanceUnits[Products],$A97, tblByteDanceUnits[cv_2028]) + SUMIF(tblCloudAOUnits[Products],$A97, tblCloudAOUnits[cv_2028])</f>
        <v>0</v>
      </c>
      <c r="M97" s="122">
        <f>10^-6*B97*INDEX(TotalMarket!$M$26:$W$125,MATCH($A97,$A$11:$A$132,0),MATCH(M$10,$M$10:$W$10))</f>
        <v>0</v>
      </c>
      <c r="N97" s="122">
        <f>10^-6*C97*INDEX(TotalMarket!$M$26:$W$125,MATCH($A97,$A$11:$A$132,0),MATCH(N$10,$M$10:$W$10))</f>
        <v>0</v>
      </c>
      <c r="O97" s="122">
        <f>10^-6*D97*INDEX(TotalMarket!$M$26:$W$125,MATCH($A97,$A$11:$A$132,0),MATCH(O$10,$M$10:$W$10))</f>
        <v>0</v>
      </c>
      <c r="P97" s="122">
        <f>10^-6*E97*INDEX(TotalMarket!$M$26:$W$125,MATCH($A97,$A$11:$A$132,0),MATCH(P$10,$M$10:$W$10))</f>
        <v>0</v>
      </c>
      <c r="Q97" s="122">
        <f>10^-6*F97*INDEX(TotalMarket!$M$26:$W$125,MATCH($A97,$A$11:$A$132,0),MATCH(Q$10,$M$10:$W$10))</f>
        <v>0</v>
      </c>
      <c r="R97" s="122">
        <f>10^-6*G97*INDEX(TotalMarket!$M$26:$W$125,MATCH($A97,$A$11:$A$132,0),MATCH(R$10,$M$10:$W$10))</f>
        <v>0</v>
      </c>
      <c r="S97" s="122">
        <f>10^-6*H97*INDEX(TotalMarket!$M$26:$W$125,MATCH($A97,$A$11:$A$132,0),MATCH(S$10,$M$10:$W$10))</f>
        <v>0</v>
      </c>
      <c r="T97" s="122">
        <f>10^-6*I97*INDEX(TotalMarket!$M$26:$W$125,MATCH($A97,$A$11:$A$132,0),MATCH(T$10,$M$10:$W$10))</f>
        <v>0</v>
      </c>
      <c r="U97" s="122">
        <f>10^-6*J97*INDEX(TotalMarket!$M$26:$W$125,MATCH($A97,$A$11:$A$132,0),MATCH(U$10,$M$10:$W$10))</f>
        <v>0</v>
      </c>
      <c r="V97" s="122">
        <f>10^-6*K97*INDEX(TotalMarket!$M$26:$W$125,MATCH($A97,$A$11:$A$132,0),MATCH(V$10,$M$10:$W$10))</f>
        <v>0</v>
      </c>
      <c r="W97" s="122">
        <f>10^-6*L97*INDEX(TotalMarket!$M$26:$W$125,MATCH($A97,$A$11:$A$132,0),MATCH(W$10,$M$10:$W$10))</f>
        <v>0</v>
      </c>
      <c r="X97" s="1">
        <f>VLOOKUP(A97,Products!$A$29:$F$110,6,FALSE)</f>
        <v>100</v>
      </c>
    </row>
    <row r="98" spans="1:24">
      <c r="A98" s="15" t="s">
        <v>27</v>
      </c>
      <c r="B98" s="8">
        <f xml:space="preserve"> SUMIF(tblGoogleUnits[Products],$A98, tblGoogleUnits[cv_2018]) + SUMIF(tblMetaUnits[Products],$A98, tblMetaUnits[cv_2018]) + SUMIF(tblAmazonUnits[Products],$A98, tblAmazonUnits[cv_2018]) + SUMIF(tblMicrosoftUnits[Products],$A98, tblMicrosoftUnits[cv_2018]) + SUMIF(tblAppleUnits[Products],$A98, tblAppleUnits[cv_2018]) + SUMIF(tblAlibabaUnits[Products],$A98, tblAlibabaUnits[cv_2018]) + SUMIF(tblHuaweiUnits[Products],$A98, tblHuaweiUnits[cv_2018]) + SUMIF(tblTencentUnits[Products],$A98, tblTencentUnits[cv_2018]) + SUMIF(tblBaiduUnits[Products],$A98, tblBaiduUnits[cv_2018]) + SUMIF(tblByteDanceUnits[Products],$A98, tblByteDanceUnits[cv_2018]) + SUMIF(tblCloudAOUnits[Products],$A98, tblCloudAOUnits[cv_2018])</f>
        <v>0</v>
      </c>
      <c r="C98" s="8">
        <f xml:space="preserve"> SUMIF(tblGoogleUnits[Products],$A98, tblGoogleUnits[cv_2019]) + SUMIF(tblMetaUnits[Products],$A98, tblMetaUnits[cv_2019]) + SUMIF(tblAmazonUnits[Products],$A98, tblAmazonUnits[cv_2019]) + SUMIF(tblMicrosoftUnits[Products],$A98, tblMicrosoftUnits[cv_2019]) + SUMIF(tblAppleUnits[Products],$A98, tblAppleUnits[cv_2019]) + SUMIF(tblAlibabaUnits[Products],$A98, tblAlibabaUnits[cv_2019]) + SUMIF(tblHuaweiUnits[Products],$A98, tblHuaweiUnits[cv_2019]) + SUMIF(tblTencentUnits[Products],$A98, tblTencentUnits[cv_2019]) + SUMIF(tblBaiduUnits[Products],$A98, tblBaiduUnits[cv_2019]) + SUMIF(tblByteDanceUnits[Products],$A98, tblByteDanceUnits[cv_2019]) + SUMIF(tblCloudAOUnits[Products],$A98, tblCloudAOUnits[cv_2019])</f>
        <v>0</v>
      </c>
      <c r="D98" s="8">
        <f xml:space="preserve"> SUMIF(tblGoogleUnits[Products],$A98, tblGoogleUnits[cv_2020]) + SUMIF(tblMetaUnits[Products],$A98, tblMetaUnits[cv_2020]) + SUMIF(tblAmazonUnits[Products],$A98, tblAmazonUnits[cv_2020]) + SUMIF(tblMicrosoftUnits[Products],$A98, tblMicrosoftUnits[cv_2020]) + SUMIF(tblAppleUnits[Products],$A98, tblAppleUnits[cv_2020]) + SUMIF(tblAlibabaUnits[Products],$A98, tblAlibabaUnits[cv_2020]) + SUMIF(tblHuaweiUnits[Products],$A98, tblHuaweiUnits[cv_2020]) + SUMIF(tblTencentUnits[Products],$A98, tblTencentUnits[cv_2020]) + SUMIF(tblBaiduUnits[Products],$A98, tblBaiduUnits[cv_2020]) + SUMIF(tblByteDanceUnits[Products],$A98, tblByteDanceUnits[cv_2020]) + SUMIF(tblCloudAOUnits[Products],$A98, tblCloudAOUnits[cv_2020])</f>
        <v>0</v>
      </c>
      <c r="E98" s="8">
        <f xml:space="preserve"> SUMIF(tblGoogleUnits[Products],$A98, tblGoogleUnits[cv_2021]) + SUMIF(tblMetaUnits[Products],$A98, tblMetaUnits[cv_2021]) + SUMIF(tblAmazonUnits[Products],$A98, tblAmazonUnits[cv_2021]) + SUMIF(tblMicrosoftUnits[Products],$A98, tblMicrosoftUnits[cv_2021]) + SUMIF(tblAppleUnits[Products],$A98, tblAppleUnits[cv_2021]) + SUMIF(tblAlibabaUnits[Products],$A98, tblAlibabaUnits[cv_2021]) + SUMIF(tblHuaweiUnits[Products],$A98, tblHuaweiUnits[cv_2021]) + SUMIF(tblTencentUnits[Products],$A98, tblTencentUnits[cv_2021]) + SUMIF(tblBaiduUnits[Products],$A98, tblBaiduUnits[cv_2021]) + SUMIF(tblByteDanceUnits[Products],$A98, tblByteDanceUnits[cv_2021]) + SUMIF(tblCloudAOUnits[Products],$A98, tblCloudAOUnits[cv_2021])</f>
        <v>0</v>
      </c>
      <c r="F98" s="8">
        <f xml:space="preserve"> SUMIF(tblGoogleUnits[Products],$A98, tblGoogleUnits[cv_2022]) + SUMIF(tblMetaUnits[Products],$A98, tblMetaUnits[cv_2022]) + SUMIF(tblAmazonUnits[Products],$A98, tblAmazonUnits[cv_2022]) + SUMIF(tblMicrosoftUnits[Products],$A98, tblMicrosoftUnits[cv_2022]) + SUMIF(tblAppleUnits[Products],$A98, tblAppleUnits[cv_2022]) + SUMIF(tblAlibabaUnits[Products],$A98, tblAlibabaUnits[cv_2022]) + SUMIF(tblHuaweiUnits[Products],$A98, tblHuaweiUnits[cv_2022]) + SUMIF(tblTencentUnits[Products],$A98, tblTencentUnits[cv_2022]) + SUMIF(tblBaiduUnits[Products],$A98, tblBaiduUnits[cv_2022]) + SUMIF(tblByteDanceUnits[Products],$A98, tblByteDanceUnits[cv_2022]) + SUMIF(tblCloudAOUnits[Products],$A98, tblCloudAOUnits[cv_2022])</f>
        <v>0</v>
      </c>
      <c r="G98" s="8">
        <f xml:space="preserve"> SUMIF(tblGoogleUnits[Products],$A98, tblGoogleUnits[cv_2023]) + SUMIF(tblMetaUnits[Products],$A98, tblMetaUnits[cv_2023]) + SUMIF(tblAmazonUnits[Products],$A98, tblAmazonUnits[cv_2023]) + SUMIF(tblMicrosoftUnits[Products],$A98, tblMicrosoftUnits[cv_2023]) + SUMIF(tblAppleUnits[Products],$A98, tblAppleUnits[cv_2023]) + SUMIF(tblAlibabaUnits[Products],$A98, tblAlibabaUnits[cv_2023]) + SUMIF(tblHuaweiUnits[Products],$A98, tblHuaweiUnits[cv_2023]) + SUMIF(tblTencentUnits[Products],$A98, tblTencentUnits[cv_2023]) + SUMIF(tblBaiduUnits[Products],$A98, tblBaiduUnits[cv_2023]) + SUMIF(tblByteDanceUnits[Products],$A98, tblByteDanceUnits[cv_2023]) + SUMIF(tblCloudAOUnits[Products],$A98, tblCloudAOUnits[cv_2023])</f>
        <v>0</v>
      </c>
      <c r="H98" s="8">
        <f xml:space="preserve"> SUMIF(tblGoogleUnits[Products],$A98, tblGoogleUnits[cv_2024]) + SUMIF(tblMetaUnits[Products],$A98, tblMetaUnits[cv_2024]) + SUMIF(tblAmazonUnits[Products],$A98, tblAmazonUnits[cv_2024]) + SUMIF(tblMicrosoftUnits[Products],$A98, tblMicrosoftUnits[cv_2024]) + SUMIF(tblAppleUnits[Products],$A98, tblAppleUnits[cv_2024]) + SUMIF(tblAlibabaUnits[Products],$A98, tblAlibabaUnits[cv_2024]) + SUMIF(tblHuaweiUnits[Products],$A98, tblHuaweiUnits[cv_2024]) + SUMIF(tblTencentUnits[Products],$A98, tblTencentUnits[cv_2024]) + SUMIF(tblBaiduUnits[Products],$A98, tblBaiduUnits[cv_2024]) + SUMIF(tblByteDanceUnits[Products],$A98, tblByteDanceUnits[cv_2024]) + SUMIF(tblCloudAOUnits[Products],$A98, tblCloudAOUnits[cv_2024])</f>
        <v>0</v>
      </c>
      <c r="I98" s="8">
        <f xml:space="preserve"> SUMIF(tblGoogleUnits[Products],$A98, tblGoogleUnits[cv_2025]) + SUMIF(tblMetaUnits[Products],$A98, tblMetaUnits[cv_2025]) + SUMIF(tblAmazonUnits[Products],$A98, tblAmazonUnits[cv_2025]) + SUMIF(tblMicrosoftUnits[Products],$A98, tblMicrosoftUnits[cv_2025]) + SUMIF(tblAppleUnits[Products],$A98, tblAppleUnits[cv_2025]) + SUMIF(tblAlibabaUnits[Products],$A98, tblAlibabaUnits[cv_2025]) + SUMIF(tblHuaweiUnits[Products],$A98, tblHuaweiUnits[cv_2025]) + SUMIF(tblTencentUnits[Products],$A98, tblTencentUnits[cv_2025]) + SUMIF(tblBaiduUnits[Products],$A98, tblBaiduUnits[cv_2025]) + SUMIF(tblByteDanceUnits[Products],$A98, tblByteDanceUnits[cv_2025]) + SUMIF(tblCloudAOUnits[Products],$A98, tblCloudAOUnits[cv_2025])</f>
        <v>0</v>
      </c>
      <c r="J98" s="8">
        <f xml:space="preserve"> SUMIF(tblGoogleUnits[Products],$A98, tblGoogleUnits[cv_2026]) + SUMIF(tblMetaUnits[Products],$A98, tblMetaUnits[cv_2026]) + SUMIF(tblAmazonUnits[Products],$A98, tblAmazonUnits[cv_2026]) + SUMIF(tblMicrosoftUnits[Products],$A98, tblMicrosoftUnits[cv_2026]) + SUMIF(tblAppleUnits[Products],$A98, tblAppleUnits[cv_2026]) + SUMIF(tblAlibabaUnits[Products],$A98, tblAlibabaUnits[cv_2026]) + SUMIF(tblHuaweiUnits[Products],$A98, tblHuaweiUnits[cv_2026]) + SUMIF(tblTencentUnits[Products],$A98, tblTencentUnits[cv_2026]) + SUMIF(tblBaiduUnits[Products],$A98, tblBaiduUnits[cv_2026]) + SUMIF(tblByteDanceUnits[Products],$A98, tblByteDanceUnits[cv_2026]) + SUMIF(tblCloudAOUnits[Products],$A98, tblCloudAOUnits[cv_2026])</f>
        <v>0</v>
      </c>
      <c r="K98" s="8">
        <f xml:space="preserve"> SUMIF(tblGoogleUnits[Products],$A98, tblGoogleUnits[cv_2027]) + SUMIF(tblMetaUnits[Products],$A98, tblMetaUnits[cv_2027]) + SUMIF(tblAmazonUnits[Products],$A98, tblAmazonUnits[cv_2027]) + SUMIF(tblMicrosoftUnits[Products],$A98, tblMicrosoftUnits[cv_2027]) + SUMIF(tblAppleUnits[Products],$A98, tblAppleUnits[cv_2027]) + SUMIF(tblAlibabaUnits[Products],$A98, tblAlibabaUnits[cv_2027]) + SUMIF(tblHuaweiUnits[Products],$A98, tblHuaweiUnits[cv_2027]) + SUMIF(tblTencentUnits[Products],$A98, tblTencentUnits[cv_2027]) + SUMIF(tblBaiduUnits[Products],$A98, tblBaiduUnits[cv_2027]) + SUMIF(tblByteDanceUnits[Products],$A98, tblByteDanceUnits[cv_2027]) + SUMIF(tblCloudAOUnits[Products],$A98, tblCloudAOUnits[cv_2027])</f>
        <v>0</v>
      </c>
      <c r="L98" s="8">
        <f xml:space="preserve"> SUMIF(tblGoogleUnits[Products],$A98, tblGoogleUnits[cv_2028]) + SUMIF(tblMetaUnits[Products],$A98, tblMetaUnits[cv_2028]) + SUMIF(tblAmazonUnits[Products],$A98, tblAmazonUnits[cv_2028]) + SUMIF(tblMicrosoftUnits[Products],$A98, tblMicrosoftUnits[cv_2028]) + SUMIF(tblAppleUnits[Products],$A98, tblAppleUnits[cv_2028]) + SUMIF(tblAlibabaUnits[Products],$A98, tblAlibabaUnits[cv_2028]) + SUMIF(tblHuaweiUnits[Products],$A98, tblHuaweiUnits[cv_2028]) + SUMIF(tblTencentUnits[Products],$A98, tblTencentUnits[cv_2028]) + SUMIF(tblBaiduUnits[Products],$A98, tblBaiduUnits[cv_2028]) + SUMIF(tblByteDanceUnits[Products],$A98, tblByteDanceUnits[cv_2028]) + SUMIF(tblCloudAOUnits[Products],$A98, tblCloudAOUnits[cv_2028])</f>
        <v>0</v>
      </c>
      <c r="M98" s="122">
        <f>10^-6*B98*INDEX(TotalMarket!$M$26:$W$125,MATCH($A98,$A$11:$A$132,0),MATCH(M$10,$M$10:$W$10))</f>
        <v>0</v>
      </c>
      <c r="N98" s="122">
        <f>10^-6*C98*INDEX(TotalMarket!$M$26:$W$125,MATCH($A98,$A$11:$A$132,0),MATCH(N$10,$M$10:$W$10))</f>
        <v>0</v>
      </c>
      <c r="O98" s="122">
        <f>10^-6*D98*INDEX(TotalMarket!$M$26:$W$125,MATCH($A98,$A$11:$A$132,0),MATCH(O$10,$M$10:$W$10))</f>
        <v>0</v>
      </c>
      <c r="P98" s="122">
        <f>10^-6*E98*INDEX(TotalMarket!$M$26:$W$125,MATCH($A98,$A$11:$A$132,0),MATCH(P$10,$M$10:$W$10))</f>
        <v>0</v>
      </c>
      <c r="Q98" s="122">
        <f>10^-6*F98*INDEX(TotalMarket!$M$26:$W$125,MATCH($A98,$A$11:$A$132,0),MATCH(Q$10,$M$10:$W$10))</f>
        <v>0</v>
      </c>
      <c r="R98" s="122">
        <f>10^-6*G98*INDEX(TotalMarket!$M$26:$W$125,MATCH($A98,$A$11:$A$132,0),MATCH(R$10,$M$10:$W$10))</f>
        <v>0</v>
      </c>
      <c r="S98" s="122">
        <f>10^-6*H98*INDEX(TotalMarket!$M$26:$W$125,MATCH($A98,$A$11:$A$132,0),MATCH(S$10,$M$10:$W$10))</f>
        <v>0</v>
      </c>
      <c r="T98" s="122">
        <f>10^-6*I98*INDEX(TotalMarket!$M$26:$W$125,MATCH($A98,$A$11:$A$132,0),MATCH(T$10,$M$10:$W$10))</f>
        <v>0</v>
      </c>
      <c r="U98" s="122">
        <f>10^-6*J98*INDEX(TotalMarket!$M$26:$W$125,MATCH($A98,$A$11:$A$132,0),MATCH(U$10,$M$10:$W$10))</f>
        <v>0</v>
      </c>
      <c r="V98" s="122">
        <f>10^-6*K98*INDEX(TotalMarket!$M$26:$W$125,MATCH($A98,$A$11:$A$132,0),MATCH(V$10,$M$10:$W$10))</f>
        <v>0</v>
      </c>
      <c r="W98" s="122">
        <f>10^-6*L98*INDEX(TotalMarket!$M$26:$W$125,MATCH($A98,$A$11:$A$132,0),MATCH(W$10,$M$10:$W$10))</f>
        <v>0</v>
      </c>
      <c r="X98" s="1">
        <f>VLOOKUP(A98,Products!$A$29:$F$110,6,FALSE)</f>
        <v>100</v>
      </c>
    </row>
    <row r="99" spans="1:24">
      <c r="A99" s="15" t="s">
        <v>28</v>
      </c>
      <c r="B99" s="8">
        <f xml:space="preserve"> SUMIF(tblGoogleUnits[Products],$A99, tblGoogleUnits[cv_2018]) + SUMIF(tblMetaUnits[Products],$A99, tblMetaUnits[cv_2018]) + SUMIF(tblAmazonUnits[Products],$A99, tblAmazonUnits[cv_2018]) + SUMIF(tblMicrosoftUnits[Products],$A99, tblMicrosoftUnits[cv_2018]) + SUMIF(tblAppleUnits[Products],$A99, tblAppleUnits[cv_2018]) + SUMIF(tblAlibabaUnits[Products],$A99, tblAlibabaUnits[cv_2018]) + SUMIF(tblHuaweiUnits[Products],$A99, tblHuaweiUnits[cv_2018]) + SUMIF(tblTencentUnits[Products],$A99, tblTencentUnits[cv_2018]) + SUMIF(tblBaiduUnits[Products],$A99, tblBaiduUnits[cv_2018]) + SUMIF(tblByteDanceUnits[Products],$A99, tblByteDanceUnits[cv_2018]) + SUMIF(tblCloudAOUnits[Products],$A99, tblCloudAOUnits[cv_2018])</f>
        <v>17963.60655737705</v>
      </c>
      <c r="C99" s="8">
        <f xml:space="preserve"> SUMIF(tblGoogleUnits[Products],$A99, tblGoogleUnits[cv_2019]) + SUMIF(tblMetaUnits[Products],$A99, tblMetaUnits[cv_2019]) + SUMIF(tblAmazonUnits[Products],$A99, tblAmazonUnits[cv_2019]) + SUMIF(tblMicrosoftUnits[Products],$A99, tblMicrosoftUnits[cv_2019]) + SUMIF(tblAppleUnits[Products],$A99, tblAppleUnits[cv_2019]) + SUMIF(tblAlibabaUnits[Products],$A99, tblAlibabaUnits[cv_2019]) + SUMIF(tblHuaweiUnits[Products],$A99, tblHuaweiUnits[cv_2019]) + SUMIF(tblTencentUnits[Products],$A99, tblTencentUnits[cv_2019]) + SUMIF(tblBaiduUnits[Products],$A99, tblBaiduUnits[cv_2019]) + SUMIF(tblByteDanceUnits[Products],$A99, tblByteDanceUnits[cv_2019]) + SUMIF(tblCloudAOUnits[Products],$A99, tblCloudAOUnits[cv_2019])</f>
        <v>28551.05999999999</v>
      </c>
      <c r="D99" s="8">
        <f xml:space="preserve"> SUMIF(tblGoogleUnits[Products],$A99, tblGoogleUnits[cv_2020]) + SUMIF(tblMetaUnits[Products],$A99, tblMetaUnits[cv_2020]) + SUMIF(tblAmazonUnits[Products],$A99, tblAmazonUnits[cv_2020]) + SUMIF(tblMicrosoftUnits[Products],$A99, tblMicrosoftUnits[cv_2020]) + SUMIF(tblAppleUnits[Products],$A99, tblAppleUnits[cv_2020]) + SUMIF(tblAlibabaUnits[Products],$A99, tblAlibabaUnits[cv_2020]) + SUMIF(tblHuaweiUnits[Products],$A99, tblHuaweiUnits[cv_2020]) + SUMIF(tblTencentUnits[Products],$A99, tblTencentUnits[cv_2020]) + SUMIF(tblBaiduUnits[Products],$A99, tblBaiduUnits[cv_2020]) + SUMIF(tblByteDanceUnits[Products],$A99, tblByteDanceUnits[cv_2020]) + SUMIF(tblCloudAOUnits[Products],$A99, tblCloudAOUnits[cv_2020])</f>
        <v>0</v>
      </c>
      <c r="E99" s="8">
        <f xml:space="preserve"> SUMIF(tblGoogleUnits[Products],$A99, tblGoogleUnits[cv_2021]) + SUMIF(tblMetaUnits[Products],$A99, tblMetaUnits[cv_2021]) + SUMIF(tblAmazonUnits[Products],$A99, tblAmazonUnits[cv_2021]) + SUMIF(tblMicrosoftUnits[Products],$A99, tblMicrosoftUnits[cv_2021]) + SUMIF(tblAppleUnits[Products],$A99, tblAppleUnits[cv_2021]) + SUMIF(tblAlibabaUnits[Products],$A99, tblAlibabaUnits[cv_2021]) + SUMIF(tblHuaweiUnits[Products],$A99, tblHuaweiUnits[cv_2021]) + SUMIF(tblTencentUnits[Products],$A99, tblTencentUnits[cv_2021]) + SUMIF(tblBaiduUnits[Products],$A99, tblBaiduUnits[cv_2021]) + SUMIF(tblByteDanceUnits[Products],$A99, tblByteDanceUnits[cv_2021]) + SUMIF(tblCloudAOUnits[Products],$A99, tblCloudAOUnits[cv_2021])</f>
        <v>0</v>
      </c>
      <c r="F99" s="8">
        <f xml:space="preserve"> SUMIF(tblGoogleUnits[Products],$A99, tblGoogleUnits[cv_2022]) + SUMIF(tblMetaUnits[Products],$A99, tblMetaUnits[cv_2022]) + SUMIF(tblAmazonUnits[Products],$A99, tblAmazonUnits[cv_2022]) + SUMIF(tblMicrosoftUnits[Products],$A99, tblMicrosoftUnits[cv_2022]) + SUMIF(tblAppleUnits[Products],$A99, tblAppleUnits[cv_2022]) + SUMIF(tblAlibabaUnits[Products],$A99, tblAlibabaUnits[cv_2022]) + SUMIF(tblHuaweiUnits[Products],$A99, tblHuaweiUnits[cv_2022]) + SUMIF(tblTencentUnits[Products],$A99, tblTencentUnits[cv_2022]) + SUMIF(tblBaiduUnits[Products],$A99, tblBaiduUnits[cv_2022]) + SUMIF(tblByteDanceUnits[Products],$A99, tblByteDanceUnits[cv_2022]) + SUMIF(tblCloudAOUnits[Products],$A99, tblCloudAOUnits[cv_2022])</f>
        <v>0</v>
      </c>
      <c r="G99" s="8">
        <f xml:space="preserve"> SUMIF(tblGoogleUnits[Products],$A99, tblGoogleUnits[cv_2023]) + SUMIF(tblMetaUnits[Products],$A99, tblMetaUnits[cv_2023]) + SUMIF(tblAmazonUnits[Products],$A99, tblAmazonUnits[cv_2023]) + SUMIF(tblMicrosoftUnits[Products],$A99, tblMicrosoftUnits[cv_2023]) + SUMIF(tblAppleUnits[Products],$A99, tblAppleUnits[cv_2023]) + SUMIF(tblAlibabaUnits[Products],$A99, tblAlibabaUnits[cv_2023]) + SUMIF(tblHuaweiUnits[Products],$A99, tblHuaweiUnits[cv_2023]) + SUMIF(tblTencentUnits[Products],$A99, tblTencentUnits[cv_2023]) + SUMIF(tblBaiduUnits[Products],$A99, tblBaiduUnits[cv_2023]) + SUMIF(tblByteDanceUnits[Products],$A99, tblByteDanceUnits[cv_2023]) + SUMIF(tblCloudAOUnits[Products],$A99, tblCloudAOUnits[cv_2023])</f>
        <v>0</v>
      </c>
      <c r="H99" s="8">
        <f xml:space="preserve"> SUMIF(tblGoogleUnits[Products],$A99, tblGoogleUnits[cv_2024]) + SUMIF(tblMetaUnits[Products],$A99, tblMetaUnits[cv_2024]) + SUMIF(tblAmazonUnits[Products],$A99, tblAmazonUnits[cv_2024]) + SUMIF(tblMicrosoftUnits[Products],$A99, tblMicrosoftUnits[cv_2024]) + SUMIF(tblAppleUnits[Products],$A99, tblAppleUnits[cv_2024]) + SUMIF(tblAlibabaUnits[Products],$A99, tblAlibabaUnits[cv_2024]) + SUMIF(tblHuaweiUnits[Products],$A99, tblHuaweiUnits[cv_2024]) + SUMIF(tblTencentUnits[Products],$A99, tblTencentUnits[cv_2024]) + SUMIF(tblBaiduUnits[Products],$A99, tblBaiduUnits[cv_2024]) + SUMIF(tblByteDanceUnits[Products],$A99, tblByteDanceUnits[cv_2024]) + SUMIF(tblCloudAOUnits[Products],$A99, tblCloudAOUnits[cv_2024])</f>
        <v>0</v>
      </c>
      <c r="I99" s="8">
        <f xml:space="preserve"> SUMIF(tblGoogleUnits[Products],$A99, tblGoogleUnits[cv_2025]) + SUMIF(tblMetaUnits[Products],$A99, tblMetaUnits[cv_2025]) + SUMIF(tblAmazonUnits[Products],$A99, tblAmazonUnits[cv_2025]) + SUMIF(tblMicrosoftUnits[Products],$A99, tblMicrosoftUnits[cv_2025]) + SUMIF(tblAppleUnits[Products],$A99, tblAppleUnits[cv_2025]) + SUMIF(tblAlibabaUnits[Products],$A99, tblAlibabaUnits[cv_2025]) + SUMIF(tblHuaweiUnits[Products],$A99, tblHuaweiUnits[cv_2025]) + SUMIF(tblTencentUnits[Products],$A99, tblTencentUnits[cv_2025]) + SUMIF(tblBaiduUnits[Products],$A99, tblBaiduUnits[cv_2025]) + SUMIF(tblByteDanceUnits[Products],$A99, tblByteDanceUnits[cv_2025]) + SUMIF(tblCloudAOUnits[Products],$A99, tblCloudAOUnits[cv_2025])</f>
        <v>0</v>
      </c>
      <c r="J99" s="8">
        <f xml:space="preserve"> SUMIF(tblGoogleUnits[Products],$A99, tblGoogleUnits[cv_2026]) + SUMIF(tblMetaUnits[Products],$A99, tblMetaUnits[cv_2026]) + SUMIF(tblAmazonUnits[Products],$A99, tblAmazonUnits[cv_2026]) + SUMIF(tblMicrosoftUnits[Products],$A99, tblMicrosoftUnits[cv_2026]) + SUMIF(tblAppleUnits[Products],$A99, tblAppleUnits[cv_2026]) + SUMIF(tblAlibabaUnits[Products],$A99, tblAlibabaUnits[cv_2026]) + SUMIF(tblHuaweiUnits[Products],$A99, tblHuaweiUnits[cv_2026]) + SUMIF(tblTencentUnits[Products],$A99, tblTencentUnits[cv_2026]) + SUMIF(tblBaiduUnits[Products],$A99, tblBaiduUnits[cv_2026]) + SUMIF(tblByteDanceUnits[Products],$A99, tblByteDanceUnits[cv_2026]) + SUMIF(tblCloudAOUnits[Products],$A99, tblCloudAOUnits[cv_2026])</f>
        <v>0</v>
      </c>
      <c r="K99" s="8">
        <f xml:space="preserve"> SUMIF(tblGoogleUnits[Products],$A99, tblGoogleUnits[cv_2027]) + SUMIF(tblMetaUnits[Products],$A99, tblMetaUnits[cv_2027]) + SUMIF(tblAmazonUnits[Products],$A99, tblAmazonUnits[cv_2027]) + SUMIF(tblMicrosoftUnits[Products],$A99, tblMicrosoftUnits[cv_2027]) + SUMIF(tblAppleUnits[Products],$A99, tblAppleUnits[cv_2027]) + SUMIF(tblAlibabaUnits[Products],$A99, tblAlibabaUnits[cv_2027]) + SUMIF(tblHuaweiUnits[Products],$A99, tblHuaweiUnits[cv_2027]) + SUMIF(tblTencentUnits[Products],$A99, tblTencentUnits[cv_2027]) + SUMIF(tblBaiduUnits[Products],$A99, tblBaiduUnits[cv_2027]) + SUMIF(tblByteDanceUnits[Products],$A99, tblByteDanceUnits[cv_2027]) + SUMIF(tblCloudAOUnits[Products],$A99, tblCloudAOUnits[cv_2027])</f>
        <v>0</v>
      </c>
      <c r="L99" s="8">
        <f xml:space="preserve"> SUMIF(tblGoogleUnits[Products],$A99, tblGoogleUnits[cv_2028]) + SUMIF(tblMetaUnits[Products],$A99, tblMetaUnits[cv_2028]) + SUMIF(tblAmazonUnits[Products],$A99, tblAmazonUnits[cv_2028]) + SUMIF(tblMicrosoftUnits[Products],$A99, tblMicrosoftUnits[cv_2028]) + SUMIF(tblAppleUnits[Products],$A99, tblAppleUnits[cv_2028]) + SUMIF(tblAlibabaUnits[Products],$A99, tblAlibabaUnits[cv_2028]) + SUMIF(tblHuaweiUnits[Products],$A99, tblHuaweiUnits[cv_2028]) + SUMIF(tblTencentUnits[Products],$A99, tblTencentUnits[cv_2028]) + SUMIF(tblBaiduUnits[Products],$A99, tblBaiduUnits[cv_2028]) + SUMIF(tblByteDanceUnits[Products],$A99, tblByteDanceUnits[cv_2028]) + SUMIF(tblCloudAOUnits[Products],$A99, tblCloudAOUnits[cv_2028])</f>
        <v>0</v>
      </c>
      <c r="M99" s="122">
        <f>10^-6*B99*INDEX(TotalMarket!$M$26:$W$125,MATCH($A99,$A$11:$A$132,0),MATCH(M$10,$M$10:$W$10))</f>
        <v>156.77329359165427</v>
      </c>
      <c r="N99" s="122">
        <f>10^-6*C99*INDEX(TotalMarket!$M$26:$W$125,MATCH($A99,$A$11:$A$132,0),MATCH(N$10,$M$10:$W$10))</f>
        <v>199.33830981818176</v>
      </c>
      <c r="O99" s="122">
        <f>10^-6*D99*INDEX(TotalMarket!$M$26:$W$125,MATCH($A99,$A$11:$A$132,0),MATCH(O$10,$M$10:$W$10))</f>
        <v>0</v>
      </c>
      <c r="P99" s="122">
        <f>10^-6*E99*INDEX(TotalMarket!$M$26:$W$125,MATCH($A99,$A$11:$A$132,0),MATCH(P$10,$M$10:$W$10))</f>
        <v>0</v>
      </c>
      <c r="Q99" s="122">
        <f>10^-6*F99*INDEX(TotalMarket!$M$26:$W$125,MATCH($A99,$A$11:$A$132,0),MATCH(Q$10,$M$10:$W$10))</f>
        <v>0</v>
      </c>
      <c r="R99" s="122">
        <f>10^-6*G99*INDEX(TotalMarket!$M$26:$W$125,MATCH($A99,$A$11:$A$132,0),MATCH(R$10,$M$10:$W$10))</f>
        <v>0</v>
      </c>
      <c r="S99" s="122">
        <f>10^-6*H99*INDEX(TotalMarket!$M$26:$W$125,MATCH($A99,$A$11:$A$132,0),MATCH(S$10,$M$10:$W$10))</f>
        <v>0</v>
      </c>
      <c r="T99" s="122">
        <f>10^-6*I99*INDEX(TotalMarket!$M$26:$W$125,MATCH($A99,$A$11:$A$132,0),MATCH(T$10,$M$10:$W$10))</f>
        <v>0</v>
      </c>
      <c r="U99" s="122">
        <f>10^-6*J99*INDEX(TotalMarket!$M$26:$W$125,MATCH($A99,$A$11:$A$132,0),MATCH(U$10,$M$10:$W$10))</f>
        <v>0</v>
      </c>
      <c r="V99" s="122">
        <f>10^-6*K99*INDEX(TotalMarket!$M$26:$W$125,MATCH($A99,$A$11:$A$132,0),MATCH(V$10,$M$10:$W$10))</f>
        <v>0</v>
      </c>
      <c r="W99" s="122">
        <f>10^-6*L99*INDEX(TotalMarket!$M$26:$W$125,MATCH($A99,$A$11:$A$132,0),MATCH(W$10,$M$10:$W$10))</f>
        <v>0</v>
      </c>
      <c r="X99" s="1">
        <f>VLOOKUP(A99,Products!$A$29:$F$110,6,FALSE)</f>
        <v>200</v>
      </c>
    </row>
    <row r="100" spans="1:24">
      <c r="A100" s="15" t="s">
        <v>29</v>
      </c>
      <c r="B100" s="8">
        <f xml:space="preserve"> SUMIF(tblGoogleUnits[Products],$A100, tblGoogleUnits[cv_2018]) + SUMIF(tblMetaUnits[Products],$A100, tblMetaUnits[cv_2018]) + SUMIF(tblAmazonUnits[Products],$A100, tblAmazonUnits[cv_2018]) + SUMIF(tblMicrosoftUnits[Products],$A100, tblMicrosoftUnits[cv_2018]) + SUMIF(tblAppleUnits[Products],$A100, tblAppleUnits[cv_2018]) + SUMIF(tblAlibabaUnits[Products],$A100, tblAlibabaUnits[cv_2018]) + SUMIF(tblHuaweiUnits[Products],$A100, tblHuaweiUnits[cv_2018]) + SUMIF(tblTencentUnits[Products],$A100, tblTencentUnits[cv_2018]) + SUMIF(tblBaiduUnits[Products],$A100, tblBaiduUnits[cv_2018]) + SUMIF(tblByteDanceUnits[Products],$A100, tblByteDanceUnits[cv_2018]) + SUMIF(tblCloudAOUnits[Products],$A100, tblCloudAOUnits[cv_2018])</f>
        <v>7560.2459016393441</v>
      </c>
      <c r="C100" s="8">
        <f xml:space="preserve"> SUMIF(tblGoogleUnits[Products],$A100, tblGoogleUnits[cv_2019]) + SUMIF(tblMetaUnits[Products],$A100, tblMetaUnits[cv_2019]) + SUMIF(tblAmazonUnits[Products],$A100, tblAmazonUnits[cv_2019]) + SUMIF(tblMicrosoftUnits[Products],$A100, tblMicrosoftUnits[cv_2019]) + SUMIF(tblAppleUnits[Products],$A100, tblAppleUnits[cv_2019]) + SUMIF(tblAlibabaUnits[Products],$A100, tblAlibabaUnits[cv_2019]) + SUMIF(tblHuaweiUnits[Products],$A100, tblHuaweiUnits[cv_2019]) + SUMIF(tblTencentUnits[Products],$A100, tblTencentUnits[cv_2019]) + SUMIF(tblBaiduUnits[Products],$A100, tblBaiduUnits[cv_2019]) + SUMIF(tblByteDanceUnits[Products],$A100, tblByteDanceUnits[cv_2019]) + SUMIF(tblCloudAOUnits[Products],$A100, tblCloudAOUnits[cv_2019])</f>
        <v>25719.9</v>
      </c>
      <c r="D100" s="8">
        <f xml:space="preserve"> SUMIF(tblGoogleUnits[Products],$A100, tblGoogleUnits[cv_2020]) + SUMIF(tblMetaUnits[Products],$A100, tblMetaUnits[cv_2020]) + SUMIF(tblAmazonUnits[Products],$A100, tblAmazonUnits[cv_2020]) + SUMIF(tblMicrosoftUnits[Products],$A100, tblMicrosoftUnits[cv_2020]) + SUMIF(tblAppleUnits[Products],$A100, tblAppleUnits[cv_2020]) + SUMIF(tblAlibabaUnits[Products],$A100, tblAlibabaUnits[cv_2020]) + SUMIF(tblHuaweiUnits[Products],$A100, tblHuaweiUnits[cv_2020]) + SUMIF(tblTencentUnits[Products],$A100, tblTencentUnits[cv_2020]) + SUMIF(tblBaiduUnits[Products],$A100, tblBaiduUnits[cv_2020]) + SUMIF(tblByteDanceUnits[Products],$A100, tblByteDanceUnits[cv_2020]) + SUMIF(tblCloudAOUnits[Products],$A100, tblCloudAOUnits[cv_2020])</f>
        <v>0</v>
      </c>
      <c r="E100" s="8">
        <f xml:space="preserve"> SUMIF(tblGoogleUnits[Products],$A100, tblGoogleUnits[cv_2021]) + SUMIF(tblMetaUnits[Products],$A100, tblMetaUnits[cv_2021]) + SUMIF(tblAmazonUnits[Products],$A100, tblAmazonUnits[cv_2021]) + SUMIF(tblMicrosoftUnits[Products],$A100, tblMicrosoftUnits[cv_2021]) + SUMIF(tblAppleUnits[Products],$A100, tblAppleUnits[cv_2021]) + SUMIF(tblAlibabaUnits[Products],$A100, tblAlibabaUnits[cv_2021]) + SUMIF(tblHuaweiUnits[Products],$A100, tblHuaweiUnits[cv_2021]) + SUMIF(tblTencentUnits[Products],$A100, tblTencentUnits[cv_2021]) + SUMIF(tblBaiduUnits[Products],$A100, tblBaiduUnits[cv_2021]) + SUMIF(tblByteDanceUnits[Products],$A100, tblByteDanceUnits[cv_2021]) + SUMIF(tblCloudAOUnits[Products],$A100, tblCloudAOUnits[cv_2021])</f>
        <v>0</v>
      </c>
      <c r="F100" s="8">
        <f xml:space="preserve"> SUMIF(tblGoogleUnits[Products],$A100, tblGoogleUnits[cv_2022]) + SUMIF(tblMetaUnits[Products],$A100, tblMetaUnits[cv_2022]) + SUMIF(tblAmazonUnits[Products],$A100, tblAmazonUnits[cv_2022]) + SUMIF(tblMicrosoftUnits[Products],$A100, tblMicrosoftUnits[cv_2022]) + SUMIF(tblAppleUnits[Products],$A100, tblAppleUnits[cv_2022]) + SUMIF(tblAlibabaUnits[Products],$A100, tblAlibabaUnits[cv_2022]) + SUMIF(tblHuaweiUnits[Products],$A100, tblHuaweiUnits[cv_2022]) + SUMIF(tblTencentUnits[Products],$A100, tblTencentUnits[cv_2022]) + SUMIF(tblBaiduUnits[Products],$A100, tblBaiduUnits[cv_2022]) + SUMIF(tblByteDanceUnits[Products],$A100, tblByteDanceUnits[cv_2022]) + SUMIF(tblCloudAOUnits[Products],$A100, tblCloudAOUnits[cv_2022])</f>
        <v>0</v>
      </c>
      <c r="G100" s="8">
        <f xml:space="preserve"> SUMIF(tblGoogleUnits[Products],$A100, tblGoogleUnits[cv_2023]) + SUMIF(tblMetaUnits[Products],$A100, tblMetaUnits[cv_2023]) + SUMIF(tblAmazonUnits[Products],$A100, tblAmazonUnits[cv_2023]) + SUMIF(tblMicrosoftUnits[Products],$A100, tblMicrosoftUnits[cv_2023]) + SUMIF(tblAppleUnits[Products],$A100, tblAppleUnits[cv_2023]) + SUMIF(tblAlibabaUnits[Products],$A100, tblAlibabaUnits[cv_2023]) + SUMIF(tblHuaweiUnits[Products],$A100, tblHuaweiUnits[cv_2023]) + SUMIF(tblTencentUnits[Products],$A100, tblTencentUnits[cv_2023]) + SUMIF(tblBaiduUnits[Products],$A100, tblBaiduUnits[cv_2023]) + SUMIF(tblByteDanceUnits[Products],$A100, tblByteDanceUnits[cv_2023]) + SUMIF(tblCloudAOUnits[Products],$A100, tblCloudAOUnits[cv_2023])</f>
        <v>0</v>
      </c>
      <c r="H100" s="8">
        <f xml:space="preserve"> SUMIF(tblGoogleUnits[Products],$A100, tblGoogleUnits[cv_2024]) + SUMIF(tblMetaUnits[Products],$A100, tblMetaUnits[cv_2024]) + SUMIF(tblAmazonUnits[Products],$A100, tblAmazonUnits[cv_2024]) + SUMIF(tblMicrosoftUnits[Products],$A100, tblMicrosoftUnits[cv_2024]) + SUMIF(tblAppleUnits[Products],$A100, tblAppleUnits[cv_2024]) + SUMIF(tblAlibabaUnits[Products],$A100, tblAlibabaUnits[cv_2024]) + SUMIF(tblHuaweiUnits[Products],$A100, tblHuaweiUnits[cv_2024]) + SUMIF(tblTencentUnits[Products],$A100, tblTencentUnits[cv_2024]) + SUMIF(tblBaiduUnits[Products],$A100, tblBaiduUnits[cv_2024]) + SUMIF(tblByteDanceUnits[Products],$A100, tblByteDanceUnits[cv_2024]) + SUMIF(tblCloudAOUnits[Products],$A100, tblCloudAOUnits[cv_2024])</f>
        <v>0</v>
      </c>
      <c r="I100" s="8">
        <f xml:space="preserve"> SUMIF(tblGoogleUnits[Products],$A100, tblGoogleUnits[cv_2025]) + SUMIF(tblMetaUnits[Products],$A100, tblMetaUnits[cv_2025]) + SUMIF(tblAmazonUnits[Products],$A100, tblAmazonUnits[cv_2025]) + SUMIF(tblMicrosoftUnits[Products],$A100, tblMicrosoftUnits[cv_2025]) + SUMIF(tblAppleUnits[Products],$A100, tblAppleUnits[cv_2025]) + SUMIF(tblAlibabaUnits[Products],$A100, tblAlibabaUnits[cv_2025]) + SUMIF(tblHuaweiUnits[Products],$A100, tblHuaweiUnits[cv_2025]) + SUMIF(tblTencentUnits[Products],$A100, tblTencentUnits[cv_2025]) + SUMIF(tblBaiduUnits[Products],$A100, tblBaiduUnits[cv_2025]) + SUMIF(tblByteDanceUnits[Products],$A100, tblByteDanceUnits[cv_2025]) + SUMIF(tblCloudAOUnits[Products],$A100, tblCloudAOUnits[cv_2025])</f>
        <v>0</v>
      </c>
      <c r="J100" s="8">
        <f xml:space="preserve"> SUMIF(tblGoogleUnits[Products],$A100, tblGoogleUnits[cv_2026]) + SUMIF(tblMetaUnits[Products],$A100, tblMetaUnits[cv_2026]) + SUMIF(tblAmazonUnits[Products],$A100, tblAmazonUnits[cv_2026]) + SUMIF(tblMicrosoftUnits[Products],$A100, tblMicrosoftUnits[cv_2026]) + SUMIF(tblAppleUnits[Products],$A100, tblAppleUnits[cv_2026]) + SUMIF(tblAlibabaUnits[Products],$A100, tblAlibabaUnits[cv_2026]) + SUMIF(tblHuaweiUnits[Products],$A100, tblHuaweiUnits[cv_2026]) + SUMIF(tblTencentUnits[Products],$A100, tblTencentUnits[cv_2026]) + SUMIF(tblBaiduUnits[Products],$A100, tblBaiduUnits[cv_2026]) + SUMIF(tblByteDanceUnits[Products],$A100, tblByteDanceUnits[cv_2026]) + SUMIF(tblCloudAOUnits[Products],$A100, tblCloudAOUnits[cv_2026])</f>
        <v>0</v>
      </c>
      <c r="K100" s="8">
        <f xml:space="preserve"> SUMIF(tblGoogleUnits[Products],$A100, tblGoogleUnits[cv_2027]) + SUMIF(tblMetaUnits[Products],$A100, tblMetaUnits[cv_2027]) + SUMIF(tblAmazonUnits[Products],$A100, tblAmazonUnits[cv_2027]) + SUMIF(tblMicrosoftUnits[Products],$A100, tblMicrosoftUnits[cv_2027]) + SUMIF(tblAppleUnits[Products],$A100, tblAppleUnits[cv_2027]) + SUMIF(tblAlibabaUnits[Products],$A100, tblAlibabaUnits[cv_2027]) + SUMIF(tblHuaweiUnits[Products],$A100, tblHuaweiUnits[cv_2027]) + SUMIF(tblTencentUnits[Products],$A100, tblTencentUnits[cv_2027]) + SUMIF(tblBaiduUnits[Products],$A100, tblBaiduUnits[cv_2027]) + SUMIF(tblByteDanceUnits[Products],$A100, tblByteDanceUnits[cv_2027]) + SUMIF(tblCloudAOUnits[Products],$A100, tblCloudAOUnits[cv_2027])</f>
        <v>0</v>
      </c>
      <c r="L100" s="8">
        <f xml:space="preserve"> SUMIF(tblGoogleUnits[Products],$A100, tblGoogleUnits[cv_2028]) + SUMIF(tblMetaUnits[Products],$A100, tblMetaUnits[cv_2028]) + SUMIF(tblAmazonUnits[Products],$A100, tblAmazonUnits[cv_2028]) + SUMIF(tblMicrosoftUnits[Products],$A100, tblMicrosoftUnits[cv_2028]) + SUMIF(tblAppleUnits[Products],$A100, tblAppleUnits[cv_2028]) + SUMIF(tblAlibabaUnits[Products],$A100, tblAlibabaUnits[cv_2028]) + SUMIF(tblHuaweiUnits[Products],$A100, tblHuaweiUnits[cv_2028]) + SUMIF(tblTencentUnits[Products],$A100, tblTencentUnits[cv_2028]) + SUMIF(tblBaiduUnits[Products],$A100, tblBaiduUnits[cv_2028]) + SUMIF(tblByteDanceUnits[Products],$A100, tblByteDanceUnits[cv_2028]) + SUMIF(tblCloudAOUnits[Products],$A100, tblCloudAOUnits[cv_2028])</f>
        <v>0</v>
      </c>
      <c r="M100" s="122">
        <f>10^-6*B100*INDEX(TotalMarket!$M$26:$W$125,MATCH($A100,$A$11:$A$132,0),MATCH(M$10,$M$10:$W$10))</f>
        <v>45.361475409836068</v>
      </c>
      <c r="N100" s="122">
        <f>10^-6*C100*INDEX(TotalMarket!$M$26:$W$125,MATCH($A100,$A$11:$A$132,0),MATCH(N$10,$M$10:$W$10))</f>
        <v>123.45552000000001</v>
      </c>
      <c r="O100" s="122">
        <f>10^-6*D100*INDEX(TotalMarket!$M$26:$W$125,MATCH($A100,$A$11:$A$132,0),MATCH(O$10,$M$10:$W$10))</f>
        <v>0</v>
      </c>
      <c r="P100" s="122">
        <f>10^-6*E100*INDEX(TotalMarket!$M$26:$W$125,MATCH($A100,$A$11:$A$132,0),MATCH(P$10,$M$10:$W$10))</f>
        <v>0</v>
      </c>
      <c r="Q100" s="122">
        <f>10^-6*F100*INDEX(TotalMarket!$M$26:$W$125,MATCH($A100,$A$11:$A$132,0),MATCH(Q$10,$M$10:$W$10))</f>
        <v>0</v>
      </c>
      <c r="R100" s="122">
        <f>10^-6*G100*INDEX(TotalMarket!$M$26:$W$125,MATCH($A100,$A$11:$A$132,0),MATCH(R$10,$M$10:$W$10))</f>
        <v>0</v>
      </c>
      <c r="S100" s="122">
        <f>10^-6*H100*INDEX(TotalMarket!$M$26:$W$125,MATCH($A100,$A$11:$A$132,0),MATCH(S$10,$M$10:$W$10))</f>
        <v>0</v>
      </c>
      <c r="T100" s="122">
        <f>10^-6*I100*INDEX(TotalMarket!$M$26:$W$125,MATCH($A100,$A$11:$A$132,0),MATCH(T$10,$M$10:$W$10))</f>
        <v>0</v>
      </c>
      <c r="U100" s="122">
        <f>10^-6*J100*INDEX(TotalMarket!$M$26:$W$125,MATCH($A100,$A$11:$A$132,0),MATCH(U$10,$M$10:$W$10))</f>
        <v>0</v>
      </c>
      <c r="V100" s="122">
        <f>10^-6*K100*INDEX(TotalMarket!$M$26:$W$125,MATCH($A100,$A$11:$A$132,0),MATCH(V$10,$M$10:$W$10))</f>
        <v>0</v>
      </c>
      <c r="W100" s="122">
        <f>10^-6*L100*INDEX(TotalMarket!$M$26:$W$125,MATCH($A100,$A$11:$A$132,0),MATCH(W$10,$M$10:$W$10))</f>
        <v>0</v>
      </c>
      <c r="X100" s="1">
        <f>VLOOKUP(A100,Products!$A$29:$F$110,6,FALSE)</f>
        <v>200</v>
      </c>
    </row>
    <row r="101" spans="1:24">
      <c r="A101" s="15" t="s">
        <v>30</v>
      </c>
      <c r="B101" s="8">
        <f xml:space="preserve"> SUMIF(tblGoogleUnits[Products],$A101, tblGoogleUnits[cv_2018]) + SUMIF(tblMetaUnits[Products],$A101, tblMetaUnits[cv_2018]) + SUMIF(tblAmazonUnits[Products],$A101, tblAmazonUnits[cv_2018]) + SUMIF(tblMicrosoftUnits[Products],$A101, tblMicrosoftUnits[cv_2018]) + SUMIF(tblAppleUnits[Products],$A101, tblAppleUnits[cv_2018]) + SUMIF(tblAlibabaUnits[Products],$A101, tblAlibabaUnits[cv_2018]) + SUMIF(tblHuaweiUnits[Products],$A101, tblHuaweiUnits[cv_2018]) + SUMIF(tblTencentUnits[Products],$A101, tblTencentUnits[cv_2018]) + SUMIF(tblBaiduUnits[Products],$A101, tblBaiduUnits[cv_2018]) + SUMIF(tblByteDanceUnits[Products],$A101, tblByteDanceUnits[cv_2018]) + SUMIF(tblCloudAOUnits[Products],$A101, tblCloudAOUnits[cv_2018])</f>
        <v>0</v>
      </c>
      <c r="C101" s="8">
        <f xml:space="preserve"> SUMIF(tblGoogleUnits[Products],$A101, tblGoogleUnits[cv_2019]) + SUMIF(tblMetaUnits[Products],$A101, tblMetaUnits[cv_2019]) + SUMIF(tblAmazonUnits[Products],$A101, tblAmazonUnits[cv_2019]) + SUMIF(tblMicrosoftUnits[Products],$A101, tblMicrosoftUnits[cv_2019]) + SUMIF(tblAppleUnits[Products],$A101, tblAppleUnits[cv_2019]) + SUMIF(tblAlibabaUnits[Products],$A101, tblAlibabaUnits[cv_2019]) + SUMIF(tblHuaweiUnits[Products],$A101, tblHuaweiUnits[cv_2019]) + SUMIF(tblTencentUnits[Products],$A101, tblTencentUnits[cv_2019]) + SUMIF(tblBaiduUnits[Products],$A101, tblBaiduUnits[cv_2019]) + SUMIF(tblByteDanceUnits[Products],$A101, tblByteDanceUnits[cv_2019]) + SUMIF(tblCloudAOUnits[Products],$A101, tblCloudAOUnits[cv_2019])</f>
        <v>0</v>
      </c>
      <c r="D101" s="8">
        <f xml:space="preserve"> SUMIF(tblGoogleUnits[Products],$A101, tblGoogleUnits[cv_2020]) + SUMIF(tblMetaUnits[Products],$A101, tblMetaUnits[cv_2020]) + SUMIF(tblAmazonUnits[Products],$A101, tblAmazonUnits[cv_2020]) + SUMIF(tblMicrosoftUnits[Products],$A101, tblMicrosoftUnits[cv_2020]) + SUMIF(tblAppleUnits[Products],$A101, tblAppleUnits[cv_2020]) + SUMIF(tblAlibabaUnits[Products],$A101, tblAlibabaUnits[cv_2020]) + SUMIF(tblHuaweiUnits[Products],$A101, tblHuaweiUnits[cv_2020]) + SUMIF(tblTencentUnits[Products],$A101, tblTencentUnits[cv_2020]) + SUMIF(tblBaiduUnits[Products],$A101, tblBaiduUnits[cv_2020]) + SUMIF(tblByteDanceUnits[Products],$A101, tblByteDanceUnits[cv_2020]) + SUMIF(tblCloudAOUnits[Products],$A101, tblCloudAOUnits[cv_2020])</f>
        <v>0</v>
      </c>
      <c r="E101" s="8">
        <f xml:space="preserve"> SUMIF(tblGoogleUnits[Products],$A101, tblGoogleUnits[cv_2021]) + SUMIF(tblMetaUnits[Products],$A101, tblMetaUnits[cv_2021]) + SUMIF(tblAmazonUnits[Products],$A101, tblAmazonUnits[cv_2021]) + SUMIF(tblMicrosoftUnits[Products],$A101, tblMicrosoftUnits[cv_2021]) + SUMIF(tblAppleUnits[Products],$A101, tblAppleUnits[cv_2021]) + SUMIF(tblAlibabaUnits[Products],$A101, tblAlibabaUnits[cv_2021]) + SUMIF(tblHuaweiUnits[Products],$A101, tblHuaweiUnits[cv_2021]) + SUMIF(tblTencentUnits[Products],$A101, tblTencentUnits[cv_2021]) + SUMIF(tblBaiduUnits[Products],$A101, tblBaiduUnits[cv_2021]) + SUMIF(tblByteDanceUnits[Products],$A101, tblByteDanceUnits[cv_2021]) + SUMIF(tblCloudAOUnits[Products],$A101, tblCloudAOUnits[cv_2021])</f>
        <v>0</v>
      </c>
      <c r="F101" s="8">
        <f xml:space="preserve"> SUMIF(tblGoogleUnits[Products],$A101, tblGoogleUnits[cv_2022]) + SUMIF(tblMetaUnits[Products],$A101, tblMetaUnits[cv_2022]) + SUMIF(tblAmazonUnits[Products],$A101, tblAmazonUnits[cv_2022]) + SUMIF(tblMicrosoftUnits[Products],$A101, tblMicrosoftUnits[cv_2022]) + SUMIF(tblAppleUnits[Products],$A101, tblAppleUnits[cv_2022]) + SUMIF(tblAlibabaUnits[Products],$A101, tblAlibabaUnits[cv_2022]) + SUMIF(tblHuaweiUnits[Products],$A101, tblHuaweiUnits[cv_2022]) + SUMIF(tblTencentUnits[Products],$A101, tblTencentUnits[cv_2022]) + SUMIF(tblBaiduUnits[Products],$A101, tblBaiduUnits[cv_2022]) + SUMIF(tblByteDanceUnits[Products],$A101, tblByteDanceUnits[cv_2022]) + SUMIF(tblCloudAOUnits[Products],$A101, tblCloudAOUnits[cv_2022])</f>
        <v>0</v>
      </c>
      <c r="G101" s="8">
        <f xml:space="preserve"> SUMIF(tblGoogleUnits[Products],$A101, tblGoogleUnits[cv_2023]) + SUMIF(tblMetaUnits[Products],$A101, tblMetaUnits[cv_2023]) + SUMIF(tblAmazonUnits[Products],$A101, tblAmazonUnits[cv_2023]) + SUMIF(tblMicrosoftUnits[Products],$A101, tblMicrosoftUnits[cv_2023]) + SUMIF(tblAppleUnits[Products],$A101, tblAppleUnits[cv_2023]) + SUMIF(tblAlibabaUnits[Products],$A101, tblAlibabaUnits[cv_2023]) + SUMIF(tblHuaweiUnits[Products],$A101, tblHuaweiUnits[cv_2023]) + SUMIF(tblTencentUnits[Products],$A101, tblTencentUnits[cv_2023]) + SUMIF(tblBaiduUnits[Products],$A101, tblBaiduUnits[cv_2023]) + SUMIF(tblByteDanceUnits[Products],$A101, tblByteDanceUnits[cv_2023]) + SUMIF(tblCloudAOUnits[Products],$A101, tblCloudAOUnits[cv_2023])</f>
        <v>0</v>
      </c>
      <c r="H101" s="8">
        <f xml:space="preserve"> SUMIF(tblGoogleUnits[Products],$A101, tblGoogleUnits[cv_2024]) + SUMIF(tblMetaUnits[Products],$A101, tblMetaUnits[cv_2024]) + SUMIF(tblAmazonUnits[Products],$A101, tblAmazonUnits[cv_2024]) + SUMIF(tblMicrosoftUnits[Products],$A101, tblMicrosoftUnits[cv_2024]) + SUMIF(tblAppleUnits[Products],$A101, tblAppleUnits[cv_2024]) + SUMIF(tblAlibabaUnits[Products],$A101, tblAlibabaUnits[cv_2024]) + SUMIF(tblHuaweiUnits[Products],$A101, tblHuaweiUnits[cv_2024]) + SUMIF(tblTencentUnits[Products],$A101, tblTencentUnits[cv_2024]) + SUMIF(tblBaiduUnits[Products],$A101, tblBaiduUnits[cv_2024]) + SUMIF(tblByteDanceUnits[Products],$A101, tblByteDanceUnits[cv_2024]) + SUMIF(tblCloudAOUnits[Products],$A101, tblCloudAOUnits[cv_2024])</f>
        <v>0</v>
      </c>
      <c r="I101" s="8">
        <f xml:space="preserve"> SUMIF(tblGoogleUnits[Products],$A101, tblGoogleUnits[cv_2025]) + SUMIF(tblMetaUnits[Products],$A101, tblMetaUnits[cv_2025]) + SUMIF(tblAmazonUnits[Products],$A101, tblAmazonUnits[cv_2025]) + SUMIF(tblMicrosoftUnits[Products],$A101, tblMicrosoftUnits[cv_2025]) + SUMIF(tblAppleUnits[Products],$A101, tblAppleUnits[cv_2025]) + SUMIF(tblAlibabaUnits[Products],$A101, tblAlibabaUnits[cv_2025]) + SUMIF(tblHuaweiUnits[Products],$A101, tblHuaweiUnits[cv_2025]) + SUMIF(tblTencentUnits[Products],$A101, tblTencentUnits[cv_2025]) + SUMIF(tblBaiduUnits[Products],$A101, tblBaiduUnits[cv_2025]) + SUMIF(tblByteDanceUnits[Products],$A101, tblByteDanceUnits[cv_2025]) + SUMIF(tblCloudAOUnits[Products],$A101, tblCloudAOUnits[cv_2025])</f>
        <v>0</v>
      </c>
      <c r="J101" s="8">
        <f xml:space="preserve"> SUMIF(tblGoogleUnits[Products],$A101, tblGoogleUnits[cv_2026]) + SUMIF(tblMetaUnits[Products],$A101, tblMetaUnits[cv_2026]) + SUMIF(tblAmazonUnits[Products],$A101, tblAmazonUnits[cv_2026]) + SUMIF(tblMicrosoftUnits[Products],$A101, tblMicrosoftUnits[cv_2026]) + SUMIF(tblAppleUnits[Products],$A101, tblAppleUnits[cv_2026]) + SUMIF(tblAlibabaUnits[Products],$A101, tblAlibabaUnits[cv_2026]) + SUMIF(tblHuaweiUnits[Products],$A101, tblHuaweiUnits[cv_2026]) + SUMIF(tblTencentUnits[Products],$A101, tblTencentUnits[cv_2026]) + SUMIF(tblBaiduUnits[Products],$A101, tblBaiduUnits[cv_2026]) + SUMIF(tblByteDanceUnits[Products],$A101, tblByteDanceUnits[cv_2026]) + SUMIF(tblCloudAOUnits[Products],$A101, tblCloudAOUnits[cv_2026])</f>
        <v>0</v>
      </c>
      <c r="K101" s="8">
        <f xml:space="preserve"> SUMIF(tblGoogleUnits[Products],$A101, tblGoogleUnits[cv_2027]) + SUMIF(tblMetaUnits[Products],$A101, tblMetaUnits[cv_2027]) + SUMIF(tblAmazonUnits[Products],$A101, tblAmazonUnits[cv_2027]) + SUMIF(tblMicrosoftUnits[Products],$A101, tblMicrosoftUnits[cv_2027]) + SUMIF(tblAppleUnits[Products],$A101, tblAppleUnits[cv_2027]) + SUMIF(tblAlibabaUnits[Products],$A101, tblAlibabaUnits[cv_2027]) + SUMIF(tblHuaweiUnits[Products],$A101, tblHuaweiUnits[cv_2027]) + SUMIF(tblTencentUnits[Products],$A101, tblTencentUnits[cv_2027]) + SUMIF(tblBaiduUnits[Products],$A101, tblBaiduUnits[cv_2027]) + SUMIF(tblByteDanceUnits[Products],$A101, tblByteDanceUnits[cv_2027]) + SUMIF(tblCloudAOUnits[Products],$A101, tblCloudAOUnits[cv_2027])</f>
        <v>0</v>
      </c>
      <c r="L101" s="8">
        <f xml:space="preserve"> SUMIF(tblGoogleUnits[Products],$A101, tblGoogleUnits[cv_2028]) + SUMIF(tblMetaUnits[Products],$A101, tblMetaUnits[cv_2028]) + SUMIF(tblAmazonUnits[Products],$A101, tblAmazonUnits[cv_2028]) + SUMIF(tblMicrosoftUnits[Products],$A101, tblMicrosoftUnits[cv_2028]) + SUMIF(tblAppleUnits[Products],$A101, tblAppleUnits[cv_2028]) + SUMIF(tblAlibabaUnits[Products],$A101, tblAlibabaUnits[cv_2028]) + SUMIF(tblHuaweiUnits[Products],$A101, tblHuaweiUnits[cv_2028]) + SUMIF(tblTencentUnits[Products],$A101, tblTencentUnits[cv_2028]) + SUMIF(tblBaiduUnits[Products],$A101, tblBaiduUnits[cv_2028]) + SUMIF(tblByteDanceUnits[Products],$A101, tblByteDanceUnits[cv_2028]) + SUMIF(tblCloudAOUnits[Products],$A101, tblCloudAOUnits[cv_2028])</f>
        <v>0</v>
      </c>
      <c r="M101" s="122">
        <f>10^-6*B101*INDEX(TotalMarket!$M$26:$W$125,MATCH($A101,$A$11:$A$132,0),MATCH(M$10,$M$10:$W$10))</f>
        <v>0</v>
      </c>
      <c r="N101" s="122">
        <f>10^-6*C101*INDEX(TotalMarket!$M$26:$W$125,MATCH($A101,$A$11:$A$132,0),MATCH(N$10,$M$10:$W$10))</f>
        <v>0</v>
      </c>
      <c r="O101" s="122">
        <f>10^-6*D101*INDEX(TotalMarket!$M$26:$W$125,MATCH($A101,$A$11:$A$132,0),MATCH(O$10,$M$10:$W$10))</f>
        <v>0</v>
      </c>
      <c r="P101" s="122">
        <f>10^-6*E101*INDEX(TotalMarket!$M$26:$W$125,MATCH($A101,$A$11:$A$132,0),MATCH(P$10,$M$10:$W$10))</f>
        <v>0</v>
      </c>
      <c r="Q101" s="122">
        <f>10^-6*F101*INDEX(TotalMarket!$M$26:$W$125,MATCH($A101,$A$11:$A$132,0),MATCH(Q$10,$M$10:$W$10))</f>
        <v>0</v>
      </c>
      <c r="R101" s="122">
        <f>10^-6*G101*INDEX(TotalMarket!$M$26:$W$125,MATCH($A101,$A$11:$A$132,0),MATCH(R$10,$M$10:$W$10))</f>
        <v>0</v>
      </c>
      <c r="S101" s="122">
        <f>10^-6*H101*INDEX(TotalMarket!$M$26:$W$125,MATCH($A101,$A$11:$A$132,0),MATCH(S$10,$M$10:$W$10))</f>
        <v>0</v>
      </c>
      <c r="T101" s="122">
        <f>10^-6*I101*INDEX(TotalMarket!$M$26:$W$125,MATCH($A101,$A$11:$A$132,0),MATCH(T$10,$M$10:$W$10))</f>
        <v>0</v>
      </c>
      <c r="U101" s="122">
        <f>10^-6*J101*INDEX(TotalMarket!$M$26:$W$125,MATCH($A101,$A$11:$A$132,0),MATCH(U$10,$M$10:$W$10))</f>
        <v>0</v>
      </c>
      <c r="V101" s="122">
        <f>10^-6*K101*INDEX(TotalMarket!$M$26:$W$125,MATCH($A101,$A$11:$A$132,0),MATCH(V$10,$M$10:$W$10))</f>
        <v>0</v>
      </c>
      <c r="W101" s="122">
        <f>10^-6*L101*INDEX(TotalMarket!$M$26:$W$125,MATCH($A101,$A$11:$A$132,0),MATCH(W$10,$M$10:$W$10))</f>
        <v>0</v>
      </c>
      <c r="X101" s="1">
        <f>VLOOKUP(A101,Products!$A$29:$F$110,6,FALSE)</f>
        <v>200</v>
      </c>
    </row>
    <row r="102" spans="1:24">
      <c r="A102" s="15" t="s">
        <v>31</v>
      </c>
      <c r="B102" s="8">
        <f xml:space="preserve"> SUMIF(tblGoogleUnits[Products],$A102, tblGoogleUnits[cv_2018]) + SUMIF(tblMetaUnits[Products],$A102, tblMetaUnits[cv_2018]) + SUMIF(tblAmazonUnits[Products],$A102, tblAmazonUnits[cv_2018]) + SUMIF(tblMicrosoftUnits[Products],$A102, tblMicrosoftUnits[cv_2018]) + SUMIF(tblAppleUnits[Products],$A102, tblAppleUnits[cv_2018]) + SUMIF(tblAlibabaUnits[Products],$A102, tblAlibabaUnits[cv_2018]) + SUMIF(tblHuaweiUnits[Products],$A102, tblHuaweiUnits[cv_2018]) + SUMIF(tblTencentUnits[Products],$A102, tblTencentUnits[cv_2018]) + SUMIF(tblBaiduUnits[Products],$A102, tblBaiduUnits[cv_2018]) + SUMIF(tblByteDanceUnits[Products],$A102, tblByteDanceUnits[cv_2018]) + SUMIF(tblCloudAOUnits[Products],$A102, tblCloudAOUnits[cv_2018])</f>
        <v>8750</v>
      </c>
      <c r="C102" s="8">
        <f xml:space="preserve"> SUMIF(tblGoogleUnits[Products],$A102, tblGoogleUnits[cv_2019]) + SUMIF(tblMetaUnits[Products],$A102, tblMetaUnits[cv_2019]) + SUMIF(tblAmazonUnits[Products],$A102, tblAmazonUnits[cv_2019]) + SUMIF(tblMicrosoftUnits[Products],$A102, tblMicrosoftUnits[cv_2019]) + SUMIF(tblAppleUnits[Products],$A102, tblAppleUnits[cv_2019]) + SUMIF(tblAlibabaUnits[Products],$A102, tblAlibabaUnits[cv_2019]) + SUMIF(tblHuaweiUnits[Products],$A102, tblHuaweiUnits[cv_2019]) + SUMIF(tblTencentUnits[Products],$A102, tblTencentUnits[cv_2019]) + SUMIF(tblBaiduUnits[Products],$A102, tblBaiduUnits[cv_2019]) + SUMIF(tblByteDanceUnits[Products],$A102, tblByteDanceUnits[cv_2019]) + SUMIF(tblCloudAOUnits[Products],$A102, tblCloudAOUnits[cv_2019])</f>
        <v>17415</v>
      </c>
      <c r="D102" s="8">
        <f xml:space="preserve"> SUMIF(tblGoogleUnits[Products],$A102, tblGoogleUnits[cv_2020]) + SUMIF(tblMetaUnits[Products],$A102, tblMetaUnits[cv_2020]) + SUMIF(tblAmazonUnits[Products],$A102, tblAmazonUnits[cv_2020]) + SUMIF(tblMicrosoftUnits[Products],$A102, tblMicrosoftUnits[cv_2020]) + SUMIF(tblAppleUnits[Products],$A102, tblAppleUnits[cv_2020]) + SUMIF(tblAlibabaUnits[Products],$A102, tblAlibabaUnits[cv_2020]) + SUMIF(tblHuaweiUnits[Products],$A102, tblHuaweiUnits[cv_2020]) + SUMIF(tblTencentUnits[Products],$A102, tblTencentUnits[cv_2020]) + SUMIF(tblBaiduUnits[Products],$A102, tblBaiduUnits[cv_2020]) + SUMIF(tblByteDanceUnits[Products],$A102, tblByteDanceUnits[cv_2020]) + SUMIF(tblCloudAOUnits[Products],$A102, tblCloudAOUnits[cv_2020])</f>
        <v>0</v>
      </c>
      <c r="E102" s="8">
        <f xml:space="preserve"> SUMIF(tblGoogleUnits[Products],$A102, tblGoogleUnits[cv_2021]) + SUMIF(tblMetaUnits[Products],$A102, tblMetaUnits[cv_2021]) + SUMIF(tblAmazonUnits[Products],$A102, tblAmazonUnits[cv_2021]) + SUMIF(tblMicrosoftUnits[Products],$A102, tblMicrosoftUnits[cv_2021]) + SUMIF(tblAppleUnits[Products],$A102, tblAppleUnits[cv_2021]) + SUMIF(tblAlibabaUnits[Products],$A102, tblAlibabaUnits[cv_2021]) + SUMIF(tblHuaweiUnits[Products],$A102, tblHuaweiUnits[cv_2021]) + SUMIF(tblTencentUnits[Products],$A102, tblTencentUnits[cv_2021]) + SUMIF(tblBaiduUnits[Products],$A102, tblBaiduUnits[cv_2021]) + SUMIF(tblByteDanceUnits[Products],$A102, tblByteDanceUnits[cv_2021]) + SUMIF(tblCloudAOUnits[Products],$A102, tblCloudAOUnits[cv_2021])</f>
        <v>0</v>
      </c>
      <c r="F102" s="8">
        <f xml:space="preserve"> SUMIF(tblGoogleUnits[Products],$A102, tblGoogleUnits[cv_2022]) + SUMIF(tblMetaUnits[Products],$A102, tblMetaUnits[cv_2022]) + SUMIF(tblAmazonUnits[Products],$A102, tblAmazonUnits[cv_2022]) + SUMIF(tblMicrosoftUnits[Products],$A102, tblMicrosoftUnits[cv_2022]) + SUMIF(tblAppleUnits[Products],$A102, tblAppleUnits[cv_2022]) + SUMIF(tblAlibabaUnits[Products],$A102, tblAlibabaUnits[cv_2022]) + SUMIF(tblHuaweiUnits[Products],$A102, tblHuaweiUnits[cv_2022]) + SUMIF(tblTencentUnits[Products],$A102, tblTencentUnits[cv_2022]) + SUMIF(tblBaiduUnits[Products],$A102, tblBaiduUnits[cv_2022]) + SUMIF(tblByteDanceUnits[Products],$A102, tblByteDanceUnits[cv_2022]) + SUMIF(tblCloudAOUnits[Products],$A102, tblCloudAOUnits[cv_2022])</f>
        <v>0</v>
      </c>
      <c r="G102" s="8">
        <f xml:space="preserve"> SUMIF(tblGoogleUnits[Products],$A102, tblGoogleUnits[cv_2023]) + SUMIF(tblMetaUnits[Products],$A102, tblMetaUnits[cv_2023]) + SUMIF(tblAmazonUnits[Products],$A102, tblAmazonUnits[cv_2023]) + SUMIF(tblMicrosoftUnits[Products],$A102, tblMicrosoftUnits[cv_2023]) + SUMIF(tblAppleUnits[Products],$A102, tblAppleUnits[cv_2023]) + SUMIF(tblAlibabaUnits[Products],$A102, tblAlibabaUnits[cv_2023]) + SUMIF(tblHuaweiUnits[Products],$A102, tblHuaweiUnits[cv_2023]) + SUMIF(tblTencentUnits[Products],$A102, tblTencentUnits[cv_2023]) + SUMIF(tblBaiduUnits[Products],$A102, tblBaiduUnits[cv_2023]) + SUMIF(tblByteDanceUnits[Products],$A102, tblByteDanceUnits[cv_2023]) + SUMIF(tblCloudAOUnits[Products],$A102, tblCloudAOUnits[cv_2023])</f>
        <v>0</v>
      </c>
      <c r="H102" s="8">
        <f xml:space="preserve"> SUMIF(tblGoogleUnits[Products],$A102, tblGoogleUnits[cv_2024]) + SUMIF(tblMetaUnits[Products],$A102, tblMetaUnits[cv_2024]) + SUMIF(tblAmazonUnits[Products],$A102, tblAmazonUnits[cv_2024]) + SUMIF(tblMicrosoftUnits[Products],$A102, tblMicrosoftUnits[cv_2024]) + SUMIF(tblAppleUnits[Products],$A102, tblAppleUnits[cv_2024]) + SUMIF(tblAlibabaUnits[Products],$A102, tblAlibabaUnits[cv_2024]) + SUMIF(tblHuaweiUnits[Products],$A102, tblHuaweiUnits[cv_2024]) + SUMIF(tblTencentUnits[Products],$A102, tblTencentUnits[cv_2024]) + SUMIF(tblBaiduUnits[Products],$A102, tblBaiduUnits[cv_2024]) + SUMIF(tblByteDanceUnits[Products],$A102, tblByteDanceUnits[cv_2024]) + SUMIF(tblCloudAOUnits[Products],$A102, tblCloudAOUnits[cv_2024])</f>
        <v>0</v>
      </c>
      <c r="I102" s="8">
        <f xml:space="preserve"> SUMIF(tblGoogleUnits[Products],$A102, tblGoogleUnits[cv_2025]) + SUMIF(tblMetaUnits[Products],$A102, tblMetaUnits[cv_2025]) + SUMIF(tblAmazonUnits[Products],$A102, tblAmazonUnits[cv_2025]) + SUMIF(tblMicrosoftUnits[Products],$A102, tblMicrosoftUnits[cv_2025]) + SUMIF(tblAppleUnits[Products],$A102, tblAppleUnits[cv_2025]) + SUMIF(tblAlibabaUnits[Products],$A102, tblAlibabaUnits[cv_2025]) + SUMIF(tblHuaweiUnits[Products],$A102, tblHuaweiUnits[cv_2025]) + SUMIF(tblTencentUnits[Products],$A102, tblTencentUnits[cv_2025]) + SUMIF(tblBaiduUnits[Products],$A102, tblBaiduUnits[cv_2025]) + SUMIF(tblByteDanceUnits[Products],$A102, tblByteDanceUnits[cv_2025]) + SUMIF(tblCloudAOUnits[Products],$A102, tblCloudAOUnits[cv_2025])</f>
        <v>0</v>
      </c>
      <c r="J102" s="8">
        <f xml:space="preserve"> SUMIF(tblGoogleUnits[Products],$A102, tblGoogleUnits[cv_2026]) + SUMIF(tblMetaUnits[Products],$A102, tblMetaUnits[cv_2026]) + SUMIF(tblAmazonUnits[Products],$A102, tblAmazonUnits[cv_2026]) + SUMIF(tblMicrosoftUnits[Products],$A102, tblMicrosoftUnits[cv_2026]) + SUMIF(tblAppleUnits[Products],$A102, tblAppleUnits[cv_2026]) + SUMIF(tblAlibabaUnits[Products],$A102, tblAlibabaUnits[cv_2026]) + SUMIF(tblHuaweiUnits[Products],$A102, tblHuaweiUnits[cv_2026]) + SUMIF(tblTencentUnits[Products],$A102, tblTencentUnits[cv_2026]) + SUMIF(tblBaiduUnits[Products],$A102, tblBaiduUnits[cv_2026]) + SUMIF(tblByteDanceUnits[Products],$A102, tblByteDanceUnits[cv_2026]) + SUMIF(tblCloudAOUnits[Products],$A102, tblCloudAOUnits[cv_2026])</f>
        <v>0</v>
      </c>
      <c r="K102" s="8">
        <f xml:space="preserve"> SUMIF(tblGoogleUnits[Products],$A102, tblGoogleUnits[cv_2027]) + SUMIF(tblMetaUnits[Products],$A102, tblMetaUnits[cv_2027]) + SUMIF(tblAmazonUnits[Products],$A102, tblAmazonUnits[cv_2027]) + SUMIF(tblMicrosoftUnits[Products],$A102, tblMicrosoftUnits[cv_2027]) + SUMIF(tblAppleUnits[Products],$A102, tblAppleUnits[cv_2027]) + SUMIF(tblAlibabaUnits[Products],$A102, tblAlibabaUnits[cv_2027]) + SUMIF(tblHuaweiUnits[Products],$A102, tblHuaweiUnits[cv_2027]) + SUMIF(tblTencentUnits[Products],$A102, tblTencentUnits[cv_2027]) + SUMIF(tblBaiduUnits[Products],$A102, tblBaiduUnits[cv_2027]) + SUMIF(tblByteDanceUnits[Products],$A102, tblByteDanceUnits[cv_2027]) + SUMIF(tblCloudAOUnits[Products],$A102, tblCloudAOUnits[cv_2027])</f>
        <v>0</v>
      </c>
      <c r="L102" s="8">
        <f xml:space="preserve"> SUMIF(tblGoogleUnits[Products],$A102, tblGoogleUnits[cv_2028]) + SUMIF(tblMetaUnits[Products],$A102, tblMetaUnits[cv_2028]) + SUMIF(tblAmazonUnits[Products],$A102, tblAmazonUnits[cv_2028]) + SUMIF(tblMicrosoftUnits[Products],$A102, tblMicrosoftUnits[cv_2028]) + SUMIF(tblAppleUnits[Products],$A102, tblAppleUnits[cv_2028]) + SUMIF(tblAlibabaUnits[Products],$A102, tblAlibabaUnits[cv_2028]) + SUMIF(tblHuaweiUnits[Products],$A102, tblHuaweiUnits[cv_2028]) + SUMIF(tblTencentUnits[Products],$A102, tblTencentUnits[cv_2028]) + SUMIF(tblBaiduUnits[Products],$A102, tblBaiduUnits[cv_2028]) + SUMIF(tblByteDanceUnits[Products],$A102, tblByteDanceUnits[cv_2028]) + SUMIF(tblCloudAOUnits[Products],$A102, tblCloudAOUnits[cv_2028])</f>
        <v>0</v>
      </c>
      <c r="M102" s="122">
        <f>10^-6*B102*INDEX(TotalMarket!$M$26:$W$125,MATCH($A102,$A$11:$A$132,0),MATCH(M$10,$M$10:$W$10))</f>
        <v>0</v>
      </c>
      <c r="N102" s="122">
        <f>10^-6*C102*INDEX(TotalMarket!$M$26:$W$125,MATCH($A102,$A$11:$A$132,0),MATCH(N$10,$M$10:$W$10))</f>
        <v>151.98545454545456</v>
      </c>
      <c r="O102" s="122">
        <f>10^-6*D102*INDEX(TotalMarket!$M$26:$W$125,MATCH($A102,$A$11:$A$132,0),MATCH(O$10,$M$10:$W$10))</f>
        <v>0</v>
      </c>
      <c r="P102" s="122">
        <f>10^-6*E102*INDEX(TotalMarket!$M$26:$W$125,MATCH($A102,$A$11:$A$132,0),MATCH(P$10,$M$10:$W$10))</f>
        <v>0</v>
      </c>
      <c r="Q102" s="122">
        <f>10^-6*F102*INDEX(TotalMarket!$M$26:$W$125,MATCH($A102,$A$11:$A$132,0),MATCH(Q$10,$M$10:$W$10))</f>
        <v>0</v>
      </c>
      <c r="R102" s="122">
        <f>10^-6*G102*INDEX(TotalMarket!$M$26:$W$125,MATCH($A102,$A$11:$A$132,0),MATCH(R$10,$M$10:$W$10))</f>
        <v>0</v>
      </c>
      <c r="S102" s="122">
        <f>10^-6*H102*INDEX(TotalMarket!$M$26:$W$125,MATCH($A102,$A$11:$A$132,0),MATCH(S$10,$M$10:$W$10))</f>
        <v>0</v>
      </c>
      <c r="T102" s="122">
        <f>10^-6*I102*INDEX(TotalMarket!$M$26:$W$125,MATCH($A102,$A$11:$A$132,0),MATCH(T$10,$M$10:$W$10))</f>
        <v>0</v>
      </c>
      <c r="U102" s="122">
        <f>10^-6*J102*INDEX(TotalMarket!$M$26:$W$125,MATCH($A102,$A$11:$A$132,0),MATCH(U$10,$M$10:$W$10))</f>
        <v>0</v>
      </c>
      <c r="V102" s="122">
        <f>10^-6*K102*INDEX(TotalMarket!$M$26:$W$125,MATCH($A102,$A$11:$A$132,0),MATCH(V$10,$M$10:$W$10))</f>
        <v>0</v>
      </c>
      <c r="W102" s="122">
        <f>10^-6*L102*INDEX(TotalMarket!$M$26:$W$125,MATCH($A102,$A$11:$A$132,0),MATCH(W$10,$M$10:$W$10))</f>
        <v>0</v>
      </c>
      <c r="X102" s="1">
        <f>VLOOKUP(A102,Products!$A$29:$F$110,6,FALSE)</f>
        <v>400</v>
      </c>
    </row>
    <row r="103" spans="1:24">
      <c r="A103" s="15" t="s">
        <v>32</v>
      </c>
      <c r="B103" s="8">
        <f xml:space="preserve"> SUMIF(tblGoogleUnits[Products],$A103, tblGoogleUnits[cv_2018]) + SUMIF(tblMetaUnits[Products],$A103, tblMetaUnits[cv_2018]) + SUMIF(tblAmazonUnits[Products],$A103, tblAmazonUnits[cv_2018]) + SUMIF(tblMicrosoftUnits[Products],$A103, tblMicrosoftUnits[cv_2018]) + SUMIF(tblAppleUnits[Products],$A103, tblAppleUnits[cv_2018]) + SUMIF(tblAlibabaUnits[Products],$A103, tblAlibabaUnits[cv_2018]) + SUMIF(tblHuaweiUnits[Products],$A103, tblHuaweiUnits[cv_2018]) + SUMIF(tblTencentUnits[Products],$A103, tblTencentUnits[cv_2018]) + SUMIF(tblBaiduUnits[Products],$A103, tblBaiduUnits[cv_2018]) + SUMIF(tblByteDanceUnits[Products],$A103, tblByteDanceUnits[cv_2018]) + SUMIF(tblCloudAOUnits[Products],$A103, tblCloudAOUnits[cv_2018])</f>
        <v>0</v>
      </c>
      <c r="C103" s="8">
        <f xml:space="preserve"> SUMIF(tblGoogleUnits[Products],$A103, tblGoogleUnits[cv_2019]) + SUMIF(tblMetaUnits[Products],$A103, tblMetaUnits[cv_2019]) + SUMIF(tblAmazonUnits[Products],$A103, tblAmazonUnits[cv_2019]) + SUMIF(tblMicrosoftUnits[Products],$A103, tblMicrosoftUnits[cv_2019]) + SUMIF(tblAppleUnits[Products],$A103, tblAppleUnits[cv_2019]) + SUMIF(tblAlibabaUnits[Products],$A103, tblAlibabaUnits[cv_2019]) + SUMIF(tblHuaweiUnits[Products],$A103, tblHuaweiUnits[cv_2019]) + SUMIF(tblTencentUnits[Products],$A103, tblTencentUnits[cv_2019]) + SUMIF(tblBaiduUnits[Products],$A103, tblBaiduUnits[cv_2019]) + SUMIF(tblByteDanceUnits[Products],$A103, tblByteDanceUnits[cv_2019]) + SUMIF(tblCloudAOUnits[Products],$A103, tblCloudAOUnits[cv_2019])</f>
        <v>200</v>
      </c>
      <c r="D103" s="8">
        <f xml:space="preserve"> SUMIF(tblGoogleUnits[Products],$A103, tblGoogleUnits[cv_2020]) + SUMIF(tblMetaUnits[Products],$A103, tblMetaUnits[cv_2020]) + SUMIF(tblAmazonUnits[Products],$A103, tblAmazonUnits[cv_2020]) + SUMIF(tblMicrosoftUnits[Products],$A103, tblMicrosoftUnits[cv_2020]) + SUMIF(tblAppleUnits[Products],$A103, tblAppleUnits[cv_2020]) + SUMIF(tblAlibabaUnits[Products],$A103, tblAlibabaUnits[cv_2020]) + SUMIF(tblHuaweiUnits[Products],$A103, tblHuaweiUnits[cv_2020]) + SUMIF(tblTencentUnits[Products],$A103, tblTencentUnits[cv_2020]) + SUMIF(tblBaiduUnits[Products],$A103, tblBaiduUnits[cv_2020]) + SUMIF(tblByteDanceUnits[Products],$A103, tblByteDanceUnits[cv_2020]) + SUMIF(tblCloudAOUnits[Products],$A103, tblCloudAOUnits[cv_2020])</f>
        <v>0</v>
      </c>
      <c r="E103" s="8">
        <f xml:space="preserve"> SUMIF(tblGoogleUnits[Products],$A103, tblGoogleUnits[cv_2021]) + SUMIF(tblMetaUnits[Products],$A103, tblMetaUnits[cv_2021]) + SUMIF(tblAmazonUnits[Products],$A103, tblAmazonUnits[cv_2021]) + SUMIF(tblMicrosoftUnits[Products],$A103, tblMicrosoftUnits[cv_2021]) + SUMIF(tblAppleUnits[Products],$A103, tblAppleUnits[cv_2021]) + SUMIF(tblAlibabaUnits[Products],$A103, tblAlibabaUnits[cv_2021]) + SUMIF(tblHuaweiUnits[Products],$A103, tblHuaweiUnits[cv_2021]) + SUMIF(tblTencentUnits[Products],$A103, tblTencentUnits[cv_2021]) + SUMIF(tblBaiduUnits[Products],$A103, tblBaiduUnits[cv_2021]) + SUMIF(tblByteDanceUnits[Products],$A103, tblByteDanceUnits[cv_2021]) + SUMIF(tblCloudAOUnits[Products],$A103, tblCloudAOUnits[cv_2021])</f>
        <v>0</v>
      </c>
      <c r="F103" s="8">
        <f xml:space="preserve"> SUMIF(tblGoogleUnits[Products],$A103, tblGoogleUnits[cv_2022]) + SUMIF(tblMetaUnits[Products],$A103, tblMetaUnits[cv_2022]) + SUMIF(tblAmazonUnits[Products],$A103, tblAmazonUnits[cv_2022]) + SUMIF(tblMicrosoftUnits[Products],$A103, tblMicrosoftUnits[cv_2022]) + SUMIF(tblAppleUnits[Products],$A103, tblAppleUnits[cv_2022]) + SUMIF(tblAlibabaUnits[Products],$A103, tblAlibabaUnits[cv_2022]) + SUMIF(tblHuaweiUnits[Products],$A103, tblHuaweiUnits[cv_2022]) + SUMIF(tblTencentUnits[Products],$A103, tblTencentUnits[cv_2022]) + SUMIF(tblBaiduUnits[Products],$A103, tblBaiduUnits[cv_2022]) + SUMIF(tblByteDanceUnits[Products],$A103, tblByteDanceUnits[cv_2022]) + SUMIF(tblCloudAOUnits[Products],$A103, tblCloudAOUnits[cv_2022])</f>
        <v>0</v>
      </c>
      <c r="G103" s="8">
        <f xml:space="preserve"> SUMIF(tblGoogleUnits[Products],$A103, tblGoogleUnits[cv_2023]) + SUMIF(tblMetaUnits[Products],$A103, tblMetaUnits[cv_2023]) + SUMIF(tblAmazonUnits[Products],$A103, tblAmazonUnits[cv_2023]) + SUMIF(tblMicrosoftUnits[Products],$A103, tblMicrosoftUnits[cv_2023]) + SUMIF(tblAppleUnits[Products],$A103, tblAppleUnits[cv_2023]) + SUMIF(tblAlibabaUnits[Products],$A103, tblAlibabaUnits[cv_2023]) + SUMIF(tblHuaweiUnits[Products],$A103, tblHuaweiUnits[cv_2023]) + SUMIF(tblTencentUnits[Products],$A103, tblTencentUnits[cv_2023]) + SUMIF(tblBaiduUnits[Products],$A103, tblBaiduUnits[cv_2023]) + SUMIF(tblByteDanceUnits[Products],$A103, tblByteDanceUnits[cv_2023]) + SUMIF(tblCloudAOUnits[Products],$A103, tblCloudAOUnits[cv_2023])</f>
        <v>0</v>
      </c>
      <c r="H103" s="8">
        <f xml:space="preserve"> SUMIF(tblGoogleUnits[Products],$A103, tblGoogleUnits[cv_2024]) + SUMIF(tblMetaUnits[Products],$A103, tblMetaUnits[cv_2024]) + SUMIF(tblAmazonUnits[Products],$A103, tblAmazonUnits[cv_2024]) + SUMIF(tblMicrosoftUnits[Products],$A103, tblMicrosoftUnits[cv_2024]) + SUMIF(tblAppleUnits[Products],$A103, tblAppleUnits[cv_2024]) + SUMIF(tblAlibabaUnits[Products],$A103, tblAlibabaUnits[cv_2024]) + SUMIF(tblHuaweiUnits[Products],$A103, tblHuaweiUnits[cv_2024]) + SUMIF(tblTencentUnits[Products],$A103, tblTencentUnits[cv_2024]) + SUMIF(tblBaiduUnits[Products],$A103, tblBaiduUnits[cv_2024]) + SUMIF(tblByteDanceUnits[Products],$A103, tblByteDanceUnits[cv_2024]) + SUMIF(tblCloudAOUnits[Products],$A103, tblCloudAOUnits[cv_2024])</f>
        <v>0</v>
      </c>
      <c r="I103" s="8">
        <f xml:space="preserve"> SUMIF(tblGoogleUnits[Products],$A103, tblGoogleUnits[cv_2025]) + SUMIF(tblMetaUnits[Products],$A103, tblMetaUnits[cv_2025]) + SUMIF(tblAmazonUnits[Products],$A103, tblAmazonUnits[cv_2025]) + SUMIF(tblMicrosoftUnits[Products],$A103, tblMicrosoftUnits[cv_2025]) + SUMIF(tblAppleUnits[Products],$A103, tblAppleUnits[cv_2025]) + SUMIF(tblAlibabaUnits[Products],$A103, tblAlibabaUnits[cv_2025]) + SUMIF(tblHuaweiUnits[Products],$A103, tblHuaweiUnits[cv_2025]) + SUMIF(tblTencentUnits[Products],$A103, tblTencentUnits[cv_2025]) + SUMIF(tblBaiduUnits[Products],$A103, tblBaiduUnits[cv_2025]) + SUMIF(tblByteDanceUnits[Products],$A103, tblByteDanceUnits[cv_2025]) + SUMIF(tblCloudAOUnits[Products],$A103, tblCloudAOUnits[cv_2025])</f>
        <v>0</v>
      </c>
      <c r="J103" s="8">
        <f xml:space="preserve"> SUMIF(tblGoogleUnits[Products],$A103, tblGoogleUnits[cv_2026]) + SUMIF(tblMetaUnits[Products],$A103, tblMetaUnits[cv_2026]) + SUMIF(tblAmazonUnits[Products],$A103, tblAmazonUnits[cv_2026]) + SUMIF(tblMicrosoftUnits[Products],$A103, tblMicrosoftUnits[cv_2026]) + SUMIF(tblAppleUnits[Products],$A103, tblAppleUnits[cv_2026]) + SUMIF(tblAlibabaUnits[Products],$A103, tblAlibabaUnits[cv_2026]) + SUMIF(tblHuaweiUnits[Products],$A103, tblHuaweiUnits[cv_2026]) + SUMIF(tblTencentUnits[Products],$A103, tblTencentUnits[cv_2026]) + SUMIF(tblBaiduUnits[Products],$A103, tblBaiduUnits[cv_2026]) + SUMIF(tblByteDanceUnits[Products],$A103, tblByteDanceUnits[cv_2026]) + SUMIF(tblCloudAOUnits[Products],$A103, tblCloudAOUnits[cv_2026])</f>
        <v>0</v>
      </c>
      <c r="K103" s="8">
        <f xml:space="preserve"> SUMIF(tblGoogleUnits[Products],$A103, tblGoogleUnits[cv_2027]) + SUMIF(tblMetaUnits[Products],$A103, tblMetaUnits[cv_2027]) + SUMIF(tblAmazonUnits[Products],$A103, tblAmazonUnits[cv_2027]) + SUMIF(tblMicrosoftUnits[Products],$A103, tblMicrosoftUnits[cv_2027]) + SUMIF(tblAppleUnits[Products],$A103, tblAppleUnits[cv_2027]) + SUMIF(tblAlibabaUnits[Products],$A103, tblAlibabaUnits[cv_2027]) + SUMIF(tblHuaweiUnits[Products],$A103, tblHuaweiUnits[cv_2027]) + SUMIF(tblTencentUnits[Products],$A103, tblTencentUnits[cv_2027]) + SUMIF(tblBaiduUnits[Products],$A103, tblBaiduUnits[cv_2027]) + SUMIF(tblByteDanceUnits[Products],$A103, tblByteDanceUnits[cv_2027]) + SUMIF(tblCloudAOUnits[Products],$A103, tblCloudAOUnits[cv_2027])</f>
        <v>0</v>
      </c>
      <c r="L103" s="8">
        <f xml:space="preserve"> SUMIF(tblGoogleUnits[Products],$A103, tblGoogleUnits[cv_2028]) + SUMIF(tblMetaUnits[Products],$A103, tblMetaUnits[cv_2028]) + SUMIF(tblAmazonUnits[Products],$A103, tblAmazonUnits[cv_2028]) + SUMIF(tblMicrosoftUnits[Products],$A103, tblMicrosoftUnits[cv_2028]) + SUMIF(tblAppleUnits[Products],$A103, tblAppleUnits[cv_2028]) + SUMIF(tblAlibabaUnits[Products],$A103, tblAlibabaUnits[cv_2028]) + SUMIF(tblHuaweiUnits[Products],$A103, tblHuaweiUnits[cv_2028]) + SUMIF(tblTencentUnits[Products],$A103, tblTencentUnits[cv_2028]) + SUMIF(tblBaiduUnits[Products],$A103, tblBaiduUnits[cv_2028]) + SUMIF(tblByteDanceUnits[Products],$A103, tblByteDanceUnits[cv_2028]) + SUMIF(tblCloudAOUnits[Products],$A103, tblCloudAOUnits[cv_2028])</f>
        <v>0</v>
      </c>
      <c r="M103" s="122">
        <f>10^-6*B103*INDEX(TotalMarket!$M$26:$W$125,MATCH($A103,$A$11:$A$132,0),MATCH(M$10,$M$10:$W$10))</f>
        <v>0</v>
      </c>
      <c r="N103" s="122">
        <f>10^-6*C103*INDEX(TotalMarket!$M$26:$W$125,MATCH($A103,$A$11:$A$132,0),MATCH(N$10,$M$10:$W$10))</f>
        <v>1.2</v>
      </c>
      <c r="O103" s="122">
        <f>10^-6*D103*INDEX(TotalMarket!$M$26:$W$125,MATCH($A103,$A$11:$A$132,0),MATCH(O$10,$M$10:$W$10))</f>
        <v>0</v>
      </c>
      <c r="P103" s="122">
        <f>10^-6*E103*INDEX(TotalMarket!$M$26:$W$125,MATCH($A103,$A$11:$A$132,0),MATCH(P$10,$M$10:$W$10))</f>
        <v>0</v>
      </c>
      <c r="Q103" s="122">
        <f>10^-6*F103*INDEX(TotalMarket!$M$26:$W$125,MATCH($A103,$A$11:$A$132,0),MATCH(Q$10,$M$10:$W$10))</f>
        <v>0</v>
      </c>
      <c r="R103" s="122">
        <f>10^-6*G103*INDEX(TotalMarket!$M$26:$W$125,MATCH($A103,$A$11:$A$132,0),MATCH(R$10,$M$10:$W$10))</f>
        <v>0</v>
      </c>
      <c r="S103" s="122">
        <f>10^-6*H103*INDEX(TotalMarket!$M$26:$W$125,MATCH($A103,$A$11:$A$132,0),MATCH(S$10,$M$10:$W$10))</f>
        <v>0</v>
      </c>
      <c r="T103" s="122">
        <f>10^-6*I103*INDEX(TotalMarket!$M$26:$W$125,MATCH($A103,$A$11:$A$132,0),MATCH(T$10,$M$10:$W$10))</f>
        <v>0</v>
      </c>
      <c r="U103" s="122">
        <f>10^-6*J103*INDEX(TotalMarket!$M$26:$W$125,MATCH($A103,$A$11:$A$132,0),MATCH(U$10,$M$10:$W$10))</f>
        <v>0</v>
      </c>
      <c r="V103" s="122">
        <f>10^-6*K103*INDEX(TotalMarket!$M$26:$W$125,MATCH($A103,$A$11:$A$132,0),MATCH(V$10,$M$10:$W$10))</f>
        <v>0</v>
      </c>
      <c r="W103" s="122">
        <f>10^-6*L103*INDEX(TotalMarket!$M$26:$W$125,MATCH($A103,$A$11:$A$132,0),MATCH(W$10,$M$10:$W$10))</f>
        <v>0</v>
      </c>
      <c r="X103" s="1">
        <f>VLOOKUP(A103,Products!$A$29:$F$110,6,FALSE)</f>
        <v>400</v>
      </c>
    </row>
    <row r="104" spans="1:24">
      <c r="A104" s="15" t="s">
        <v>33</v>
      </c>
      <c r="B104" s="8">
        <f xml:space="preserve"> SUMIF(tblGoogleUnits[Products],$A104, tblGoogleUnits[cv_2018]) + SUMIF(tblMetaUnits[Products],$A104, tblMetaUnits[cv_2018]) + SUMIF(tblAmazonUnits[Products],$A104, tblAmazonUnits[cv_2018]) + SUMIF(tblMicrosoftUnits[Products],$A104, tblMicrosoftUnits[cv_2018]) + SUMIF(tblAppleUnits[Products],$A104, tblAppleUnits[cv_2018]) + SUMIF(tblAlibabaUnits[Products],$A104, tblAlibabaUnits[cv_2018]) + SUMIF(tblHuaweiUnits[Products],$A104, tblHuaweiUnits[cv_2018]) + SUMIF(tblTencentUnits[Products],$A104, tblTencentUnits[cv_2018]) + SUMIF(tblBaiduUnits[Products],$A104, tblBaiduUnits[cv_2018]) + SUMIF(tblByteDanceUnits[Products],$A104, tblByteDanceUnits[cv_2018]) + SUMIF(tblCloudAOUnits[Products],$A104, tblCloudAOUnits[cv_2018])</f>
        <v>0</v>
      </c>
      <c r="C104" s="8">
        <f xml:space="preserve"> SUMIF(tblGoogleUnits[Products],$A104, tblGoogleUnits[cv_2019]) + SUMIF(tblMetaUnits[Products],$A104, tblMetaUnits[cv_2019]) + SUMIF(tblAmazonUnits[Products],$A104, tblAmazonUnits[cv_2019]) + SUMIF(tblMicrosoftUnits[Products],$A104, tblMicrosoftUnits[cv_2019]) + SUMIF(tblAppleUnits[Products],$A104, tblAppleUnits[cv_2019]) + SUMIF(tblAlibabaUnits[Products],$A104, tblAlibabaUnits[cv_2019]) + SUMIF(tblHuaweiUnits[Products],$A104, tblHuaweiUnits[cv_2019]) + SUMIF(tblTencentUnits[Products],$A104, tblTencentUnits[cv_2019]) + SUMIF(tblBaiduUnits[Products],$A104, tblBaiduUnits[cv_2019]) + SUMIF(tblByteDanceUnits[Products],$A104, tblByteDanceUnits[cv_2019]) + SUMIF(tblCloudAOUnits[Products],$A104, tblCloudAOUnits[cv_2019])</f>
        <v>100</v>
      </c>
      <c r="D104" s="8">
        <f xml:space="preserve"> SUMIF(tblGoogleUnits[Products],$A104, tblGoogleUnits[cv_2020]) + SUMIF(tblMetaUnits[Products],$A104, tblMetaUnits[cv_2020]) + SUMIF(tblAmazonUnits[Products],$A104, tblAmazonUnits[cv_2020]) + SUMIF(tblMicrosoftUnits[Products],$A104, tblMicrosoftUnits[cv_2020]) + SUMIF(tblAppleUnits[Products],$A104, tblAppleUnits[cv_2020]) + SUMIF(tblAlibabaUnits[Products],$A104, tblAlibabaUnits[cv_2020]) + SUMIF(tblHuaweiUnits[Products],$A104, tblHuaweiUnits[cv_2020]) + SUMIF(tblTencentUnits[Products],$A104, tblTencentUnits[cv_2020]) + SUMIF(tblBaiduUnits[Products],$A104, tblBaiduUnits[cv_2020]) + SUMIF(tblByteDanceUnits[Products],$A104, tblByteDanceUnits[cv_2020]) + SUMIF(tblCloudAOUnits[Products],$A104, tblCloudAOUnits[cv_2020])</f>
        <v>0</v>
      </c>
      <c r="E104" s="8">
        <f xml:space="preserve"> SUMIF(tblGoogleUnits[Products],$A104, tblGoogleUnits[cv_2021]) + SUMIF(tblMetaUnits[Products],$A104, tblMetaUnits[cv_2021]) + SUMIF(tblAmazonUnits[Products],$A104, tblAmazonUnits[cv_2021]) + SUMIF(tblMicrosoftUnits[Products],$A104, tblMicrosoftUnits[cv_2021]) + SUMIF(tblAppleUnits[Products],$A104, tblAppleUnits[cv_2021]) + SUMIF(tblAlibabaUnits[Products],$A104, tblAlibabaUnits[cv_2021]) + SUMIF(tblHuaweiUnits[Products],$A104, tblHuaweiUnits[cv_2021]) + SUMIF(tblTencentUnits[Products],$A104, tblTencentUnits[cv_2021]) + SUMIF(tblBaiduUnits[Products],$A104, tblBaiduUnits[cv_2021]) + SUMIF(tblByteDanceUnits[Products],$A104, tblByteDanceUnits[cv_2021]) + SUMIF(tblCloudAOUnits[Products],$A104, tblCloudAOUnits[cv_2021])</f>
        <v>0</v>
      </c>
      <c r="F104" s="8">
        <f xml:space="preserve"> SUMIF(tblGoogleUnits[Products],$A104, tblGoogleUnits[cv_2022]) + SUMIF(tblMetaUnits[Products],$A104, tblMetaUnits[cv_2022]) + SUMIF(tblAmazonUnits[Products],$A104, tblAmazonUnits[cv_2022]) + SUMIF(tblMicrosoftUnits[Products],$A104, tblMicrosoftUnits[cv_2022]) + SUMIF(tblAppleUnits[Products],$A104, tblAppleUnits[cv_2022]) + SUMIF(tblAlibabaUnits[Products],$A104, tblAlibabaUnits[cv_2022]) + SUMIF(tblHuaweiUnits[Products],$A104, tblHuaweiUnits[cv_2022]) + SUMIF(tblTencentUnits[Products],$A104, tblTencentUnits[cv_2022]) + SUMIF(tblBaiduUnits[Products],$A104, tblBaiduUnits[cv_2022]) + SUMIF(tblByteDanceUnits[Products],$A104, tblByteDanceUnits[cv_2022]) + SUMIF(tblCloudAOUnits[Products],$A104, tblCloudAOUnits[cv_2022])</f>
        <v>0</v>
      </c>
      <c r="G104" s="8">
        <f xml:space="preserve"> SUMIF(tblGoogleUnits[Products],$A104, tblGoogleUnits[cv_2023]) + SUMIF(tblMetaUnits[Products],$A104, tblMetaUnits[cv_2023]) + SUMIF(tblAmazonUnits[Products],$A104, tblAmazonUnits[cv_2023]) + SUMIF(tblMicrosoftUnits[Products],$A104, tblMicrosoftUnits[cv_2023]) + SUMIF(tblAppleUnits[Products],$A104, tblAppleUnits[cv_2023]) + SUMIF(tblAlibabaUnits[Products],$A104, tblAlibabaUnits[cv_2023]) + SUMIF(tblHuaweiUnits[Products],$A104, tblHuaweiUnits[cv_2023]) + SUMIF(tblTencentUnits[Products],$A104, tblTencentUnits[cv_2023]) + SUMIF(tblBaiduUnits[Products],$A104, tblBaiduUnits[cv_2023]) + SUMIF(tblByteDanceUnits[Products],$A104, tblByteDanceUnits[cv_2023]) + SUMIF(tblCloudAOUnits[Products],$A104, tblCloudAOUnits[cv_2023])</f>
        <v>0</v>
      </c>
      <c r="H104" s="8">
        <f xml:space="preserve"> SUMIF(tblGoogleUnits[Products],$A104, tblGoogleUnits[cv_2024]) + SUMIF(tblMetaUnits[Products],$A104, tblMetaUnits[cv_2024]) + SUMIF(tblAmazonUnits[Products],$A104, tblAmazonUnits[cv_2024]) + SUMIF(tblMicrosoftUnits[Products],$A104, tblMicrosoftUnits[cv_2024]) + SUMIF(tblAppleUnits[Products],$A104, tblAppleUnits[cv_2024]) + SUMIF(tblAlibabaUnits[Products],$A104, tblAlibabaUnits[cv_2024]) + SUMIF(tblHuaweiUnits[Products],$A104, tblHuaweiUnits[cv_2024]) + SUMIF(tblTencentUnits[Products],$A104, tblTencentUnits[cv_2024]) + SUMIF(tblBaiduUnits[Products],$A104, tblBaiduUnits[cv_2024]) + SUMIF(tblByteDanceUnits[Products],$A104, tblByteDanceUnits[cv_2024]) + SUMIF(tblCloudAOUnits[Products],$A104, tblCloudAOUnits[cv_2024])</f>
        <v>0</v>
      </c>
      <c r="I104" s="8">
        <f xml:space="preserve"> SUMIF(tblGoogleUnits[Products],$A104, tblGoogleUnits[cv_2025]) + SUMIF(tblMetaUnits[Products],$A104, tblMetaUnits[cv_2025]) + SUMIF(tblAmazonUnits[Products],$A104, tblAmazonUnits[cv_2025]) + SUMIF(tblMicrosoftUnits[Products],$A104, tblMicrosoftUnits[cv_2025]) + SUMIF(tblAppleUnits[Products],$A104, tblAppleUnits[cv_2025]) + SUMIF(tblAlibabaUnits[Products],$A104, tblAlibabaUnits[cv_2025]) + SUMIF(tblHuaweiUnits[Products],$A104, tblHuaweiUnits[cv_2025]) + SUMIF(tblTencentUnits[Products],$A104, tblTencentUnits[cv_2025]) + SUMIF(tblBaiduUnits[Products],$A104, tblBaiduUnits[cv_2025]) + SUMIF(tblByteDanceUnits[Products],$A104, tblByteDanceUnits[cv_2025]) + SUMIF(tblCloudAOUnits[Products],$A104, tblCloudAOUnits[cv_2025])</f>
        <v>0</v>
      </c>
      <c r="J104" s="8">
        <f xml:space="preserve"> SUMIF(tblGoogleUnits[Products],$A104, tblGoogleUnits[cv_2026]) + SUMIF(tblMetaUnits[Products],$A104, tblMetaUnits[cv_2026]) + SUMIF(tblAmazonUnits[Products],$A104, tblAmazonUnits[cv_2026]) + SUMIF(tblMicrosoftUnits[Products],$A104, tblMicrosoftUnits[cv_2026]) + SUMIF(tblAppleUnits[Products],$A104, tblAppleUnits[cv_2026]) + SUMIF(tblAlibabaUnits[Products],$A104, tblAlibabaUnits[cv_2026]) + SUMIF(tblHuaweiUnits[Products],$A104, tblHuaweiUnits[cv_2026]) + SUMIF(tblTencentUnits[Products],$A104, tblTencentUnits[cv_2026]) + SUMIF(tblBaiduUnits[Products],$A104, tblBaiduUnits[cv_2026]) + SUMIF(tblByteDanceUnits[Products],$A104, tblByteDanceUnits[cv_2026]) + SUMIF(tblCloudAOUnits[Products],$A104, tblCloudAOUnits[cv_2026])</f>
        <v>0</v>
      </c>
      <c r="K104" s="8">
        <f xml:space="preserve"> SUMIF(tblGoogleUnits[Products],$A104, tblGoogleUnits[cv_2027]) + SUMIF(tblMetaUnits[Products],$A104, tblMetaUnits[cv_2027]) + SUMIF(tblAmazonUnits[Products],$A104, tblAmazonUnits[cv_2027]) + SUMIF(tblMicrosoftUnits[Products],$A104, tblMicrosoftUnits[cv_2027]) + SUMIF(tblAppleUnits[Products],$A104, tblAppleUnits[cv_2027]) + SUMIF(tblAlibabaUnits[Products],$A104, tblAlibabaUnits[cv_2027]) + SUMIF(tblHuaweiUnits[Products],$A104, tblHuaweiUnits[cv_2027]) + SUMIF(tblTencentUnits[Products],$A104, tblTencentUnits[cv_2027]) + SUMIF(tblBaiduUnits[Products],$A104, tblBaiduUnits[cv_2027]) + SUMIF(tblByteDanceUnits[Products],$A104, tblByteDanceUnits[cv_2027]) + SUMIF(tblCloudAOUnits[Products],$A104, tblCloudAOUnits[cv_2027])</f>
        <v>0</v>
      </c>
      <c r="L104" s="8">
        <f xml:space="preserve"> SUMIF(tblGoogleUnits[Products],$A104, tblGoogleUnits[cv_2028]) + SUMIF(tblMetaUnits[Products],$A104, tblMetaUnits[cv_2028]) + SUMIF(tblAmazonUnits[Products],$A104, tblAmazonUnits[cv_2028]) + SUMIF(tblMicrosoftUnits[Products],$A104, tblMicrosoftUnits[cv_2028]) + SUMIF(tblAppleUnits[Products],$A104, tblAppleUnits[cv_2028]) + SUMIF(tblAlibabaUnits[Products],$A104, tblAlibabaUnits[cv_2028]) + SUMIF(tblHuaweiUnits[Products],$A104, tblHuaweiUnits[cv_2028]) + SUMIF(tblTencentUnits[Products],$A104, tblTencentUnits[cv_2028]) + SUMIF(tblBaiduUnits[Products],$A104, tblBaiduUnits[cv_2028]) + SUMIF(tblByteDanceUnits[Products],$A104, tblByteDanceUnits[cv_2028]) + SUMIF(tblCloudAOUnits[Products],$A104, tblCloudAOUnits[cv_2028])</f>
        <v>0</v>
      </c>
      <c r="M104" s="122">
        <f>10^-6*B104*INDEX(TotalMarket!$M$26:$W$125,MATCH($A104,$A$11:$A$132,0),MATCH(M$10,$M$10:$W$10))</f>
        <v>0</v>
      </c>
      <c r="N104" s="122">
        <f>10^-6*C104*INDEX(TotalMarket!$M$26:$W$125,MATCH($A104,$A$11:$A$132,0),MATCH(N$10,$M$10:$W$10))</f>
        <v>0.82</v>
      </c>
      <c r="O104" s="122">
        <f>10^-6*D104*INDEX(TotalMarket!$M$26:$W$125,MATCH($A104,$A$11:$A$132,0),MATCH(O$10,$M$10:$W$10))</f>
        <v>0</v>
      </c>
      <c r="P104" s="122">
        <f>10^-6*E104*INDEX(TotalMarket!$M$26:$W$125,MATCH($A104,$A$11:$A$132,0),MATCH(P$10,$M$10:$W$10))</f>
        <v>0</v>
      </c>
      <c r="Q104" s="122">
        <f>10^-6*F104*INDEX(TotalMarket!$M$26:$W$125,MATCH($A104,$A$11:$A$132,0),MATCH(Q$10,$M$10:$W$10))</f>
        <v>0</v>
      </c>
      <c r="R104" s="122">
        <f>10^-6*G104*INDEX(TotalMarket!$M$26:$W$125,MATCH($A104,$A$11:$A$132,0),MATCH(R$10,$M$10:$W$10))</f>
        <v>0</v>
      </c>
      <c r="S104" s="122">
        <f>10^-6*H104*INDEX(TotalMarket!$M$26:$W$125,MATCH($A104,$A$11:$A$132,0),MATCH(S$10,$M$10:$W$10))</f>
        <v>0</v>
      </c>
      <c r="T104" s="122">
        <f>10^-6*I104*INDEX(TotalMarket!$M$26:$W$125,MATCH($A104,$A$11:$A$132,0),MATCH(T$10,$M$10:$W$10))</f>
        <v>0</v>
      </c>
      <c r="U104" s="122">
        <f>10^-6*J104*INDEX(TotalMarket!$M$26:$W$125,MATCH($A104,$A$11:$A$132,0),MATCH(U$10,$M$10:$W$10))</f>
        <v>0</v>
      </c>
      <c r="V104" s="122">
        <f>10^-6*K104*INDEX(TotalMarket!$M$26:$W$125,MATCH($A104,$A$11:$A$132,0),MATCH(V$10,$M$10:$W$10))</f>
        <v>0</v>
      </c>
      <c r="W104" s="122">
        <f>10^-6*L104*INDEX(TotalMarket!$M$26:$W$125,MATCH($A104,$A$11:$A$132,0),MATCH(W$10,$M$10:$W$10))</f>
        <v>0</v>
      </c>
      <c r="X104" s="1">
        <f>VLOOKUP(A104,Products!$A$29:$F$110,6,FALSE)</f>
        <v>400</v>
      </c>
    </row>
    <row r="105" spans="1:24">
      <c r="A105" s="15" t="s">
        <v>34</v>
      </c>
      <c r="B105" s="8">
        <f xml:space="preserve"> SUMIF(tblGoogleUnits[Products],$A105, tblGoogleUnits[cv_2018]) + SUMIF(tblMetaUnits[Products],$A105, tblMetaUnits[cv_2018]) + SUMIF(tblAmazonUnits[Products],$A105, tblAmazonUnits[cv_2018]) + SUMIF(tblMicrosoftUnits[Products],$A105, tblMicrosoftUnits[cv_2018]) + SUMIF(tblAppleUnits[Products],$A105, tblAppleUnits[cv_2018]) + SUMIF(tblAlibabaUnits[Products],$A105, tblAlibabaUnits[cv_2018]) + SUMIF(tblHuaweiUnits[Products],$A105, tblHuaweiUnits[cv_2018]) + SUMIF(tblTencentUnits[Products],$A105, tblTencentUnits[cv_2018]) + SUMIF(tblBaiduUnits[Products],$A105, tblBaiduUnits[cv_2018]) + SUMIF(tblByteDanceUnits[Products],$A105, tblByteDanceUnits[cv_2018]) + SUMIF(tblCloudAOUnits[Products],$A105, tblCloudAOUnits[cv_2018])</f>
        <v>0</v>
      </c>
      <c r="C105" s="8">
        <f xml:space="preserve"> SUMIF(tblGoogleUnits[Products],$A105, tblGoogleUnits[cv_2019]) + SUMIF(tblMetaUnits[Products],$A105, tblMetaUnits[cv_2019]) + SUMIF(tblAmazonUnits[Products],$A105, tblAmazonUnits[cv_2019]) + SUMIF(tblMicrosoftUnits[Products],$A105, tblMicrosoftUnits[cv_2019]) + SUMIF(tblAppleUnits[Products],$A105, tblAppleUnits[cv_2019]) + SUMIF(tblAlibabaUnits[Products],$A105, tblAlibabaUnits[cv_2019]) + SUMIF(tblHuaweiUnits[Products],$A105, tblHuaweiUnits[cv_2019]) + SUMIF(tblTencentUnits[Products],$A105, tblTencentUnits[cv_2019]) + SUMIF(tblBaiduUnits[Products],$A105, tblBaiduUnits[cv_2019]) + SUMIF(tblByteDanceUnits[Products],$A105, tblByteDanceUnits[cv_2019]) + SUMIF(tblCloudAOUnits[Products],$A105, tblCloudAOUnits[cv_2019])</f>
        <v>0</v>
      </c>
      <c r="D105" s="8">
        <f xml:space="preserve"> SUMIF(tblGoogleUnits[Products],$A105, tblGoogleUnits[cv_2020]) + SUMIF(tblMetaUnits[Products],$A105, tblMetaUnits[cv_2020]) + SUMIF(tblAmazonUnits[Products],$A105, tblAmazonUnits[cv_2020]) + SUMIF(tblMicrosoftUnits[Products],$A105, tblMicrosoftUnits[cv_2020]) + SUMIF(tblAppleUnits[Products],$A105, tblAppleUnits[cv_2020]) + SUMIF(tblAlibabaUnits[Products],$A105, tblAlibabaUnits[cv_2020]) + SUMIF(tblHuaweiUnits[Products],$A105, tblHuaweiUnits[cv_2020]) + SUMIF(tblTencentUnits[Products],$A105, tblTencentUnits[cv_2020]) + SUMIF(tblBaiduUnits[Products],$A105, tblBaiduUnits[cv_2020]) + SUMIF(tblByteDanceUnits[Products],$A105, tblByteDanceUnits[cv_2020]) + SUMIF(tblCloudAOUnits[Products],$A105, tblCloudAOUnits[cv_2020])</f>
        <v>0</v>
      </c>
      <c r="E105" s="8">
        <f xml:space="preserve"> SUMIF(tblGoogleUnits[Products],$A105, tblGoogleUnits[cv_2021]) + SUMIF(tblMetaUnits[Products],$A105, tblMetaUnits[cv_2021]) + SUMIF(tblAmazonUnits[Products],$A105, tblAmazonUnits[cv_2021]) + SUMIF(tblMicrosoftUnits[Products],$A105, tblMicrosoftUnits[cv_2021]) + SUMIF(tblAppleUnits[Products],$A105, tblAppleUnits[cv_2021]) + SUMIF(tblAlibabaUnits[Products],$A105, tblAlibabaUnits[cv_2021]) + SUMIF(tblHuaweiUnits[Products],$A105, tblHuaweiUnits[cv_2021]) + SUMIF(tblTencentUnits[Products],$A105, tblTencentUnits[cv_2021]) + SUMIF(tblBaiduUnits[Products],$A105, tblBaiduUnits[cv_2021]) + SUMIF(tblByteDanceUnits[Products],$A105, tblByteDanceUnits[cv_2021]) + SUMIF(tblCloudAOUnits[Products],$A105, tblCloudAOUnits[cv_2021])</f>
        <v>0</v>
      </c>
      <c r="F105" s="8">
        <f xml:space="preserve"> SUMIF(tblGoogleUnits[Products],$A105, tblGoogleUnits[cv_2022]) + SUMIF(tblMetaUnits[Products],$A105, tblMetaUnits[cv_2022]) + SUMIF(tblAmazonUnits[Products],$A105, tblAmazonUnits[cv_2022]) + SUMIF(tblMicrosoftUnits[Products],$A105, tblMicrosoftUnits[cv_2022]) + SUMIF(tblAppleUnits[Products],$A105, tblAppleUnits[cv_2022]) + SUMIF(tblAlibabaUnits[Products],$A105, tblAlibabaUnits[cv_2022]) + SUMIF(tblHuaweiUnits[Products],$A105, tblHuaweiUnits[cv_2022]) + SUMIF(tblTencentUnits[Products],$A105, tblTencentUnits[cv_2022]) + SUMIF(tblBaiduUnits[Products],$A105, tblBaiduUnits[cv_2022]) + SUMIF(tblByteDanceUnits[Products],$A105, tblByteDanceUnits[cv_2022]) + SUMIF(tblCloudAOUnits[Products],$A105, tblCloudAOUnits[cv_2022])</f>
        <v>0</v>
      </c>
      <c r="G105" s="8">
        <f xml:space="preserve"> SUMIF(tblGoogleUnits[Products],$A105, tblGoogleUnits[cv_2023]) + SUMIF(tblMetaUnits[Products],$A105, tblMetaUnits[cv_2023]) + SUMIF(tblAmazonUnits[Products],$A105, tblAmazonUnits[cv_2023]) + SUMIF(tblMicrosoftUnits[Products],$A105, tblMicrosoftUnits[cv_2023]) + SUMIF(tblAppleUnits[Products],$A105, tblAppleUnits[cv_2023]) + SUMIF(tblAlibabaUnits[Products],$A105, tblAlibabaUnits[cv_2023]) + SUMIF(tblHuaweiUnits[Products],$A105, tblHuaweiUnits[cv_2023]) + SUMIF(tblTencentUnits[Products],$A105, tblTencentUnits[cv_2023]) + SUMIF(tblBaiduUnits[Products],$A105, tblBaiduUnits[cv_2023]) + SUMIF(tblByteDanceUnits[Products],$A105, tblByteDanceUnits[cv_2023]) + SUMIF(tblCloudAOUnits[Products],$A105, tblCloudAOUnits[cv_2023])</f>
        <v>0</v>
      </c>
      <c r="H105" s="8">
        <f xml:space="preserve"> SUMIF(tblGoogleUnits[Products],$A105, tblGoogleUnits[cv_2024]) + SUMIF(tblMetaUnits[Products],$A105, tblMetaUnits[cv_2024]) + SUMIF(tblAmazonUnits[Products],$A105, tblAmazonUnits[cv_2024]) + SUMIF(tblMicrosoftUnits[Products],$A105, tblMicrosoftUnits[cv_2024]) + SUMIF(tblAppleUnits[Products],$A105, tblAppleUnits[cv_2024]) + SUMIF(tblAlibabaUnits[Products],$A105, tblAlibabaUnits[cv_2024]) + SUMIF(tblHuaweiUnits[Products],$A105, tblHuaweiUnits[cv_2024]) + SUMIF(tblTencentUnits[Products],$A105, tblTencentUnits[cv_2024]) + SUMIF(tblBaiduUnits[Products],$A105, tblBaiduUnits[cv_2024]) + SUMIF(tblByteDanceUnits[Products],$A105, tblByteDanceUnits[cv_2024]) + SUMIF(tblCloudAOUnits[Products],$A105, tblCloudAOUnits[cv_2024])</f>
        <v>0</v>
      </c>
      <c r="I105" s="8">
        <f xml:space="preserve"> SUMIF(tblGoogleUnits[Products],$A105, tblGoogleUnits[cv_2025]) + SUMIF(tblMetaUnits[Products],$A105, tblMetaUnits[cv_2025]) + SUMIF(tblAmazonUnits[Products],$A105, tblAmazonUnits[cv_2025]) + SUMIF(tblMicrosoftUnits[Products],$A105, tblMicrosoftUnits[cv_2025]) + SUMIF(tblAppleUnits[Products],$A105, tblAppleUnits[cv_2025]) + SUMIF(tblAlibabaUnits[Products],$A105, tblAlibabaUnits[cv_2025]) + SUMIF(tblHuaweiUnits[Products],$A105, tblHuaweiUnits[cv_2025]) + SUMIF(tblTencentUnits[Products],$A105, tblTencentUnits[cv_2025]) + SUMIF(tblBaiduUnits[Products],$A105, tblBaiduUnits[cv_2025]) + SUMIF(tblByteDanceUnits[Products],$A105, tblByteDanceUnits[cv_2025]) + SUMIF(tblCloudAOUnits[Products],$A105, tblCloudAOUnits[cv_2025])</f>
        <v>0</v>
      </c>
      <c r="J105" s="8">
        <f xml:space="preserve"> SUMIF(tblGoogleUnits[Products],$A105, tblGoogleUnits[cv_2026]) + SUMIF(tblMetaUnits[Products],$A105, tblMetaUnits[cv_2026]) + SUMIF(tblAmazonUnits[Products],$A105, tblAmazonUnits[cv_2026]) + SUMIF(tblMicrosoftUnits[Products],$A105, tblMicrosoftUnits[cv_2026]) + SUMIF(tblAppleUnits[Products],$A105, tblAppleUnits[cv_2026]) + SUMIF(tblAlibabaUnits[Products],$A105, tblAlibabaUnits[cv_2026]) + SUMIF(tblHuaweiUnits[Products],$A105, tblHuaweiUnits[cv_2026]) + SUMIF(tblTencentUnits[Products],$A105, tblTencentUnits[cv_2026]) + SUMIF(tblBaiduUnits[Products],$A105, tblBaiduUnits[cv_2026]) + SUMIF(tblByteDanceUnits[Products],$A105, tblByteDanceUnits[cv_2026]) + SUMIF(tblCloudAOUnits[Products],$A105, tblCloudAOUnits[cv_2026])</f>
        <v>0</v>
      </c>
      <c r="K105" s="8">
        <f xml:space="preserve"> SUMIF(tblGoogleUnits[Products],$A105, tblGoogleUnits[cv_2027]) + SUMIF(tblMetaUnits[Products],$A105, tblMetaUnits[cv_2027]) + SUMIF(tblAmazonUnits[Products],$A105, tblAmazonUnits[cv_2027]) + SUMIF(tblMicrosoftUnits[Products],$A105, tblMicrosoftUnits[cv_2027]) + SUMIF(tblAppleUnits[Products],$A105, tblAppleUnits[cv_2027]) + SUMIF(tblAlibabaUnits[Products],$A105, tblAlibabaUnits[cv_2027]) + SUMIF(tblHuaweiUnits[Products],$A105, tblHuaweiUnits[cv_2027]) + SUMIF(tblTencentUnits[Products],$A105, tblTencentUnits[cv_2027]) + SUMIF(tblBaiduUnits[Products],$A105, tblBaiduUnits[cv_2027]) + SUMIF(tblByteDanceUnits[Products],$A105, tblByteDanceUnits[cv_2027]) + SUMIF(tblCloudAOUnits[Products],$A105, tblCloudAOUnits[cv_2027])</f>
        <v>0</v>
      </c>
      <c r="L105" s="8">
        <f xml:space="preserve"> SUMIF(tblGoogleUnits[Products],$A105, tblGoogleUnits[cv_2028]) + SUMIF(tblMetaUnits[Products],$A105, tblMetaUnits[cv_2028]) + SUMIF(tblAmazonUnits[Products],$A105, tblAmazonUnits[cv_2028]) + SUMIF(tblMicrosoftUnits[Products],$A105, tblMicrosoftUnits[cv_2028]) + SUMIF(tblAppleUnits[Products],$A105, tblAppleUnits[cv_2028]) + SUMIF(tblAlibabaUnits[Products],$A105, tblAlibabaUnits[cv_2028]) + SUMIF(tblHuaweiUnits[Products],$A105, tblHuaweiUnits[cv_2028]) + SUMIF(tblTencentUnits[Products],$A105, tblTencentUnits[cv_2028]) + SUMIF(tblBaiduUnits[Products],$A105, tblBaiduUnits[cv_2028]) + SUMIF(tblByteDanceUnits[Products],$A105, tblByteDanceUnits[cv_2028]) + SUMIF(tblCloudAOUnits[Products],$A105, tblCloudAOUnits[cv_2028])</f>
        <v>0</v>
      </c>
      <c r="M105" s="122">
        <f>10^-6*B105*INDEX(TotalMarket!$M$26:$W$125,MATCH($A105,$A$11:$A$132,0),MATCH(M$10,$M$10:$W$10))</f>
        <v>0</v>
      </c>
      <c r="N105" s="122">
        <f>10^-6*C105*INDEX(TotalMarket!$M$26:$W$125,MATCH($A105,$A$11:$A$132,0),MATCH(N$10,$M$10:$W$10))</f>
        <v>0</v>
      </c>
      <c r="O105" s="122">
        <f>10^-6*D105*INDEX(TotalMarket!$M$26:$W$125,MATCH($A105,$A$11:$A$132,0),MATCH(O$10,$M$10:$W$10))</f>
        <v>0</v>
      </c>
      <c r="P105" s="122">
        <f>10^-6*E105*INDEX(TotalMarket!$M$26:$W$125,MATCH($A105,$A$11:$A$132,0),MATCH(P$10,$M$10:$W$10))</f>
        <v>0</v>
      </c>
      <c r="Q105" s="122">
        <f>10^-6*F105*INDEX(TotalMarket!$M$26:$W$125,MATCH($A105,$A$11:$A$132,0),MATCH(Q$10,$M$10:$W$10))</f>
        <v>0</v>
      </c>
      <c r="R105" s="122">
        <f>10^-6*G105*INDEX(TotalMarket!$M$26:$W$125,MATCH($A105,$A$11:$A$132,0),MATCH(R$10,$M$10:$W$10))</f>
        <v>0</v>
      </c>
      <c r="S105" s="122">
        <f>10^-6*H105*INDEX(TotalMarket!$M$26:$W$125,MATCH($A105,$A$11:$A$132,0),MATCH(S$10,$M$10:$W$10))</f>
        <v>0</v>
      </c>
      <c r="T105" s="122">
        <f>10^-6*I105*INDEX(TotalMarket!$M$26:$W$125,MATCH($A105,$A$11:$A$132,0),MATCH(T$10,$M$10:$W$10))</f>
        <v>0</v>
      </c>
      <c r="U105" s="122">
        <f>10^-6*J105*INDEX(TotalMarket!$M$26:$W$125,MATCH($A105,$A$11:$A$132,0),MATCH(U$10,$M$10:$W$10))</f>
        <v>0</v>
      </c>
      <c r="V105" s="122">
        <f>10^-6*K105*INDEX(TotalMarket!$M$26:$W$125,MATCH($A105,$A$11:$A$132,0),MATCH(V$10,$M$10:$W$10))</f>
        <v>0</v>
      </c>
      <c r="W105" s="122">
        <f>10^-6*L105*INDEX(TotalMarket!$M$26:$W$125,MATCH($A105,$A$11:$A$132,0),MATCH(W$10,$M$10:$W$10))</f>
        <v>0</v>
      </c>
      <c r="X105" s="1">
        <f>VLOOKUP(A105,Products!$A$29:$F$110,6,FALSE)</f>
        <v>400</v>
      </c>
    </row>
    <row r="106" spans="1:24">
      <c r="A106" s="15" t="s">
        <v>35</v>
      </c>
      <c r="B106" s="8">
        <f xml:space="preserve"> SUMIF(tblGoogleUnits[Products],$A106, tblGoogleUnits[cv_2018]) + SUMIF(tblMetaUnits[Products],$A106, tblMetaUnits[cv_2018]) + SUMIF(tblAmazonUnits[Products],$A106, tblAmazonUnits[cv_2018]) + SUMIF(tblMicrosoftUnits[Products],$A106, tblMicrosoftUnits[cv_2018]) + SUMIF(tblAppleUnits[Products],$A106, tblAppleUnits[cv_2018]) + SUMIF(tblAlibabaUnits[Products],$A106, tblAlibabaUnits[cv_2018]) + SUMIF(tblHuaweiUnits[Products],$A106, tblHuaweiUnits[cv_2018]) + SUMIF(tblTencentUnits[Products],$A106, tblTencentUnits[cv_2018]) + SUMIF(tblBaiduUnits[Products],$A106, tblBaiduUnits[cv_2018]) + SUMIF(tblByteDanceUnits[Products],$A106, tblByteDanceUnits[cv_2018]) + SUMIF(tblCloudAOUnits[Products],$A106, tblCloudAOUnits[cv_2018])</f>
        <v>0</v>
      </c>
      <c r="C106" s="8">
        <f xml:space="preserve"> SUMIF(tblGoogleUnits[Products],$A106, tblGoogleUnits[cv_2019]) + SUMIF(tblMetaUnits[Products],$A106, tblMetaUnits[cv_2019]) + SUMIF(tblAmazonUnits[Products],$A106, tblAmazonUnits[cv_2019]) + SUMIF(tblMicrosoftUnits[Products],$A106, tblMicrosoftUnits[cv_2019]) + SUMIF(tblAppleUnits[Products],$A106, tblAppleUnits[cv_2019]) + SUMIF(tblAlibabaUnits[Products],$A106, tblAlibabaUnits[cv_2019]) + SUMIF(tblHuaweiUnits[Products],$A106, tblHuaweiUnits[cv_2019]) + SUMIF(tblTencentUnits[Products],$A106, tblTencentUnits[cv_2019]) + SUMIF(tblBaiduUnits[Products],$A106, tblBaiduUnits[cv_2019]) + SUMIF(tblByteDanceUnits[Products],$A106, tblByteDanceUnits[cv_2019]) + SUMIF(tblCloudAOUnits[Products],$A106, tblCloudAOUnits[cv_2019])</f>
        <v>16.400000000000002</v>
      </c>
      <c r="D106" s="8">
        <f xml:space="preserve"> SUMIF(tblGoogleUnits[Products],$A106, tblGoogleUnits[cv_2020]) + SUMIF(tblMetaUnits[Products],$A106, tblMetaUnits[cv_2020]) + SUMIF(tblAmazonUnits[Products],$A106, tblAmazonUnits[cv_2020]) + SUMIF(tblMicrosoftUnits[Products],$A106, tblMicrosoftUnits[cv_2020]) + SUMIF(tblAppleUnits[Products],$A106, tblAppleUnits[cv_2020]) + SUMIF(tblAlibabaUnits[Products],$A106, tblAlibabaUnits[cv_2020]) + SUMIF(tblHuaweiUnits[Products],$A106, tblHuaweiUnits[cv_2020]) + SUMIF(tblTencentUnits[Products],$A106, tblTencentUnits[cv_2020]) + SUMIF(tblBaiduUnits[Products],$A106, tblBaiduUnits[cv_2020]) + SUMIF(tblByteDanceUnits[Products],$A106, tblByteDanceUnits[cv_2020]) + SUMIF(tblCloudAOUnits[Products],$A106, tblCloudAOUnits[cv_2020])</f>
        <v>0</v>
      </c>
      <c r="E106" s="8">
        <f xml:space="preserve"> SUMIF(tblGoogleUnits[Products],$A106, tblGoogleUnits[cv_2021]) + SUMIF(tblMetaUnits[Products],$A106, tblMetaUnits[cv_2021]) + SUMIF(tblAmazonUnits[Products],$A106, tblAmazonUnits[cv_2021]) + SUMIF(tblMicrosoftUnits[Products],$A106, tblMicrosoftUnits[cv_2021]) + SUMIF(tblAppleUnits[Products],$A106, tblAppleUnits[cv_2021]) + SUMIF(tblAlibabaUnits[Products],$A106, tblAlibabaUnits[cv_2021]) + SUMIF(tblHuaweiUnits[Products],$A106, tblHuaweiUnits[cv_2021]) + SUMIF(tblTencentUnits[Products],$A106, tblTencentUnits[cv_2021]) + SUMIF(tblBaiduUnits[Products],$A106, tblBaiduUnits[cv_2021]) + SUMIF(tblByteDanceUnits[Products],$A106, tblByteDanceUnits[cv_2021]) + SUMIF(tblCloudAOUnits[Products],$A106, tblCloudAOUnits[cv_2021])</f>
        <v>0</v>
      </c>
      <c r="F106" s="8">
        <f xml:space="preserve"> SUMIF(tblGoogleUnits[Products],$A106, tblGoogleUnits[cv_2022]) + SUMIF(tblMetaUnits[Products],$A106, tblMetaUnits[cv_2022]) + SUMIF(tblAmazonUnits[Products],$A106, tblAmazonUnits[cv_2022]) + SUMIF(tblMicrosoftUnits[Products],$A106, tblMicrosoftUnits[cv_2022]) + SUMIF(tblAppleUnits[Products],$A106, tblAppleUnits[cv_2022]) + SUMIF(tblAlibabaUnits[Products],$A106, tblAlibabaUnits[cv_2022]) + SUMIF(tblHuaweiUnits[Products],$A106, tblHuaweiUnits[cv_2022]) + SUMIF(tblTencentUnits[Products],$A106, tblTencentUnits[cv_2022]) + SUMIF(tblBaiduUnits[Products],$A106, tblBaiduUnits[cv_2022]) + SUMIF(tblByteDanceUnits[Products],$A106, tblByteDanceUnits[cv_2022]) + SUMIF(tblCloudAOUnits[Products],$A106, tblCloudAOUnits[cv_2022])</f>
        <v>0</v>
      </c>
      <c r="G106" s="8">
        <f xml:space="preserve"> SUMIF(tblGoogleUnits[Products],$A106, tblGoogleUnits[cv_2023]) + SUMIF(tblMetaUnits[Products],$A106, tblMetaUnits[cv_2023]) + SUMIF(tblAmazonUnits[Products],$A106, tblAmazonUnits[cv_2023]) + SUMIF(tblMicrosoftUnits[Products],$A106, tblMicrosoftUnits[cv_2023]) + SUMIF(tblAppleUnits[Products],$A106, tblAppleUnits[cv_2023]) + SUMIF(tblAlibabaUnits[Products],$A106, tblAlibabaUnits[cv_2023]) + SUMIF(tblHuaweiUnits[Products],$A106, tblHuaweiUnits[cv_2023]) + SUMIF(tblTencentUnits[Products],$A106, tblTencentUnits[cv_2023]) + SUMIF(tblBaiduUnits[Products],$A106, tblBaiduUnits[cv_2023]) + SUMIF(tblByteDanceUnits[Products],$A106, tblByteDanceUnits[cv_2023]) + SUMIF(tblCloudAOUnits[Products],$A106, tblCloudAOUnits[cv_2023])</f>
        <v>0</v>
      </c>
      <c r="H106" s="8">
        <f xml:space="preserve"> SUMIF(tblGoogleUnits[Products],$A106, tblGoogleUnits[cv_2024]) + SUMIF(tblMetaUnits[Products],$A106, tblMetaUnits[cv_2024]) + SUMIF(tblAmazonUnits[Products],$A106, tblAmazonUnits[cv_2024]) + SUMIF(tblMicrosoftUnits[Products],$A106, tblMicrosoftUnits[cv_2024]) + SUMIF(tblAppleUnits[Products],$A106, tblAppleUnits[cv_2024]) + SUMIF(tblAlibabaUnits[Products],$A106, tblAlibabaUnits[cv_2024]) + SUMIF(tblHuaweiUnits[Products],$A106, tblHuaweiUnits[cv_2024]) + SUMIF(tblTencentUnits[Products],$A106, tblTencentUnits[cv_2024]) + SUMIF(tblBaiduUnits[Products],$A106, tblBaiduUnits[cv_2024]) + SUMIF(tblByteDanceUnits[Products],$A106, tblByteDanceUnits[cv_2024]) + SUMIF(tblCloudAOUnits[Products],$A106, tblCloudAOUnits[cv_2024])</f>
        <v>0</v>
      </c>
      <c r="I106" s="8">
        <f xml:space="preserve"> SUMIF(tblGoogleUnits[Products],$A106, tblGoogleUnits[cv_2025]) + SUMIF(tblMetaUnits[Products],$A106, tblMetaUnits[cv_2025]) + SUMIF(tblAmazonUnits[Products],$A106, tblAmazonUnits[cv_2025]) + SUMIF(tblMicrosoftUnits[Products],$A106, tblMicrosoftUnits[cv_2025]) + SUMIF(tblAppleUnits[Products],$A106, tblAppleUnits[cv_2025]) + SUMIF(tblAlibabaUnits[Products],$A106, tblAlibabaUnits[cv_2025]) + SUMIF(tblHuaweiUnits[Products],$A106, tblHuaweiUnits[cv_2025]) + SUMIF(tblTencentUnits[Products],$A106, tblTencentUnits[cv_2025]) + SUMIF(tblBaiduUnits[Products],$A106, tblBaiduUnits[cv_2025]) + SUMIF(tblByteDanceUnits[Products],$A106, tblByteDanceUnits[cv_2025]) + SUMIF(tblCloudAOUnits[Products],$A106, tblCloudAOUnits[cv_2025])</f>
        <v>0</v>
      </c>
      <c r="J106" s="8">
        <f xml:space="preserve"> SUMIF(tblGoogleUnits[Products],$A106, tblGoogleUnits[cv_2026]) + SUMIF(tblMetaUnits[Products],$A106, tblMetaUnits[cv_2026]) + SUMIF(tblAmazonUnits[Products],$A106, tblAmazonUnits[cv_2026]) + SUMIF(tblMicrosoftUnits[Products],$A106, tblMicrosoftUnits[cv_2026]) + SUMIF(tblAppleUnits[Products],$A106, tblAppleUnits[cv_2026]) + SUMIF(tblAlibabaUnits[Products],$A106, tblAlibabaUnits[cv_2026]) + SUMIF(tblHuaweiUnits[Products],$A106, tblHuaweiUnits[cv_2026]) + SUMIF(tblTencentUnits[Products],$A106, tblTencentUnits[cv_2026]) + SUMIF(tblBaiduUnits[Products],$A106, tblBaiduUnits[cv_2026]) + SUMIF(tblByteDanceUnits[Products],$A106, tblByteDanceUnits[cv_2026]) + SUMIF(tblCloudAOUnits[Products],$A106, tblCloudAOUnits[cv_2026])</f>
        <v>0</v>
      </c>
      <c r="K106" s="8">
        <f xml:space="preserve"> SUMIF(tblGoogleUnits[Products],$A106, tblGoogleUnits[cv_2027]) + SUMIF(tblMetaUnits[Products],$A106, tblMetaUnits[cv_2027]) + SUMIF(tblAmazonUnits[Products],$A106, tblAmazonUnits[cv_2027]) + SUMIF(tblMicrosoftUnits[Products],$A106, tblMicrosoftUnits[cv_2027]) + SUMIF(tblAppleUnits[Products],$A106, tblAppleUnits[cv_2027]) + SUMIF(tblAlibabaUnits[Products],$A106, tblAlibabaUnits[cv_2027]) + SUMIF(tblHuaweiUnits[Products],$A106, tblHuaweiUnits[cv_2027]) + SUMIF(tblTencentUnits[Products],$A106, tblTencentUnits[cv_2027]) + SUMIF(tblBaiduUnits[Products],$A106, tblBaiduUnits[cv_2027]) + SUMIF(tblByteDanceUnits[Products],$A106, tblByteDanceUnits[cv_2027]) + SUMIF(tblCloudAOUnits[Products],$A106, tblCloudAOUnits[cv_2027])</f>
        <v>0</v>
      </c>
      <c r="L106" s="8">
        <f xml:space="preserve"> SUMIF(tblGoogleUnits[Products],$A106, tblGoogleUnits[cv_2028]) + SUMIF(tblMetaUnits[Products],$A106, tblMetaUnits[cv_2028]) + SUMIF(tblAmazonUnits[Products],$A106, tblAmazonUnits[cv_2028]) + SUMIF(tblMicrosoftUnits[Products],$A106, tblMicrosoftUnits[cv_2028]) + SUMIF(tblAppleUnits[Products],$A106, tblAppleUnits[cv_2028]) + SUMIF(tblAlibabaUnits[Products],$A106, tblAlibabaUnits[cv_2028]) + SUMIF(tblHuaweiUnits[Products],$A106, tblHuaweiUnits[cv_2028]) + SUMIF(tblTencentUnits[Products],$A106, tblTencentUnits[cv_2028]) + SUMIF(tblBaiduUnits[Products],$A106, tblBaiduUnits[cv_2028]) + SUMIF(tblByteDanceUnits[Products],$A106, tblByteDanceUnits[cv_2028]) + SUMIF(tblCloudAOUnits[Products],$A106, tblCloudAOUnits[cv_2028])</f>
        <v>0</v>
      </c>
      <c r="M106" s="122">
        <f>10^-6*B106*INDEX(TotalMarket!$M$26:$W$125,MATCH($A106,$A$11:$A$132,0),MATCH(M$10,$M$10:$W$10))</f>
        <v>0</v>
      </c>
      <c r="N106" s="122">
        <f>10^-6*C106*INDEX(TotalMarket!$M$26:$W$125,MATCH($A106,$A$11:$A$132,0),MATCH(N$10,$M$10:$W$10))</f>
        <v>0.16400000000000003</v>
      </c>
      <c r="O106" s="122">
        <f>10^-6*D106*INDEX(TotalMarket!$M$26:$W$125,MATCH($A106,$A$11:$A$132,0),MATCH(O$10,$M$10:$W$10))</f>
        <v>0</v>
      </c>
      <c r="P106" s="122">
        <f>10^-6*E106*INDEX(TotalMarket!$M$26:$W$125,MATCH($A106,$A$11:$A$132,0),MATCH(P$10,$M$10:$W$10))</f>
        <v>0</v>
      </c>
      <c r="Q106" s="122">
        <f>10^-6*F106*INDEX(TotalMarket!$M$26:$W$125,MATCH($A106,$A$11:$A$132,0),MATCH(Q$10,$M$10:$W$10))</f>
        <v>0</v>
      </c>
      <c r="R106" s="122">
        <f>10^-6*G106*INDEX(TotalMarket!$M$26:$W$125,MATCH($A106,$A$11:$A$132,0),MATCH(R$10,$M$10:$W$10))</f>
        <v>0</v>
      </c>
      <c r="S106" s="122">
        <f>10^-6*H106*INDEX(TotalMarket!$M$26:$W$125,MATCH($A106,$A$11:$A$132,0),MATCH(S$10,$M$10:$W$10))</f>
        <v>0</v>
      </c>
      <c r="T106" s="122">
        <f>10^-6*I106*INDEX(TotalMarket!$M$26:$W$125,MATCH($A106,$A$11:$A$132,0),MATCH(T$10,$M$10:$W$10))</f>
        <v>0</v>
      </c>
      <c r="U106" s="122">
        <f>10^-6*J106*INDEX(TotalMarket!$M$26:$W$125,MATCH($A106,$A$11:$A$132,0),MATCH(U$10,$M$10:$W$10))</f>
        <v>0</v>
      </c>
      <c r="V106" s="122">
        <f>10^-6*K106*INDEX(TotalMarket!$M$26:$W$125,MATCH($A106,$A$11:$A$132,0),MATCH(V$10,$M$10:$W$10))</f>
        <v>0</v>
      </c>
      <c r="W106" s="122">
        <f>10^-6*L106*INDEX(TotalMarket!$M$26:$W$125,MATCH($A106,$A$11:$A$132,0),MATCH(W$10,$M$10:$W$10))</f>
        <v>0</v>
      </c>
      <c r="X106" s="1">
        <f>VLOOKUP(A106,Products!$A$29:$F$110,6,FALSE)</f>
        <v>600</v>
      </c>
    </row>
    <row r="107" spans="1:24">
      <c r="A107" s="15" t="s">
        <v>36</v>
      </c>
      <c r="B107" s="8">
        <f xml:space="preserve"> SUMIF(tblGoogleUnits[Products],$A107, tblGoogleUnits[cv_2018]) + SUMIF(tblMetaUnits[Products],$A107, tblMetaUnits[cv_2018]) + SUMIF(tblAmazonUnits[Products],$A107, tblAmazonUnits[cv_2018]) + SUMIF(tblMicrosoftUnits[Products],$A107, tblMicrosoftUnits[cv_2018]) + SUMIF(tblAppleUnits[Products],$A107, tblAppleUnits[cv_2018]) + SUMIF(tblAlibabaUnits[Products],$A107, tblAlibabaUnits[cv_2018]) + SUMIF(tblHuaweiUnits[Products],$A107, tblHuaweiUnits[cv_2018]) + SUMIF(tblTencentUnits[Products],$A107, tblTencentUnits[cv_2018]) + SUMIF(tblBaiduUnits[Products],$A107, tblBaiduUnits[cv_2018]) + SUMIF(tblByteDanceUnits[Products],$A107, tblByteDanceUnits[cv_2018]) + SUMIF(tblCloudAOUnits[Products],$A107, tblCloudAOUnits[cv_2018])</f>
        <v>0</v>
      </c>
      <c r="C107" s="8">
        <f xml:space="preserve"> SUMIF(tblGoogleUnits[Products],$A107, tblGoogleUnits[cv_2019]) + SUMIF(tblMetaUnits[Products],$A107, tblMetaUnits[cv_2019]) + SUMIF(tblAmazonUnits[Products],$A107, tblAmazonUnits[cv_2019]) + SUMIF(tblMicrosoftUnits[Products],$A107, tblMicrosoftUnits[cv_2019]) + SUMIF(tblAppleUnits[Products],$A107, tblAppleUnits[cv_2019]) + SUMIF(tblAlibabaUnits[Products],$A107, tblAlibabaUnits[cv_2019]) + SUMIF(tblHuaweiUnits[Products],$A107, tblHuaweiUnits[cv_2019]) + SUMIF(tblTencentUnits[Products],$A107, tblTencentUnits[cv_2019]) + SUMIF(tblBaiduUnits[Products],$A107, tblBaiduUnits[cv_2019]) + SUMIF(tblByteDanceUnits[Products],$A107, tblByteDanceUnits[cv_2019]) + SUMIF(tblCloudAOUnits[Products],$A107, tblCloudAOUnits[cv_2019])</f>
        <v>0</v>
      </c>
      <c r="D107" s="8">
        <f xml:space="preserve"> SUMIF(tblGoogleUnits[Products],$A107, tblGoogleUnits[cv_2020]) + SUMIF(tblMetaUnits[Products],$A107, tblMetaUnits[cv_2020]) + SUMIF(tblAmazonUnits[Products],$A107, tblAmazonUnits[cv_2020]) + SUMIF(tblMicrosoftUnits[Products],$A107, tblMicrosoftUnits[cv_2020]) + SUMIF(tblAppleUnits[Products],$A107, tblAppleUnits[cv_2020]) + SUMIF(tblAlibabaUnits[Products],$A107, tblAlibabaUnits[cv_2020]) + SUMIF(tblHuaweiUnits[Products],$A107, tblHuaweiUnits[cv_2020]) + SUMIF(tblTencentUnits[Products],$A107, tblTencentUnits[cv_2020]) + SUMIF(tblBaiduUnits[Products],$A107, tblBaiduUnits[cv_2020]) + SUMIF(tblByteDanceUnits[Products],$A107, tblByteDanceUnits[cv_2020]) + SUMIF(tblCloudAOUnits[Products],$A107, tblCloudAOUnits[cv_2020])</f>
        <v>0</v>
      </c>
      <c r="E107" s="8">
        <f xml:space="preserve"> SUMIF(tblGoogleUnits[Products],$A107, tblGoogleUnits[cv_2021]) + SUMIF(tblMetaUnits[Products],$A107, tblMetaUnits[cv_2021]) + SUMIF(tblAmazonUnits[Products],$A107, tblAmazonUnits[cv_2021]) + SUMIF(tblMicrosoftUnits[Products],$A107, tblMicrosoftUnits[cv_2021]) + SUMIF(tblAppleUnits[Products],$A107, tblAppleUnits[cv_2021]) + SUMIF(tblAlibabaUnits[Products],$A107, tblAlibabaUnits[cv_2021]) + SUMIF(tblHuaweiUnits[Products],$A107, tblHuaweiUnits[cv_2021]) + SUMIF(tblTencentUnits[Products],$A107, tblTencentUnits[cv_2021]) + SUMIF(tblBaiduUnits[Products],$A107, tblBaiduUnits[cv_2021]) + SUMIF(tblByteDanceUnits[Products],$A107, tblByteDanceUnits[cv_2021]) + SUMIF(tblCloudAOUnits[Products],$A107, tblCloudAOUnits[cv_2021])</f>
        <v>0</v>
      </c>
      <c r="F107" s="8">
        <f xml:space="preserve"> SUMIF(tblGoogleUnits[Products],$A107, tblGoogleUnits[cv_2022]) + SUMIF(tblMetaUnits[Products],$A107, tblMetaUnits[cv_2022]) + SUMIF(tblAmazonUnits[Products],$A107, tblAmazonUnits[cv_2022]) + SUMIF(tblMicrosoftUnits[Products],$A107, tblMicrosoftUnits[cv_2022]) + SUMIF(tblAppleUnits[Products],$A107, tblAppleUnits[cv_2022]) + SUMIF(tblAlibabaUnits[Products],$A107, tblAlibabaUnits[cv_2022]) + SUMIF(tblHuaweiUnits[Products],$A107, tblHuaweiUnits[cv_2022]) + SUMIF(tblTencentUnits[Products],$A107, tblTencentUnits[cv_2022]) + SUMIF(tblBaiduUnits[Products],$A107, tblBaiduUnits[cv_2022]) + SUMIF(tblByteDanceUnits[Products],$A107, tblByteDanceUnits[cv_2022]) + SUMIF(tblCloudAOUnits[Products],$A107, tblCloudAOUnits[cv_2022])</f>
        <v>0</v>
      </c>
      <c r="G107" s="8">
        <f xml:space="preserve"> SUMIF(tblGoogleUnits[Products],$A107, tblGoogleUnits[cv_2023]) + SUMIF(tblMetaUnits[Products],$A107, tblMetaUnits[cv_2023]) + SUMIF(tblAmazonUnits[Products],$A107, tblAmazonUnits[cv_2023]) + SUMIF(tblMicrosoftUnits[Products],$A107, tblMicrosoftUnits[cv_2023]) + SUMIF(tblAppleUnits[Products],$A107, tblAppleUnits[cv_2023]) + SUMIF(tblAlibabaUnits[Products],$A107, tblAlibabaUnits[cv_2023]) + SUMIF(tblHuaweiUnits[Products],$A107, tblHuaweiUnits[cv_2023]) + SUMIF(tblTencentUnits[Products],$A107, tblTencentUnits[cv_2023]) + SUMIF(tblBaiduUnits[Products],$A107, tblBaiduUnits[cv_2023]) + SUMIF(tblByteDanceUnits[Products],$A107, tblByteDanceUnits[cv_2023]) + SUMIF(tblCloudAOUnits[Products],$A107, tblCloudAOUnits[cv_2023])</f>
        <v>0</v>
      </c>
      <c r="H107" s="8">
        <f xml:space="preserve"> SUMIF(tblGoogleUnits[Products],$A107, tblGoogleUnits[cv_2024]) + SUMIF(tblMetaUnits[Products],$A107, tblMetaUnits[cv_2024]) + SUMIF(tblAmazonUnits[Products],$A107, tblAmazonUnits[cv_2024]) + SUMIF(tblMicrosoftUnits[Products],$A107, tblMicrosoftUnits[cv_2024]) + SUMIF(tblAppleUnits[Products],$A107, tblAppleUnits[cv_2024]) + SUMIF(tblAlibabaUnits[Products],$A107, tblAlibabaUnits[cv_2024]) + SUMIF(tblHuaweiUnits[Products],$A107, tblHuaweiUnits[cv_2024]) + SUMIF(tblTencentUnits[Products],$A107, tblTencentUnits[cv_2024]) + SUMIF(tblBaiduUnits[Products],$A107, tblBaiduUnits[cv_2024]) + SUMIF(tblByteDanceUnits[Products],$A107, tblByteDanceUnits[cv_2024]) + SUMIF(tblCloudAOUnits[Products],$A107, tblCloudAOUnits[cv_2024])</f>
        <v>0</v>
      </c>
      <c r="I107" s="8">
        <f xml:space="preserve"> SUMIF(tblGoogleUnits[Products],$A107, tblGoogleUnits[cv_2025]) + SUMIF(tblMetaUnits[Products],$A107, tblMetaUnits[cv_2025]) + SUMIF(tblAmazonUnits[Products],$A107, tblAmazonUnits[cv_2025]) + SUMIF(tblMicrosoftUnits[Products],$A107, tblMicrosoftUnits[cv_2025]) + SUMIF(tblAppleUnits[Products],$A107, tblAppleUnits[cv_2025]) + SUMIF(tblAlibabaUnits[Products],$A107, tblAlibabaUnits[cv_2025]) + SUMIF(tblHuaweiUnits[Products],$A107, tblHuaweiUnits[cv_2025]) + SUMIF(tblTencentUnits[Products],$A107, tblTencentUnits[cv_2025]) + SUMIF(tblBaiduUnits[Products],$A107, tblBaiduUnits[cv_2025]) + SUMIF(tblByteDanceUnits[Products],$A107, tblByteDanceUnits[cv_2025]) + SUMIF(tblCloudAOUnits[Products],$A107, tblCloudAOUnits[cv_2025])</f>
        <v>0</v>
      </c>
      <c r="J107" s="8">
        <f xml:space="preserve"> SUMIF(tblGoogleUnits[Products],$A107, tblGoogleUnits[cv_2026]) + SUMIF(tblMetaUnits[Products],$A107, tblMetaUnits[cv_2026]) + SUMIF(tblAmazonUnits[Products],$A107, tblAmazonUnits[cv_2026]) + SUMIF(tblMicrosoftUnits[Products],$A107, tblMicrosoftUnits[cv_2026]) + SUMIF(tblAppleUnits[Products],$A107, tblAppleUnits[cv_2026]) + SUMIF(tblAlibabaUnits[Products],$A107, tblAlibabaUnits[cv_2026]) + SUMIF(tblHuaweiUnits[Products],$A107, tblHuaweiUnits[cv_2026]) + SUMIF(tblTencentUnits[Products],$A107, tblTencentUnits[cv_2026]) + SUMIF(tblBaiduUnits[Products],$A107, tblBaiduUnits[cv_2026]) + SUMIF(tblByteDanceUnits[Products],$A107, tblByteDanceUnits[cv_2026]) + SUMIF(tblCloudAOUnits[Products],$A107, tblCloudAOUnits[cv_2026])</f>
        <v>0</v>
      </c>
      <c r="K107" s="8">
        <f xml:space="preserve"> SUMIF(tblGoogleUnits[Products],$A107, tblGoogleUnits[cv_2027]) + SUMIF(tblMetaUnits[Products],$A107, tblMetaUnits[cv_2027]) + SUMIF(tblAmazonUnits[Products],$A107, tblAmazonUnits[cv_2027]) + SUMIF(tblMicrosoftUnits[Products],$A107, tblMicrosoftUnits[cv_2027]) + SUMIF(tblAppleUnits[Products],$A107, tblAppleUnits[cv_2027]) + SUMIF(tblAlibabaUnits[Products],$A107, tblAlibabaUnits[cv_2027]) + SUMIF(tblHuaweiUnits[Products],$A107, tblHuaweiUnits[cv_2027]) + SUMIF(tblTencentUnits[Products],$A107, tblTencentUnits[cv_2027]) + SUMIF(tblBaiduUnits[Products],$A107, tblBaiduUnits[cv_2027]) + SUMIF(tblByteDanceUnits[Products],$A107, tblByteDanceUnits[cv_2027]) + SUMIF(tblCloudAOUnits[Products],$A107, tblCloudAOUnits[cv_2027])</f>
        <v>0</v>
      </c>
      <c r="L107" s="8">
        <f xml:space="preserve"> SUMIF(tblGoogleUnits[Products],$A107, tblGoogleUnits[cv_2028]) + SUMIF(tblMetaUnits[Products],$A107, tblMetaUnits[cv_2028]) + SUMIF(tblAmazonUnits[Products],$A107, tblAmazonUnits[cv_2028]) + SUMIF(tblMicrosoftUnits[Products],$A107, tblMicrosoftUnits[cv_2028]) + SUMIF(tblAppleUnits[Products],$A107, tblAppleUnits[cv_2028]) + SUMIF(tblAlibabaUnits[Products],$A107, tblAlibabaUnits[cv_2028]) + SUMIF(tblHuaweiUnits[Products],$A107, tblHuaweiUnits[cv_2028]) + SUMIF(tblTencentUnits[Products],$A107, tblTencentUnits[cv_2028]) + SUMIF(tblBaiduUnits[Products],$A107, tblBaiduUnits[cv_2028]) + SUMIF(tblByteDanceUnits[Products],$A107, tblByteDanceUnits[cv_2028]) + SUMIF(tblCloudAOUnits[Products],$A107, tblCloudAOUnits[cv_2028])</f>
        <v>0</v>
      </c>
      <c r="M107" s="122">
        <f>10^-6*B107*INDEX(TotalMarket!$M$26:$W$125,MATCH($A107,$A$11:$A$132,0),MATCH(M$10,$M$10:$W$10))</f>
        <v>0</v>
      </c>
      <c r="N107" s="122">
        <f>10^-6*C107*INDEX(TotalMarket!$M$26:$W$125,MATCH($A107,$A$11:$A$132,0),MATCH(N$10,$M$10:$W$10))</f>
        <v>0</v>
      </c>
      <c r="O107" s="122">
        <f>10^-6*D107*INDEX(TotalMarket!$M$26:$W$125,MATCH($A107,$A$11:$A$132,0),MATCH(O$10,$M$10:$W$10))</f>
        <v>0</v>
      </c>
      <c r="P107" s="122">
        <f>10^-6*E107*INDEX(TotalMarket!$M$26:$W$125,MATCH($A107,$A$11:$A$132,0),MATCH(P$10,$M$10:$W$10))</f>
        <v>0</v>
      </c>
      <c r="Q107" s="122">
        <f>10^-6*F107*INDEX(TotalMarket!$M$26:$W$125,MATCH($A107,$A$11:$A$132,0),MATCH(Q$10,$M$10:$W$10))</f>
        <v>0</v>
      </c>
      <c r="R107" s="122">
        <f>10^-6*G107*INDEX(TotalMarket!$M$26:$W$125,MATCH($A107,$A$11:$A$132,0),MATCH(R$10,$M$10:$W$10))</f>
        <v>0</v>
      </c>
      <c r="S107" s="122">
        <f>10^-6*H107*INDEX(TotalMarket!$M$26:$W$125,MATCH($A107,$A$11:$A$132,0),MATCH(S$10,$M$10:$W$10))</f>
        <v>0</v>
      </c>
      <c r="T107" s="122">
        <f>10^-6*I107*INDEX(TotalMarket!$M$26:$W$125,MATCH($A107,$A$11:$A$132,0),MATCH(T$10,$M$10:$W$10))</f>
        <v>0</v>
      </c>
      <c r="U107" s="122">
        <f>10^-6*J107*INDEX(TotalMarket!$M$26:$W$125,MATCH($A107,$A$11:$A$132,0),MATCH(U$10,$M$10:$W$10))</f>
        <v>0</v>
      </c>
      <c r="V107" s="122">
        <f>10^-6*K107*INDEX(TotalMarket!$M$26:$W$125,MATCH($A107,$A$11:$A$132,0),MATCH(V$10,$M$10:$W$10))</f>
        <v>0</v>
      </c>
      <c r="W107" s="122">
        <f>10^-6*L107*INDEX(TotalMarket!$M$26:$W$125,MATCH($A107,$A$11:$A$132,0),MATCH(W$10,$M$10:$W$10))</f>
        <v>0</v>
      </c>
      <c r="X107" s="1">
        <f>VLOOKUP(A107,Products!$A$29:$F$110,6,FALSE)</f>
        <v>800</v>
      </c>
    </row>
    <row r="108" spans="1:24">
      <c r="A108" s="15" t="s">
        <v>37</v>
      </c>
      <c r="B108" s="8">
        <f xml:space="preserve"> SUMIF(tblGoogleUnits[Products],$A108, tblGoogleUnits[cv_2018]) + SUMIF(tblMetaUnits[Products],$A108, tblMetaUnits[cv_2018]) + SUMIF(tblAmazonUnits[Products],$A108, tblAmazonUnits[cv_2018]) + SUMIF(tblMicrosoftUnits[Products],$A108, tblMicrosoftUnits[cv_2018]) + SUMIF(tblAppleUnits[Products],$A108, tblAppleUnits[cv_2018]) + SUMIF(tblAlibabaUnits[Products],$A108, tblAlibabaUnits[cv_2018]) + SUMIF(tblHuaweiUnits[Products],$A108, tblHuaweiUnits[cv_2018]) + SUMIF(tblTencentUnits[Products],$A108, tblTencentUnits[cv_2018]) + SUMIF(tblBaiduUnits[Products],$A108, tblBaiduUnits[cv_2018]) + SUMIF(tblByteDanceUnits[Products],$A108, tblByteDanceUnits[cv_2018]) + SUMIF(tblCloudAOUnits[Products],$A108, tblCloudAOUnits[cv_2018])</f>
        <v>0</v>
      </c>
      <c r="C108" s="8">
        <f xml:space="preserve"> SUMIF(tblGoogleUnits[Products],$A108, tblGoogleUnits[cv_2019]) + SUMIF(tblMetaUnits[Products],$A108, tblMetaUnits[cv_2019]) + SUMIF(tblAmazonUnits[Products],$A108, tblAmazonUnits[cv_2019]) + SUMIF(tblMicrosoftUnits[Products],$A108, tblMicrosoftUnits[cv_2019]) + SUMIF(tblAppleUnits[Products],$A108, tblAppleUnits[cv_2019]) + SUMIF(tblAlibabaUnits[Products],$A108, tblAlibabaUnits[cv_2019]) + SUMIF(tblHuaweiUnits[Products],$A108, tblHuaweiUnits[cv_2019]) + SUMIF(tblTencentUnits[Products],$A108, tblTencentUnits[cv_2019]) + SUMIF(tblBaiduUnits[Products],$A108, tblBaiduUnits[cv_2019]) + SUMIF(tblByteDanceUnits[Products],$A108, tblByteDanceUnits[cv_2019]) + SUMIF(tblCloudAOUnits[Products],$A108, tblCloudAOUnits[cv_2019])</f>
        <v>0</v>
      </c>
      <c r="D108" s="8">
        <f xml:space="preserve"> SUMIF(tblGoogleUnits[Products],$A108, tblGoogleUnits[cv_2020]) + SUMIF(tblMetaUnits[Products],$A108, tblMetaUnits[cv_2020]) + SUMIF(tblAmazonUnits[Products],$A108, tblAmazonUnits[cv_2020]) + SUMIF(tblMicrosoftUnits[Products],$A108, tblMicrosoftUnits[cv_2020]) + SUMIF(tblAppleUnits[Products],$A108, tblAppleUnits[cv_2020]) + SUMIF(tblAlibabaUnits[Products],$A108, tblAlibabaUnits[cv_2020]) + SUMIF(tblHuaweiUnits[Products],$A108, tblHuaweiUnits[cv_2020]) + SUMIF(tblTencentUnits[Products],$A108, tblTencentUnits[cv_2020]) + SUMIF(tblBaiduUnits[Products],$A108, tblBaiduUnits[cv_2020]) + SUMIF(tblByteDanceUnits[Products],$A108, tblByteDanceUnits[cv_2020]) + SUMIF(tblCloudAOUnits[Products],$A108, tblCloudAOUnits[cv_2020])</f>
        <v>0</v>
      </c>
      <c r="E108" s="8">
        <f xml:space="preserve"> SUMIF(tblGoogleUnits[Products],$A108, tblGoogleUnits[cv_2021]) + SUMIF(tblMetaUnits[Products],$A108, tblMetaUnits[cv_2021]) + SUMIF(tblAmazonUnits[Products],$A108, tblAmazonUnits[cv_2021]) + SUMIF(tblMicrosoftUnits[Products],$A108, tblMicrosoftUnits[cv_2021]) + SUMIF(tblAppleUnits[Products],$A108, tblAppleUnits[cv_2021]) + SUMIF(tblAlibabaUnits[Products],$A108, tblAlibabaUnits[cv_2021]) + SUMIF(tblHuaweiUnits[Products],$A108, tblHuaweiUnits[cv_2021]) + SUMIF(tblTencentUnits[Products],$A108, tblTencentUnits[cv_2021]) + SUMIF(tblBaiduUnits[Products],$A108, tblBaiduUnits[cv_2021]) + SUMIF(tblByteDanceUnits[Products],$A108, tblByteDanceUnits[cv_2021]) + SUMIF(tblCloudAOUnits[Products],$A108, tblCloudAOUnits[cv_2021])</f>
        <v>0</v>
      </c>
      <c r="F108" s="8">
        <f xml:space="preserve"> SUMIF(tblGoogleUnits[Products],$A108, tblGoogleUnits[cv_2022]) + SUMIF(tblMetaUnits[Products],$A108, tblMetaUnits[cv_2022]) + SUMIF(tblAmazonUnits[Products],$A108, tblAmazonUnits[cv_2022]) + SUMIF(tblMicrosoftUnits[Products],$A108, tblMicrosoftUnits[cv_2022]) + SUMIF(tblAppleUnits[Products],$A108, tblAppleUnits[cv_2022]) + SUMIF(tblAlibabaUnits[Products],$A108, tblAlibabaUnits[cv_2022]) + SUMIF(tblHuaweiUnits[Products],$A108, tblHuaweiUnits[cv_2022]) + SUMIF(tblTencentUnits[Products],$A108, tblTencentUnits[cv_2022]) + SUMIF(tblBaiduUnits[Products],$A108, tblBaiduUnits[cv_2022]) + SUMIF(tblByteDanceUnits[Products],$A108, tblByteDanceUnits[cv_2022]) + SUMIF(tblCloudAOUnits[Products],$A108, tblCloudAOUnits[cv_2022])</f>
        <v>0</v>
      </c>
      <c r="G108" s="8">
        <f xml:space="preserve"> SUMIF(tblGoogleUnits[Products],$A108, tblGoogleUnits[cv_2023]) + SUMIF(tblMetaUnits[Products],$A108, tblMetaUnits[cv_2023]) + SUMIF(tblAmazonUnits[Products],$A108, tblAmazonUnits[cv_2023]) + SUMIF(tblMicrosoftUnits[Products],$A108, tblMicrosoftUnits[cv_2023]) + SUMIF(tblAppleUnits[Products],$A108, tblAppleUnits[cv_2023]) + SUMIF(tblAlibabaUnits[Products],$A108, tblAlibabaUnits[cv_2023]) + SUMIF(tblHuaweiUnits[Products],$A108, tblHuaweiUnits[cv_2023]) + SUMIF(tblTencentUnits[Products],$A108, tblTencentUnits[cv_2023]) + SUMIF(tblBaiduUnits[Products],$A108, tblBaiduUnits[cv_2023]) + SUMIF(tblByteDanceUnits[Products],$A108, tblByteDanceUnits[cv_2023]) + SUMIF(tblCloudAOUnits[Products],$A108, tblCloudAOUnits[cv_2023])</f>
        <v>0</v>
      </c>
      <c r="H108" s="8">
        <f xml:space="preserve"> SUMIF(tblGoogleUnits[Products],$A108, tblGoogleUnits[cv_2024]) + SUMIF(tblMetaUnits[Products],$A108, tblMetaUnits[cv_2024]) + SUMIF(tblAmazonUnits[Products],$A108, tblAmazonUnits[cv_2024]) + SUMIF(tblMicrosoftUnits[Products],$A108, tblMicrosoftUnits[cv_2024]) + SUMIF(tblAppleUnits[Products],$A108, tblAppleUnits[cv_2024]) + SUMIF(tblAlibabaUnits[Products],$A108, tblAlibabaUnits[cv_2024]) + SUMIF(tblHuaweiUnits[Products],$A108, tblHuaweiUnits[cv_2024]) + SUMIF(tblTencentUnits[Products],$A108, tblTencentUnits[cv_2024]) + SUMIF(tblBaiduUnits[Products],$A108, tblBaiduUnits[cv_2024]) + SUMIF(tblByteDanceUnits[Products],$A108, tblByteDanceUnits[cv_2024]) + SUMIF(tblCloudAOUnits[Products],$A108, tblCloudAOUnits[cv_2024])</f>
        <v>0</v>
      </c>
      <c r="I108" s="8">
        <f xml:space="preserve"> SUMIF(tblGoogleUnits[Products],$A108, tblGoogleUnits[cv_2025]) + SUMIF(tblMetaUnits[Products],$A108, tblMetaUnits[cv_2025]) + SUMIF(tblAmazonUnits[Products],$A108, tblAmazonUnits[cv_2025]) + SUMIF(tblMicrosoftUnits[Products],$A108, tblMicrosoftUnits[cv_2025]) + SUMIF(tblAppleUnits[Products],$A108, tblAppleUnits[cv_2025]) + SUMIF(tblAlibabaUnits[Products],$A108, tblAlibabaUnits[cv_2025]) + SUMIF(tblHuaweiUnits[Products],$A108, tblHuaweiUnits[cv_2025]) + SUMIF(tblTencentUnits[Products],$A108, tblTencentUnits[cv_2025]) + SUMIF(tblBaiduUnits[Products],$A108, tblBaiduUnits[cv_2025]) + SUMIF(tblByteDanceUnits[Products],$A108, tblByteDanceUnits[cv_2025]) + SUMIF(tblCloudAOUnits[Products],$A108, tblCloudAOUnits[cv_2025])</f>
        <v>0</v>
      </c>
      <c r="J108" s="8">
        <f xml:space="preserve"> SUMIF(tblGoogleUnits[Products],$A108, tblGoogleUnits[cv_2026]) + SUMIF(tblMetaUnits[Products],$A108, tblMetaUnits[cv_2026]) + SUMIF(tblAmazonUnits[Products],$A108, tblAmazonUnits[cv_2026]) + SUMIF(tblMicrosoftUnits[Products],$A108, tblMicrosoftUnits[cv_2026]) + SUMIF(tblAppleUnits[Products],$A108, tblAppleUnits[cv_2026]) + SUMIF(tblAlibabaUnits[Products],$A108, tblAlibabaUnits[cv_2026]) + SUMIF(tblHuaweiUnits[Products],$A108, tblHuaweiUnits[cv_2026]) + SUMIF(tblTencentUnits[Products],$A108, tblTencentUnits[cv_2026]) + SUMIF(tblBaiduUnits[Products],$A108, tblBaiduUnits[cv_2026]) + SUMIF(tblByteDanceUnits[Products],$A108, tblByteDanceUnits[cv_2026]) + SUMIF(tblCloudAOUnits[Products],$A108, tblCloudAOUnits[cv_2026])</f>
        <v>0</v>
      </c>
      <c r="K108" s="8">
        <f xml:space="preserve"> SUMIF(tblGoogleUnits[Products],$A108, tblGoogleUnits[cv_2027]) + SUMIF(tblMetaUnits[Products],$A108, tblMetaUnits[cv_2027]) + SUMIF(tblAmazonUnits[Products],$A108, tblAmazonUnits[cv_2027]) + SUMIF(tblMicrosoftUnits[Products],$A108, tblMicrosoftUnits[cv_2027]) + SUMIF(tblAppleUnits[Products],$A108, tblAppleUnits[cv_2027]) + SUMIF(tblAlibabaUnits[Products],$A108, tblAlibabaUnits[cv_2027]) + SUMIF(tblHuaweiUnits[Products],$A108, tblHuaweiUnits[cv_2027]) + SUMIF(tblTencentUnits[Products],$A108, tblTencentUnits[cv_2027]) + SUMIF(tblBaiduUnits[Products],$A108, tblBaiduUnits[cv_2027]) + SUMIF(tblByteDanceUnits[Products],$A108, tblByteDanceUnits[cv_2027]) + SUMIF(tblCloudAOUnits[Products],$A108, tblCloudAOUnits[cv_2027])</f>
        <v>0</v>
      </c>
      <c r="L108" s="8">
        <f xml:space="preserve"> SUMIF(tblGoogleUnits[Products],$A108, tblGoogleUnits[cv_2028]) + SUMIF(tblMetaUnits[Products],$A108, tblMetaUnits[cv_2028]) + SUMIF(tblAmazonUnits[Products],$A108, tblAmazonUnits[cv_2028]) + SUMIF(tblMicrosoftUnits[Products],$A108, tblMicrosoftUnits[cv_2028]) + SUMIF(tblAppleUnits[Products],$A108, tblAppleUnits[cv_2028]) + SUMIF(tblAlibabaUnits[Products],$A108, tblAlibabaUnits[cv_2028]) + SUMIF(tblHuaweiUnits[Products],$A108, tblHuaweiUnits[cv_2028]) + SUMIF(tblTencentUnits[Products],$A108, tblTencentUnits[cv_2028]) + SUMIF(tblBaiduUnits[Products],$A108, tblBaiduUnits[cv_2028]) + SUMIF(tblByteDanceUnits[Products],$A108, tblByteDanceUnits[cv_2028]) + SUMIF(tblCloudAOUnits[Products],$A108, tblCloudAOUnits[cv_2028])</f>
        <v>0</v>
      </c>
      <c r="M108" s="122">
        <f>10^-6*B108*INDEX(TotalMarket!$M$26:$W$125,MATCH($A108,$A$11:$A$132,0),MATCH(M$10,$M$10:$W$10))</f>
        <v>0</v>
      </c>
      <c r="N108" s="122">
        <f>10^-6*C108*INDEX(TotalMarket!$M$26:$W$125,MATCH($A108,$A$11:$A$132,0),MATCH(N$10,$M$10:$W$10))</f>
        <v>0</v>
      </c>
      <c r="O108" s="122">
        <f>10^-6*D108*INDEX(TotalMarket!$M$26:$W$125,MATCH($A108,$A$11:$A$132,0),MATCH(O$10,$M$10:$W$10))</f>
        <v>0</v>
      </c>
      <c r="P108" s="122">
        <f>10^-6*E108*INDEX(TotalMarket!$M$26:$W$125,MATCH($A108,$A$11:$A$132,0),MATCH(P$10,$M$10:$W$10))</f>
        <v>0</v>
      </c>
      <c r="Q108" s="122">
        <f>10^-6*F108*INDEX(TotalMarket!$M$26:$W$125,MATCH($A108,$A$11:$A$132,0),MATCH(Q$10,$M$10:$W$10))</f>
        <v>0</v>
      </c>
      <c r="R108" s="122">
        <f>10^-6*G108*INDEX(TotalMarket!$M$26:$W$125,MATCH($A108,$A$11:$A$132,0),MATCH(R$10,$M$10:$W$10))</f>
        <v>0</v>
      </c>
      <c r="S108" s="122">
        <f>10^-6*H108*INDEX(TotalMarket!$M$26:$W$125,MATCH($A108,$A$11:$A$132,0),MATCH(S$10,$M$10:$W$10))</f>
        <v>0</v>
      </c>
      <c r="T108" s="122">
        <f>10^-6*I108*INDEX(TotalMarket!$M$26:$W$125,MATCH($A108,$A$11:$A$132,0),MATCH(T$10,$M$10:$W$10))</f>
        <v>0</v>
      </c>
      <c r="U108" s="122">
        <f>10^-6*J108*INDEX(TotalMarket!$M$26:$W$125,MATCH($A108,$A$11:$A$132,0),MATCH(U$10,$M$10:$W$10))</f>
        <v>0</v>
      </c>
      <c r="V108" s="122">
        <f>10^-6*K108*INDEX(TotalMarket!$M$26:$W$125,MATCH($A108,$A$11:$A$132,0),MATCH(V$10,$M$10:$W$10))</f>
        <v>0</v>
      </c>
      <c r="W108" s="122">
        <f>10^-6*L108*INDEX(TotalMarket!$M$26:$W$125,MATCH($A108,$A$11:$A$132,0),MATCH(W$10,$M$10:$W$10))</f>
        <v>0</v>
      </c>
      <c r="X108" s="1">
        <f>VLOOKUP(A108,Products!$A$29:$F$110,6,FALSE)</f>
        <v>800</v>
      </c>
    </row>
    <row r="109" spans="1:24">
      <c r="A109" s="15" t="s">
        <v>38</v>
      </c>
      <c r="B109" s="8">
        <f xml:space="preserve"> SUMIF(tblGoogleUnits[Products],$A109, tblGoogleUnits[cv_2018]) + SUMIF(tblMetaUnits[Products],$A109, tblMetaUnits[cv_2018]) + SUMIF(tblAmazonUnits[Products],$A109, tblAmazonUnits[cv_2018]) + SUMIF(tblMicrosoftUnits[Products],$A109, tblMicrosoftUnits[cv_2018]) + SUMIF(tblAppleUnits[Products],$A109, tblAppleUnits[cv_2018]) + SUMIF(tblAlibabaUnits[Products],$A109, tblAlibabaUnits[cv_2018]) + SUMIF(tblHuaweiUnits[Products],$A109, tblHuaweiUnits[cv_2018]) + SUMIF(tblTencentUnits[Products],$A109, tblTencentUnits[cv_2018]) + SUMIF(tblBaiduUnits[Products],$A109, tblBaiduUnits[cv_2018]) + SUMIF(tblByteDanceUnits[Products],$A109, tblByteDanceUnits[cv_2018]) + SUMIF(tblCloudAOUnits[Products],$A109, tblCloudAOUnits[cv_2018])</f>
        <v>0</v>
      </c>
      <c r="C109" s="8">
        <f xml:space="preserve"> SUMIF(tblGoogleUnits[Products],$A109, tblGoogleUnits[cv_2019]) + SUMIF(tblMetaUnits[Products],$A109, tblMetaUnits[cv_2019]) + SUMIF(tblAmazonUnits[Products],$A109, tblAmazonUnits[cv_2019]) + SUMIF(tblMicrosoftUnits[Products],$A109, tblMicrosoftUnits[cv_2019]) + SUMIF(tblAppleUnits[Products],$A109, tblAppleUnits[cv_2019]) + SUMIF(tblAlibabaUnits[Products],$A109, tblAlibabaUnits[cv_2019]) + SUMIF(tblHuaweiUnits[Products],$A109, tblHuaweiUnits[cv_2019]) + SUMIF(tblTencentUnits[Products],$A109, tblTencentUnits[cv_2019]) + SUMIF(tblBaiduUnits[Products],$A109, tblBaiduUnits[cv_2019]) + SUMIF(tblByteDanceUnits[Products],$A109, tblByteDanceUnits[cv_2019]) + SUMIF(tblCloudAOUnits[Products],$A109, tblCloudAOUnits[cv_2019])</f>
        <v>0</v>
      </c>
      <c r="D109" s="8">
        <f xml:space="preserve"> SUMIF(tblGoogleUnits[Products],$A109, tblGoogleUnits[cv_2020]) + SUMIF(tblMetaUnits[Products],$A109, tblMetaUnits[cv_2020]) + SUMIF(tblAmazonUnits[Products],$A109, tblAmazonUnits[cv_2020]) + SUMIF(tblMicrosoftUnits[Products],$A109, tblMicrosoftUnits[cv_2020]) + SUMIF(tblAppleUnits[Products],$A109, tblAppleUnits[cv_2020]) + SUMIF(tblAlibabaUnits[Products],$A109, tblAlibabaUnits[cv_2020]) + SUMIF(tblHuaweiUnits[Products],$A109, tblHuaweiUnits[cv_2020]) + SUMIF(tblTencentUnits[Products],$A109, tblTencentUnits[cv_2020]) + SUMIF(tblBaiduUnits[Products],$A109, tblBaiduUnits[cv_2020]) + SUMIF(tblByteDanceUnits[Products],$A109, tblByteDanceUnits[cv_2020]) + SUMIF(tblCloudAOUnits[Products],$A109, tblCloudAOUnits[cv_2020])</f>
        <v>0</v>
      </c>
      <c r="E109" s="8">
        <f xml:space="preserve"> SUMIF(tblGoogleUnits[Products],$A109, tblGoogleUnits[cv_2021]) + SUMIF(tblMetaUnits[Products],$A109, tblMetaUnits[cv_2021]) + SUMIF(tblAmazonUnits[Products],$A109, tblAmazonUnits[cv_2021]) + SUMIF(tblMicrosoftUnits[Products],$A109, tblMicrosoftUnits[cv_2021]) + SUMIF(tblAppleUnits[Products],$A109, tblAppleUnits[cv_2021]) + SUMIF(tblAlibabaUnits[Products],$A109, tblAlibabaUnits[cv_2021]) + SUMIF(tblHuaweiUnits[Products],$A109, tblHuaweiUnits[cv_2021]) + SUMIF(tblTencentUnits[Products],$A109, tblTencentUnits[cv_2021]) + SUMIF(tblBaiduUnits[Products],$A109, tblBaiduUnits[cv_2021]) + SUMIF(tblByteDanceUnits[Products],$A109, tblByteDanceUnits[cv_2021]) + SUMIF(tblCloudAOUnits[Products],$A109, tblCloudAOUnits[cv_2021])</f>
        <v>0</v>
      </c>
      <c r="F109" s="8">
        <f xml:space="preserve"> SUMIF(tblGoogleUnits[Products],$A109, tblGoogleUnits[cv_2022]) + SUMIF(tblMetaUnits[Products],$A109, tblMetaUnits[cv_2022]) + SUMIF(tblAmazonUnits[Products],$A109, tblAmazonUnits[cv_2022]) + SUMIF(tblMicrosoftUnits[Products],$A109, tblMicrosoftUnits[cv_2022]) + SUMIF(tblAppleUnits[Products],$A109, tblAppleUnits[cv_2022]) + SUMIF(tblAlibabaUnits[Products],$A109, tblAlibabaUnits[cv_2022]) + SUMIF(tblHuaweiUnits[Products],$A109, tblHuaweiUnits[cv_2022]) + SUMIF(tblTencentUnits[Products],$A109, tblTencentUnits[cv_2022]) + SUMIF(tblBaiduUnits[Products],$A109, tblBaiduUnits[cv_2022]) + SUMIF(tblByteDanceUnits[Products],$A109, tblByteDanceUnits[cv_2022]) + SUMIF(tblCloudAOUnits[Products],$A109, tblCloudAOUnits[cv_2022])</f>
        <v>0</v>
      </c>
      <c r="G109" s="8">
        <f xml:space="preserve"> SUMIF(tblGoogleUnits[Products],$A109, tblGoogleUnits[cv_2023]) + SUMIF(tblMetaUnits[Products],$A109, tblMetaUnits[cv_2023]) + SUMIF(tblAmazonUnits[Products],$A109, tblAmazonUnits[cv_2023]) + SUMIF(tblMicrosoftUnits[Products],$A109, tblMicrosoftUnits[cv_2023]) + SUMIF(tblAppleUnits[Products],$A109, tblAppleUnits[cv_2023]) + SUMIF(tblAlibabaUnits[Products],$A109, tblAlibabaUnits[cv_2023]) + SUMIF(tblHuaweiUnits[Products],$A109, tblHuaweiUnits[cv_2023]) + SUMIF(tblTencentUnits[Products],$A109, tblTencentUnits[cv_2023]) + SUMIF(tblBaiduUnits[Products],$A109, tblBaiduUnits[cv_2023]) + SUMIF(tblByteDanceUnits[Products],$A109, tblByteDanceUnits[cv_2023]) + SUMIF(tblCloudAOUnits[Products],$A109, tblCloudAOUnits[cv_2023])</f>
        <v>0</v>
      </c>
      <c r="H109" s="8">
        <f xml:space="preserve"> SUMIF(tblGoogleUnits[Products],$A109, tblGoogleUnits[cv_2024]) + SUMIF(tblMetaUnits[Products],$A109, tblMetaUnits[cv_2024]) + SUMIF(tblAmazonUnits[Products],$A109, tblAmazonUnits[cv_2024]) + SUMIF(tblMicrosoftUnits[Products],$A109, tblMicrosoftUnits[cv_2024]) + SUMIF(tblAppleUnits[Products],$A109, tblAppleUnits[cv_2024]) + SUMIF(tblAlibabaUnits[Products],$A109, tblAlibabaUnits[cv_2024]) + SUMIF(tblHuaweiUnits[Products],$A109, tblHuaweiUnits[cv_2024]) + SUMIF(tblTencentUnits[Products],$A109, tblTencentUnits[cv_2024]) + SUMIF(tblBaiduUnits[Products],$A109, tblBaiduUnits[cv_2024]) + SUMIF(tblByteDanceUnits[Products],$A109, tblByteDanceUnits[cv_2024]) + SUMIF(tblCloudAOUnits[Products],$A109, tblCloudAOUnits[cv_2024])</f>
        <v>0</v>
      </c>
      <c r="I109" s="8">
        <f xml:space="preserve"> SUMIF(tblGoogleUnits[Products],$A109, tblGoogleUnits[cv_2025]) + SUMIF(tblMetaUnits[Products],$A109, tblMetaUnits[cv_2025]) + SUMIF(tblAmazonUnits[Products],$A109, tblAmazonUnits[cv_2025]) + SUMIF(tblMicrosoftUnits[Products],$A109, tblMicrosoftUnits[cv_2025]) + SUMIF(tblAppleUnits[Products],$A109, tblAppleUnits[cv_2025]) + SUMIF(tblAlibabaUnits[Products],$A109, tblAlibabaUnits[cv_2025]) + SUMIF(tblHuaweiUnits[Products],$A109, tblHuaweiUnits[cv_2025]) + SUMIF(tblTencentUnits[Products],$A109, tblTencentUnits[cv_2025]) + SUMIF(tblBaiduUnits[Products],$A109, tblBaiduUnits[cv_2025]) + SUMIF(tblByteDanceUnits[Products],$A109, tblByteDanceUnits[cv_2025]) + SUMIF(tblCloudAOUnits[Products],$A109, tblCloudAOUnits[cv_2025])</f>
        <v>0</v>
      </c>
      <c r="J109" s="8">
        <f xml:space="preserve"> SUMIF(tblGoogleUnits[Products],$A109, tblGoogleUnits[cv_2026]) + SUMIF(tblMetaUnits[Products],$A109, tblMetaUnits[cv_2026]) + SUMIF(tblAmazonUnits[Products],$A109, tblAmazonUnits[cv_2026]) + SUMIF(tblMicrosoftUnits[Products],$A109, tblMicrosoftUnits[cv_2026]) + SUMIF(tblAppleUnits[Products],$A109, tblAppleUnits[cv_2026]) + SUMIF(tblAlibabaUnits[Products],$A109, tblAlibabaUnits[cv_2026]) + SUMIF(tblHuaweiUnits[Products],$A109, tblHuaweiUnits[cv_2026]) + SUMIF(tblTencentUnits[Products],$A109, tblTencentUnits[cv_2026]) + SUMIF(tblBaiduUnits[Products],$A109, tblBaiduUnits[cv_2026]) + SUMIF(tblByteDanceUnits[Products],$A109, tblByteDanceUnits[cv_2026]) + SUMIF(tblCloudAOUnits[Products],$A109, tblCloudAOUnits[cv_2026])</f>
        <v>0</v>
      </c>
      <c r="K109" s="8">
        <f xml:space="preserve"> SUMIF(tblGoogleUnits[Products],$A109, tblGoogleUnits[cv_2027]) + SUMIF(tblMetaUnits[Products],$A109, tblMetaUnits[cv_2027]) + SUMIF(tblAmazonUnits[Products],$A109, tblAmazonUnits[cv_2027]) + SUMIF(tblMicrosoftUnits[Products],$A109, tblMicrosoftUnits[cv_2027]) + SUMIF(tblAppleUnits[Products],$A109, tblAppleUnits[cv_2027]) + SUMIF(tblAlibabaUnits[Products],$A109, tblAlibabaUnits[cv_2027]) + SUMIF(tblHuaweiUnits[Products],$A109, tblHuaweiUnits[cv_2027]) + SUMIF(tblTencentUnits[Products],$A109, tblTencentUnits[cv_2027]) + SUMIF(tblBaiduUnits[Products],$A109, tblBaiduUnits[cv_2027]) + SUMIF(tblByteDanceUnits[Products],$A109, tblByteDanceUnits[cv_2027]) + SUMIF(tblCloudAOUnits[Products],$A109, tblCloudAOUnits[cv_2027])</f>
        <v>0</v>
      </c>
      <c r="L109" s="8">
        <f xml:space="preserve"> SUMIF(tblGoogleUnits[Products],$A109, tblGoogleUnits[cv_2028]) + SUMIF(tblMetaUnits[Products],$A109, tblMetaUnits[cv_2028]) + SUMIF(tblAmazonUnits[Products],$A109, tblAmazonUnits[cv_2028]) + SUMIF(tblMicrosoftUnits[Products],$A109, tblMicrosoftUnits[cv_2028]) + SUMIF(tblAppleUnits[Products],$A109, tblAppleUnits[cv_2028]) + SUMIF(tblAlibabaUnits[Products],$A109, tblAlibabaUnits[cv_2028]) + SUMIF(tblHuaweiUnits[Products],$A109, tblHuaweiUnits[cv_2028]) + SUMIF(tblTencentUnits[Products],$A109, tblTencentUnits[cv_2028]) + SUMIF(tblBaiduUnits[Products],$A109, tblBaiduUnits[cv_2028]) + SUMIF(tblByteDanceUnits[Products],$A109, tblByteDanceUnits[cv_2028]) + SUMIF(tblCloudAOUnits[Products],$A109, tblCloudAOUnits[cv_2028])</f>
        <v>0</v>
      </c>
      <c r="M109" s="122">
        <f>10^-6*B109*INDEX(TotalMarket!$M$26:$W$125,MATCH($A109,$A$11:$A$132,0),MATCH(M$10,$M$10:$W$10))</f>
        <v>0</v>
      </c>
      <c r="N109" s="122">
        <f>10^-6*C109*INDEX(TotalMarket!$M$26:$W$125,MATCH($A109,$A$11:$A$132,0),MATCH(N$10,$M$10:$W$10))</f>
        <v>0</v>
      </c>
      <c r="O109" s="122">
        <f>10^-6*D109*INDEX(TotalMarket!$M$26:$W$125,MATCH($A109,$A$11:$A$132,0),MATCH(O$10,$M$10:$W$10))</f>
        <v>0</v>
      </c>
      <c r="P109" s="122">
        <f>10^-6*E109*INDEX(TotalMarket!$M$26:$W$125,MATCH($A109,$A$11:$A$132,0),MATCH(P$10,$M$10:$W$10))</f>
        <v>0</v>
      </c>
      <c r="Q109" s="122">
        <f>10^-6*F109*INDEX(TotalMarket!$M$26:$W$125,MATCH($A109,$A$11:$A$132,0),MATCH(Q$10,$M$10:$W$10))</f>
        <v>0</v>
      </c>
      <c r="R109" s="122">
        <f>10^-6*G109*INDEX(TotalMarket!$M$26:$W$125,MATCH($A109,$A$11:$A$132,0),MATCH(R$10,$M$10:$W$10))</f>
        <v>0</v>
      </c>
      <c r="S109" s="122">
        <f>10^-6*H109*INDEX(TotalMarket!$M$26:$W$125,MATCH($A109,$A$11:$A$132,0),MATCH(S$10,$M$10:$W$10))</f>
        <v>0</v>
      </c>
      <c r="T109" s="122">
        <f>10^-6*I109*INDEX(TotalMarket!$M$26:$W$125,MATCH($A109,$A$11:$A$132,0),MATCH(T$10,$M$10:$W$10))</f>
        <v>0</v>
      </c>
      <c r="U109" s="122">
        <f>10^-6*J109*INDEX(TotalMarket!$M$26:$W$125,MATCH($A109,$A$11:$A$132,0),MATCH(U$10,$M$10:$W$10))</f>
        <v>0</v>
      </c>
      <c r="V109" s="122">
        <f>10^-6*K109*INDEX(TotalMarket!$M$26:$W$125,MATCH($A109,$A$11:$A$132,0),MATCH(V$10,$M$10:$W$10))</f>
        <v>0</v>
      </c>
      <c r="W109" s="122">
        <f>10^-6*L109*INDEX(TotalMarket!$M$26:$W$125,MATCH($A109,$A$11:$A$132,0),MATCH(W$10,$M$10:$W$10))</f>
        <v>0</v>
      </c>
      <c r="X109" s="1">
        <f>VLOOKUP(A109,Products!$A$29:$F$110,6,FALSE)</f>
        <v>1200</v>
      </c>
    </row>
    <row r="110" spans="1:24">
      <c r="A110" s="15" t="s">
        <v>39</v>
      </c>
      <c r="B110" s="8">
        <f xml:space="preserve"> SUMIF(tblGoogleUnits[Products],$A110, tblGoogleUnits[cv_2018]) + SUMIF(tblMetaUnits[Products],$A110, tblMetaUnits[cv_2018]) + SUMIF(tblAmazonUnits[Products],$A110, tblAmazonUnits[cv_2018]) + SUMIF(tblMicrosoftUnits[Products],$A110, tblMicrosoftUnits[cv_2018]) + SUMIF(tblAppleUnits[Products],$A110, tblAppleUnits[cv_2018]) + SUMIF(tblAlibabaUnits[Products],$A110, tblAlibabaUnits[cv_2018]) + SUMIF(tblHuaweiUnits[Products],$A110, tblHuaweiUnits[cv_2018]) + SUMIF(tblTencentUnits[Products],$A110, tblTencentUnits[cv_2018]) + SUMIF(tblBaiduUnits[Products],$A110, tblBaiduUnits[cv_2018]) + SUMIF(tblByteDanceUnits[Products],$A110, tblByteDanceUnits[cv_2018]) + SUMIF(tblCloudAOUnits[Products],$A110, tblCloudAOUnits[cv_2018])</f>
        <v>0</v>
      </c>
      <c r="C110" s="8">
        <f xml:space="preserve"> SUMIF(tblGoogleUnits[Products],$A110, tblGoogleUnits[cv_2019]) + SUMIF(tblMetaUnits[Products],$A110, tblMetaUnits[cv_2019]) + SUMIF(tblAmazonUnits[Products],$A110, tblAmazonUnits[cv_2019]) + SUMIF(tblMicrosoftUnits[Products],$A110, tblMicrosoftUnits[cv_2019]) + SUMIF(tblAppleUnits[Products],$A110, tblAppleUnits[cv_2019]) + SUMIF(tblAlibabaUnits[Products],$A110, tblAlibabaUnits[cv_2019]) + SUMIF(tblHuaweiUnits[Products],$A110, tblHuaweiUnits[cv_2019]) + SUMIF(tblTencentUnits[Products],$A110, tblTencentUnits[cv_2019]) + SUMIF(tblBaiduUnits[Products],$A110, tblBaiduUnits[cv_2019]) + SUMIF(tblByteDanceUnits[Products],$A110, tblByteDanceUnits[cv_2019]) + SUMIF(tblCloudAOUnits[Products],$A110, tblCloudAOUnits[cv_2019])</f>
        <v>0</v>
      </c>
      <c r="D110" s="8">
        <f xml:space="preserve"> SUMIF(tblGoogleUnits[Products],$A110, tblGoogleUnits[cv_2020]) + SUMIF(tblMetaUnits[Products],$A110, tblMetaUnits[cv_2020]) + SUMIF(tblAmazonUnits[Products],$A110, tblAmazonUnits[cv_2020]) + SUMIF(tblMicrosoftUnits[Products],$A110, tblMicrosoftUnits[cv_2020]) + SUMIF(tblAppleUnits[Products],$A110, tblAppleUnits[cv_2020]) + SUMIF(tblAlibabaUnits[Products],$A110, tblAlibabaUnits[cv_2020]) + SUMIF(tblHuaweiUnits[Products],$A110, tblHuaweiUnits[cv_2020]) + SUMIF(tblTencentUnits[Products],$A110, tblTencentUnits[cv_2020]) + SUMIF(tblBaiduUnits[Products],$A110, tblBaiduUnits[cv_2020]) + SUMIF(tblByteDanceUnits[Products],$A110, tblByteDanceUnits[cv_2020]) + SUMIF(tblCloudAOUnits[Products],$A110, tblCloudAOUnits[cv_2020])</f>
        <v>0</v>
      </c>
      <c r="E110" s="8">
        <f xml:space="preserve"> SUMIF(tblGoogleUnits[Products],$A110, tblGoogleUnits[cv_2021]) + SUMIF(tblMetaUnits[Products],$A110, tblMetaUnits[cv_2021]) + SUMIF(tblAmazonUnits[Products],$A110, tblAmazonUnits[cv_2021]) + SUMIF(tblMicrosoftUnits[Products],$A110, tblMicrosoftUnits[cv_2021]) + SUMIF(tblAppleUnits[Products],$A110, tblAppleUnits[cv_2021]) + SUMIF(tblAlibabaUnits[Products],$A110, tblAlibabaUnits[cv_2021]) + SUMIF(tblHuaweiUnits[Products],$A110, tblHuaweiUnits[cv_2021]) + SUMIF(tblTencentUnits[Products],$A110, tblTencentUnits[cv_2021]) + SUMIF(tblBaiduUnits[Products],$A110, tblBaiduUnits[cv_2021]) + SUMIF(tblByteDanceUnits[Products],$A110, tblByteDanceUnits[cv_2021]) + SUMIF(tblCloudAOUnits[Products],$A110, tblCloudAOUnits[cv_2021])</f>
        <v>0</v>
      </c>
      <c r="F110" s="8">
        <f xml:space="preserve"> SUMIF(tblGoogleUnits[Products],$A110, tblGoogleUnits[cv_2022]) + SUMIF(tblMetaUnits[Products],$A110, tblMetaUnits[cv_2022]) + SUMIF(tblAmazonUnits[Products],$A110, tblAmazonUnits[cv_2022]) + SUMIF(tblMicrosoftUnits[Products],$A110, tblMicrosoftUnits[cv_2022]) + SUMIF(tblAppleUnits[Products],$A110, tblAppleUnits[cv_2022]) + SUMIF(tblAlibabaUnits[Products],$A110, tblAlibabaUnits[cv_2022]) + SUMIF(tblHuaweiUnits[Products],$A110, tblHuaweiUnits[cv_2022]) + SUMIF(tblTencentUnits[Products],$A110, tblTencentUnits[cv_2022]) + SUMIF(tblBaiduUnits[Products],$A110, tblBaiduUnits[cv_2022]) + SUMIF(tblByteDanceUnits[Products],$A110, tblByteDanceUnits[cv_2022]) + SUMIF(tblCloudAOUnits[Products],$A110, tblCloudAOUnits[cv_2022])</f>
        <v>0</v>
      </c>
      <c r="G110" s="8">
        <f xml:space="preserve"> SUMIF(tblGoogleUnits[Products],$A110, tblGoogleUnits[cv_2023]) + SUMIF(tblMetaUnits[Products],$A110, tblMetaUnits[cv_2023]) + SUMIF(tblAmazonUnits[Products],$A110, tblAmazonUnits[cv_2023]) + SUMIF(tblMicrosoftUnits[Products],$A110, tblMicrosoftUnits[cv_2023]) + SUMIF(tblAppleUnits[Products],$A110, tblAppleUnits[cv_2023]) + SUMIF(tblAlibabaUnits[Products],$A110, tblAlibabaUnits[cv_2023]) + SUMIF(tblHuaweiUnits[Products],$A110, tblHuaweiUnits[cv_2023]) + SUMIF(tblTencentUnits[Products],$A110, tblTencentUnits[cv_2023]) + SUMIF(tblBaiduUnits[Products],$A110, tblBaiduUnits[cv_2023]) + SUMIF(tblByteDanceUnits[Products],$A110, tblByteDanceUnits[cv_2023]) + SUMIF(tblCloudAOUnits[Products],$A110, tblCloudAOUnits[cv_2023])</f>
        <v>0</v>
      </c>
      <c r="H110" s="8">
        <f xml:space="preserve"> SUMIF(tblGoogleUnits[Products],$A110, tblGoogleUnits[cv_2024]) + SUMIF(tblMetaUnits[Products],$A110, tblMetaUnits[cv_2024]) + SUMIF(tblAmazonUnits[Products],$A110, tblAmazonUnits[cv_2024]) + SUMIF(tblMicrosoftUnits[Products],$A110, tblMicrosoftUnits[cv_2024]) + SUMIF(tblAppleUnits[Products],$A110, tblAppleUnits[cv_2024]) + SUMIF(tblAlibabaUnits[Products],$A110, tblAlibabaUnits[cv_2024]) + SUMIF(tblHuaweiUnits[Products],$A110, tblHuaweiUnits[cv_2024]) + SUMIF(tblTencentUnits[Products],$A110, tblTencentUnits[cv_2024]) + SUMIF(tblBaiduUnits[Products],$A110, tblBaiduUnits[cv_2024]) + SUMIF(tblByteDanceUnits[Products],$A110, tblByteDanceUnits[cv_2024]) + SUMIF(tblCloudAOUnits[Products],$A110, tblCloudAOUnits[cv_2024])</f>
        <v>0</v>
      </c>
      <c r="I110" s="8">
        <f xml:space="preserve"> SUMIF(tblGoogleUnits[Products],$A110, tblGoogleUnits[cv_2025]) + SUMIF(tblMetaUnits[Products],$A110, tblMetaUnits[cv_2025]) + SUMIF(tblAmazonUnits[Products],$A110, tblAmazonUnits[cv_2025]) + SUMIF(tblMicrosoftUnits[Products],$A110, tblMicrosoftUnits[cv_2025]) + SUMIF(tblAppleUnits[Products],$A110, tblAppleUnits[cv_2025]) + SUMIF(tblAlibabaUnits[Products],$A110, tblAlibabaUnits[cv_2025]) + SUMIF(tblHuaweiUnits[Products],$A110, tblHuaweiUnits[cv_2025]) + SUMIF(tblTencentUnits[Products],$A110, tblTencentUnits[cv_2025]) + SUMIF(tblBaiduUnits[Products],$A110, tblBaiduUnits[cv_2025]) + SUMIF(tblByteDanceUnits[Products],$A110, tblByteDanceUnits[cv_2025]) + SUMIF(tblCloudAOUnits[Products],$A110, tblCloudAOUnits[cv_2025])</f>
        <v>0</v>
      </c>
      <c r="J110" s="8">
        <f xml:space="preserve"> SUMIF(tblGoogleUnits[Products],$A110, tblGoogleUnits[cv_2026]) + SUMIF(tblMetaUnits[Products],$A110, tblMetaUnits[cv_2026]) + SUMIF(tblAmazonUnits[Products],$A110, tblAmazonUnits[cv_2026]) + SUMIF(tblMicrosoftUnits[Products],$A110, tblMicrosoftUnits[cv_2026]) + SUMIF(tblAppleUnits[Products],$A110, tblAppleUnits[cv_2026]) + SUMIF(tblAlibabaUnits[Products],$A110, tblAlibabaUnits[cv_2026]) + SUMIF(tblHuaweiUnits[Products],$A110, tblHuaweiUnits[cv_2026]) + SUMIF(tblTencentUnits[Products],$A110, tblTencentUnits[cv_2026]) + SUMIF(tblBaiduUnits[Products],$A110, tblBaiduUnits[cv_2026]) + SUMIF(tblByteDanceUnits[Products],$A110, tblByteDanceUnits[cv_2026]) + SUMIF(tblCloudAOUnits[Products],$A110, tblCloudAOUnits[cv_2026])</f>
        <v>0</v>
      </c>
      <c r="K110" s="8">
        <f xml:space="preserve"> SUMIF(tblGoogleUnits[Products],$A110, tblGoogleUnits[cv_2027]) + SUMIF(tblMetaUnits[Products],$A110, tblMetaUnits[cv_2027]) + SUMIF(tblAmazonUnits[Products],$A110, tblAmazonUnits[cv_2027]) + SUMIF(tblMicrosoftUnits[Products],$A110, tblMicrosoftUnits[cv_2027]) + SUMIF(tblAppleUnits[Products],$A110, tblAppleUnits[cv_2027]) + SUMIF(tblAlibabaUnits[Products],$A110, tblAlibabaUnits[cv_2027]) + SUMIF(tblHuaweiUnits[Products],$A110, tblHuaweiUnits[cv_2027]) + SUMIF(tblTencentUnits[Products],$A110, tblTencentUnits[cv_2027]) + SUMIF(tblBaiduUnits[Products],$A110, tblBaiduUnits[cv_2027]) + SUMIF(tblByteDanceUnits[Products],$A110, tblByteDanceUnits[cv_2027]) + SUMIF(tblCloudAOUnits[Products],$A110, tblCloudAOUnits[cv_2027])</f>
        <v>0</v>
      </c>
      <c r="L110" s="8">
        <f xml:space="preserve"> SUMIF(tblGoogleUnits[Products],$A110, tblGoogleUnits[cv_2028]) + SUMIF(tblMetaUnits[Products],$A110, tblMetaUnits[cv_2028]) + SUMIF(tblAmazonUnits[Products],$A110, tblAmazonUnits[cv_2028]) + SUMIF(tblMicrosoftUnits[Products],$A110, tblMicrosoftUnits[cv_2028]) + SUMIF(tblAppleUnits[Products],$A110, tblAppleUnits[cv_2028]) + SUMIF(tblAlibabaUnits[Products],$A110, tblAlibabaUnits[cv_2028]) + SUMIF(tblHuaweiUnits[Products],$A110, tblHuaweiUnits[cv_2028]) + SUMIF(tblTencentUnits[Products],$A110, tblTencentUnits[cv_2028]) + SUMIF(tblBaiduUnits[Products],$A110, tblBaiduUnits[cv_2028]) + SUMIF(tblByteDanceUnits[Products],$A110, tblByteDanceUnits[cv_2028]) + SUMIF(tblCloudAOUnits[Products],$A110, tblCloudAOUnits[cv_2028])</f>
        <v>0</v>
      </c>
      <c r="M110" s="122">
        <f>10^-6*B110*INDEX(TotalMarket!$M$26:$W$125,MATCH($A110,$A$11:$A$132,0),MATCH(M$10,$M$10:$W$10))</f>
        <v>0</v>
      </c>
      <c r="N110" s="122">
        <f>10^-6*C110*INDEX(TotalMarket!$M$26:$W$125,MATCH($A110,$A$11:$A$132,0),MATCH(N$10,$M$10:$W$10))</f>
        <v>0</v>
      </c>
      <c r="O110" s="122">
        <f>10^-6*D110*INDEX(TotalMarket!$M$26:$W$125,MATCH($A110,$A$11:$A$132,0),MATCH(O$10,$M$10:$W$10))</f>
        <v>0</v>
      </c>
      <c r="P110" s="122">
        <f>10^-6*E110*INDEX(TotalMarket!$M$26:$W$125,MATCH($A110,$A$11:$A$132,0),MATCH(P$10,$M$10:$W$10))</f>
        <v>0</v>
      </c>
      <c r="Q110" s="122">
        <f>10^-6*F110*INDEX(TotalMarket!$M$26:$W$125,MATCH($A110,$A$11:$A$132,0),MATCH(Q$10,$M$10:$W$10))</f>
        <v>0</v>
      </c>
      <c r="R110" s="122">
        <f>10^-6*G110*INDEX(TotalMarket!$M$26:$W$125,MATCH($A110,$A$11:$A$132,0),MATCH(R$10,$M$10:$W$10))</f>
        <v>0</v>
      </c>
      <c r="S110" s="122">
        <f>10^-6*H110*INDEX(TotalMarket!$M$26:$W$125,MATCH($A110,$A$11:$A$132,0),MATCH(S$10,$M$10:$W$10))</f>
        <v>0</v>
      </c>
      <c r="T110" s="122">
        <f>10^-6*I110*INDEX(TotalMarket!$M$26:$W$125,MATCH($A110,$A$11:$A$132,0),MATCH(T$10,$M$10:$W$10))</f>
        <v>0</v>
      </c>
      <c r="U110" s="122">
        <f>10^-6*J110*INDEX(TotalMarket!$M$26:$W$125,MATCH($A110,$A$11:$A$132,0),MATCH(U$10,$M$10:$W$10))</f>
        <v>0</v>
      </c>
      <c r="V110" s="122">
        <f>10^-6*K110*INDEX(TotalMarket!$M$26:$W$125,MATCH($A110,$A$11:$A$132,0),MATCH(V$10,$M$10:$W$10))</f>
        <v>0</v>
      </c>
      <c r="W110" s="122">
        <f>10^-6*L110*INDEX(TotalMarket!$M$26:$W$125,MATCH($A110,$A$11:$A$132,0),MATCH(W$10,$M$10:$W$10))</f>
        <v>0</v>
      </c>
      <c r="X110" s="1">
        <f>VLOOKUP(A110,Products!$A$29:$F$110,6,FALSE)</f>
        <v>1600</v>
      </c>
    </row>
    <row r="111" spans="1:24">
      <c r="A111" t="s">
        <v>423</v>
      </c>
      <c r="B111" s="2">
        <f>SUM(B11:B110)</f>
        <v>12501230.107383741</v>
      </c>
      <c r="C111" s="2">
        <f t="shared" ref="C111:W111" si="0">SUM(C11:C110)</f>
        <v>12543599.110474203</v>
      </c>
      <c r="D111" s="2">
        <f t="shared" si="0"/>
        <v>0</v>
      </c>
      <c r="E111" s="2">
        <f t="shared" si="0"/>
        <v>0</v>
      </c>
      <c r="F111" s="2">
        <f t="shared" si="0"/>
        <v>0</v>
      </c>
      <c r="G111" s="2">
        <f t="shared" si="0"/>
        <v>0</v>
      </c>
      <c r="H111" s="2">
        <f t="shared" si="0"/>
        <v>0</v>
      </c>
      <c r="I111" s="2">
        <f t="shared" si="0"/>
        <v>0</v>
      </c>
      <c r="J111" s="2">
        <f t="shared" si="0"/>
        <v>0</v>
      </c>
      <c r="K111" s="2">
        <f t="shared" si="0"/>
        <v>0</v>
      </c>
      <c r="L111" s="2">
        <f t="shared" si="0"/>
        <v>0</v>
      </c>
      <c r="M111" s="63">
        <f t="shared" si="0"/>
        <v>3104.7378311809325</v>
      </c>
      <c r="N111" s="63">
        <f t="shared" si="0"/>
        <v>2768.6273171164489</v>
      </c>
      <c r="O111" s="63">
        <f t="shared" si="0"/>
        <v>0</v>
      </c>
      <c r="P111" s="63">
        <f t="shared" si="0"/>
        <v>0</v>
      </c>
      <c r="Q111" s="63">
        <f t="shared" si="0"/>
        <v>0</v>
      </c>
      <c r="R111" s="63">
        <f t="shared" si="0"/>
        <v>0</v>
      </c>
      <c r="S111" s="63">
        <f t="shared" si="0"/>
        <v>0</v>
      </c>
      <c r="T111" s="63">
        <f t="shared" si="0"/>
        <v>0</v>
      </c>
      <c r="U111" s="63">
        <f t="shared" si="0"/>
        <v>0</v>
      </c>
      <c r="V111" s="63">
        <f t="shared" si="0"/>
        <v>0</v>
      </c>
      <c r="W111" s="63">
        <f t="shared" si="0"/>
        <v>0</v>
      </c>
    </row>
    <row r="112" spans="1:24">
      <c r="A112" t="s">
        <v>313</v>
      </c>
      <c r="B112" s="2">
        <f>SUM(B11:B89)</f>
        <v>12323125.12888656</v>
      </c>
      <c r="C112" s="2">
        <f t="shared" ref="C112:W112" si="1">SUM(C11:C89)</f>
        <v>12333900.805040129</v>
      </c>
      <c r="D112" s="2">
        <f t="shared" si="1"/>
        <v>0</v>
      </c>
      <c r="E112" s="2">
        <f t="shared" si="1"/>
        <v>0</v>
      </c>
      <c r="F112" s="2">
        <f t="shared" si="1"/>
        <v>0</v>
      </c>
      <c r="G112" s="2">
        <f t="shared" si="1"/>
        <v>0</v>
      </c>
      <c r="H112" s="2">
        <f t="shared" si="1"/>
        <v>0</v>
      </c>
      <c r="I112" s="2">
        <f t="shared" si="1"/>
        <v>0</v>
      </c>
      <c r="J112" s="2">
        <f t="shared" si="1"/>
        <v>0</v>
      </c>
      <c r="K112" s="2">
        <f t="shared" si="1"/>
        <v>0</v>
      </c>
      <c r="L112" s="2">
        <f t="shared" si="1"/>
        <v>0</v>
      </c>
      <c r="M112" s="63">
        <f t="shared" si="1"/>
        <v>2230.065508552691</v>
      </c>
      <c r="N112" s="63">
        <f t="shared" si="1"/>
        <v>1835.0885586473089</v>
      </c>
      <c r="O112" s="63">
        <f t="shared" si="1"/>
        <v>0</v>
      </c>
      <c r="P112" s="63">
        <f t="shared" si="1"/>
        <v>0</v>
      </c>
      <c r="Q112" s="63">
        <f t="shared" si="1"/>
        <v>0</v>
      </c>
      <c r="R112" s="63">
        <f t="shared" si="1"/>
        <v>0</v>
      </c>
      <c r="S112" s="63">
        <f t="shared" si="1"/>
        <v>0</v>
      </c>
      <c r="T112" s="63">
        <f t="shared" si="1"/>
        <v>0</v>
      </c>
      <c r="U112" s="63">
        <f t="shared" si="1"/>
        <v>0</v>
      </c>
      <c r="V112" s="63">
        <f t="shared" si="1"/>
        <v>0</v>
      </c>
      <c r="W112" s="63">
        <f t="shared" si="1"/>
        <v>0</v>
      </c>
    </row>
    <row r="113" spans="1:23">
      <c r="A113" t="s">
        <v>336</v>
      </c>
      <c r="B113" s="2">
        <f>SUM(B90:B110)</f>
        <v>178104.97849718164</v>
      </c>
      <c r="C113" s="2">
        <f t="shared" ref="C113:W113" si="2">SUM(C90:C110)</f>
        <v>209698.30543407501</v>
      </c>
      <c r="D113" s="2">
        <f t="shared" si="2"/>
        <v>0</v>
      </c>
      <c r="E113" s="2">
        <f t="shared" si="2"/>
        <v>0</v>
      </c>
      <c r="F113" s="2">
        <f t="shared" si="2"/>
        <v>0</v>
      </c>
      <c r="G113" s="2">
        <f t="shared" si="2"/>
        <v>0</v>
      </c>
      <c r="H113" s="2">
        <f t="shared" si="2"/>
        <v>0</v>
      </c>
      <c r="I113" s="2">
        <f t="shared" si="2"/>
        <v>0</v>
      </c>
      <c r="J113" s="2">
        <f t="shared" si="2"/>
        <v>0</v>
      </c>
      <c r="K113" s="2">
        <f t="shared" si="2"/>
        <v>0</v>
      </c>
      <c r="L113" s="2">
        <f t="shared" si="2"/>
        <v>0</v>
      </c>
      <c r="M113" s="63">
        <f t="shared" si="2"/>
        <v>874.67232262824155</v>
      </c>
      <c r="N113" s="63">
        <f t="shared" si="2"/>
        <v>933.53875846914013</v>
      </c>
      <c r="O113" s="63">
        <f t="shared" si="2"/>
        <v>0</v>
      </c>
      <c r="P113" s="63">
        <f t="shared" si="2"/>
        <v>0</v>
      </c>
      <c r="Q113" s="63">
        <f>SUM(Q90:Q110)</f>
        <v>0</v>
      </c>
      <c r="R113" s="63">
        <f t="shared" si="2"/>
        <v>0</v>
      </c>
      <c r="S113" s="63">
        <f t="shared" si="2"/>
        <v>0</v>
      </c>
      <c r="T113" s="63">
        <f t="shared" si="2"/>
        <v>0</v>
      </c>
      <c r="U113" s="63">
        <f t="shared" si="2"/>
        <v>0</v>
      </c>
      <c r="V113" s="63">
        <f t="shared" si="2"/>
        <v>0</v>
      </c>
      <c r="W113" s="63">
        <f t="shared" si="2"/>
        <v>0</v>
      </c>
    </row>
    <row r="114" spans="1:23">
      <c r="B114" s="59"/>
      <c r="C114" s="59"/>
      <c r="D114" s="59"/>
      <c r="E114" s="59"/>
      <c r="F114" s="59"/>
      <c r="G114" s="59"/>
      <c r="H114" s="59"/>
      <c r="I114" s="59"/>
      <c r="J114" s="59"/>
      <c r="K114" s="59"/>
      <c r="L114" s="59"/>
      <c r="M114" s="59"/>
      <c r="N114" s="59"/>
      <c r="O114" s="59"/>
      <c r="P114" s="59"/>
      <c r="Q114" s="59"/>
      <c r="R114" s="59"/>
      <c r="S114" s="59"/>
      <c r="T114" s="59"/>
      <c r="U114" s="59"/>
      <c r="V114" s="59"/>
      <c r="W114" s="59"/>
    </row>
    <row r="116" spans="1:23">
      <c r="A116" s="40" t="s">
        <v>213</v>
      </c>
      <c r="B116" s="68">
        <v>2018</v>
      </c>
      <c r="C116" s="50">
        <v>2019</v>
      </c>
      <c r="D116" s="50">
        <v>2020</v>
      </c>
      <c r="E116" s="50">
        <v>2021</v>
      </c>
      <c r="F116" s="50">
        <v>2022</v>
      </c>
      <c r="G116" s="50">
        <v>2023</v>
      </c>
      <c r="H116" s="50">
        <v>2024</v>
      </c>
      <c r="I116" s="50">
        <v>2025</v>
      </c>
      <c r="J116" s="50">
        <v>2026</v>
      </c>
      <c r="K116" s="50">
        <v>2027</v>
      </c>
      <c r="L116" s="50">
        <v>2028</v>
      </c>
      <c r="M116" s="68">
        <v>2018</v>
      </c>
      <c r="N116" s="50">
        <v>2019</v>
      </c>
      <c r="O116" s="50">
        <v>2020</v>
      </c>
      <c r="P116" s="50">
        <v>2021</v>
      </c>
      <c r="Q116" s="50">
        <v>2022</v>
      </c>
      <c r="R116" s="50">
        <v>2023</v>
      </c>
      <c r="S116" s="50">
        <v>2024</v>
      </c>
      <c r="T116" s="50">
        <v>2025</v>
      </c>
      <c r="U116" s="50">
        <v>2026</v>
      </c>
      <c r="V116" s="50">
        <v>2027</v>
      </c>
      <c r="W116" s="50">
        <v>2028</v>
      </c>
    </row>
    <row r="117" spans="1:23">
      <c r="A117" s="25" t="s">
        <v>250</v>
      </c>
      <c r="B117" s="2">
        <f t="shared" ref="B117:W117" si="3">SUMIF($X$11:$X$89,40,B$11:B$89)</f>
        <v>2155782.3775499999</v>
      </c>
      <c r="C117" s="2">
        <f t="shared" si="3"/>
        <v>2013956.4999999998</v>
      </c>
      <c r="D117" s="2">
        <f t="shared" si="3"/>
        <v>0</v>
      </c>
      <c r="E117" s="2">
        <f t="shared" si="3"/>
        <v>0</v>
      </c>
      <c r="F117" s="2">
        <f t="shared" si="3"/>
        <v>0</v>
      </c>
      <c r="G117" s="2">
        <f t="shared" si="3"/>
        <v>0</v>
      </c>
      <c r="H117" s="2">
        <f t="shared" si="3"/>
        <v>0</v>
      </c>
      <c r="I117" s="2">
        <f t="shared" si="3"/>
        <v>0</v>
      </c>
      <c r="J117" s="2">
        <f t="shared" si="3"/>
        <v>0</v>
      </c>
      <c r="K117" s="2">
        <f t="shared" si="3"/>
        <v>0</v>
      </c>
      <c r="L117" s="2">
        <f t="shared" si="3"/>
        <v>0</v>
      </c>
      <c r="M117" s="63">
        <f t="shared" si="3"/>
        <v>360.06765351306177</v>
      </c>
      <c r="N117" s="63">
        <f t="shared" si="3"/>
        <v>333.77969539626685</v>
      </c>
      <c r="O117" s="63">
        <f t="shared" si="3"/>
        <v>0</v>
      </c>
      <c r="P117" s="63">
        <f t="shared" si="3"/>
        <v>0</v>
      </c>
      <c r="Q117" s="63">
        <f t="shared" si="3"/>
        <v>0</v>
      </c>
      <c r="R117" s="63">
        <f t="shared" si="3"/>
        <v>0</v>
      </c>
      <c r="S117" s="63">
        <f t="shared" si="3"/>
        <v>0</v>
      </c>
      <c r="T117" s="63">
        <f t="shared" si="3"/>
        <v>0</v>
      </c>
      <c r="U117" s="63">
        <f t="shared" si="3"/>
        <v>0</v>
      </c>
      <c r="V117" s="63">
        <f t="shared" si="3"/>
        <v>0</v>
      </c>
      <c r="W117" s="63">
        <f t="shared" si="3"/>
        <v>0</v>
      </c>
    </row>
    <row r="118" spans="1:23">
      <c r="A118" s="25" t="s">
        <v>251</v>
      </c>
      <c r="B118" s="2">
        <f t="shared" ref="B118:W118" si="4">SUMIF($X$11:$X$89,100,B$11:B$89)</f>
        <v>5563468.145518207</v>
      </c>
      <c r="C118" s="2">
        <f t="shared" si="4"/>
        <v>7073430.8299999991</v>
      </c>
      <c r="D118" s="2">
        <f t="shared" si="4"/>
        <v>0</v>
      </c>
      <c r="E118" s="2">
        <f t="shared" si="4"/>
        <v>0</v>
      </c>
      <c r="F118" s="2">
        <f t="shared" si="4"/>
        <v>0</v>
      </c>
      <c r="G118" s="2">
        <f t="shared" si="4"/>
        <v>0</v>
      </c>
      <c r="H118" s="2">
        <f t="shared" si="4"/>
        <v>0</v>
      </c>
      <c r="I118" s="2">
        <f t="shared" si="4"/>
        <v>0</v>
      </c>
      <c r="J118" s="2">
        <f t="shared" si="4"/>
        <v>0</v>
      </c>
      <c r="K118" s="2">
        <f t="shared" si="4"/>
        <v>0</v>
      </c>
      <c r="L118" s="2">
        <f t="shared" si="4"/>
        <v>0</v>
      </c>
      <c r="M118" s="63">
        <f t="shared" si="4"/>
        <v>1759.7492989149341</v>
      </c>
      <c r="N118" s="63">
        <f t="shared" si="4"/>
        <v>1339.7092262994704</v>
      </c>
      <c r="O118" s="63">
        <f t="shared" si="4"/>
        <v>0</v>
      </c>
      <c r="P118" s="63">
        <f t="shared" si="4"/>
        <v>0</v>
      </c>
      <c r="Q118" s="63">
        <f t="shared" si="4"/>
        <v>0</v>
      </c>
      <c r="R118" s="63">
        <f t="shared" si="4"/>
        <v>0</v>
      </c>
      <c r="S118" s="63">
        <f t="shared" si="4"/>
        <v>0</v>
      </c>
      <c r="T118" s="63">
        <f t="shared" si="4"/>
        <v>0</v>
      </c>
      <c r="U118" s="63">
        <f t="shared" si="4"/>
        <v>0</v>
      </c>
      <c r="V118" s="63">
        <f t="shared" si="4"/>
        <v>0</v>
      </c>
      <c r="W118" s="63">
        <f t="shared" si="4"/>
        <v>0</v>
      </c>
    </row>
    <row r="119" spans="1:23">
      <c r="A119" s="25" t="s">
        <v>252</v>
      </c>
      <c r="B119" s="2">
        <f t="shared" ref="B119:W119" si="5">SUMIF($X$11:$X$89,200,B$11:B$89)</f>
        <v>1000</v>
      </c>
      <c r="C119" s="2">
        <f t="shared" si="5"/>
        <v>11072</v>
      </c>
      <c r="D119" s="2">
        <f t="shared" si="5"/>
        <v>0</v>
      </c>
      <c r="E119" s="2">
        <f t="shared" si="5"/>
        <v>0</v>
      </c>
      <c r="F119" s="2">
        <f t="shared" si="5"/>
        <v>0</v>
      </c>
      <c r="G119" s="2">
        <f t="shared" si="5"/>
        <v>0</v>
      </c>
      <c r="H119" s="2">
        <f t="shared" si="5"/>
        <v>0</v>
      </c>
      <c r="I119" s="2">
        <f t="shared" si="5"/>
        <v>0</v>
      </c>
      <c r="J119" s="2">
        <f t="shared" si="5"/>
        <v>0</v>
      </c>
      <c r="K119" s="2">
        <f t="shared" si="5"/>
        <v>0</v>
      </c>
      <c r="L119" s="2">
        <f t="shared" si="5"/>
        <v>0</v>
      </c>
      <c r="M119" s="63">
        <f t="shared" si="5"/>
        <v>1.1000000000000001</v>
      </c>
      <c r="N119" s="63">
        <f t="shared" si="5"/>
        <v>6.0945</v>
      </c>
      <c r="O119" s="63">
        <f t="shared" si="5"/>
        <v>0</v>
      </c>
      <c r="P119" s="63">
        <f t="shared" si="5"/>
        <v>0</v>
      </c>
      <c r="Q119" s="63">
        <f t="shared" si="5"/>
        <v>0</v>
      </c>
      <c r="R119" s="63">
        <f t="shared" si="5"/>
        <v>0</v>
      </c>
      <c r="S119" s="63">
        <f t="shared" si="5"/>
        <v>0</v>
      </c>
      <c r="T119" s="63">
        <f t="shared" si="5"/>
        <v>0</v>
      </c>
      <c r="U119" s="63">
        <f t="shared" si="5"/>
        <v>0</v>
      </c>
      <c r="V119" s="63">
        <f t="shared" si="5"/>
        <v>0</v>
      </c>
      <c r="W119" s="63">
        <f t="shared" si="5"/>
        <v>0</v>
      </c>
    </row>
    <row r="120" spans="1:23">
      <c r="B120" s="2">
        <f t="shared" ref="B120:W120" si="6">SUMIF($X$11:$X$89,400,B$11:B$89)</f>
        <v>38100</v>
      </c>
      <c r="C120" s="2">
        <f t="shared" si="6"/>
        <v>145201.52527472528</v>
      </c>
      <c r="D120" s="2">
        <f t="shared" si="6"/>
        <v>0</v>
      </c>
      <c r="E120" s="2">
        <f t="shared" si="6"/>
        <v>0</v>
      </c>
      <c r="F120" s="2">
        <f t="shared" si="6"/>
        <v>0</v>
      </c>
      <c r="G120" s="2">
        <f t="shared" si="6"/>
        <v>0</v>
      </c>
      <c r="H120" s="2">
        <f t="shared" si="6"/>
        <v>0</v>
      </c>
      <c r="I120" s="2">
        <f t="shared" si="6"/>
        <v>0</v>
      </c>
      <c r="J120" s="2">
        <f t="shared" si="6"/>
        <v>0</v>
      </c>
      <c r="K120" s="2">
        <f t="shared" si="6"/>
        <v>0</v>
      </c>
      <c r="L120" s="2">
        <f t="shared" si="6"/>
        <v>0</v>
      </c>
      <c r="M120" s="63">
        <f t="shared" si="6"/>
        <v>42.012</v>
      </c>
      <c r="N120" s="63">
        <f t="shared" si="6"/>
        <v>114.35004538678189</v>
      </c>
      <c r="O120" s="63">
        <f t="shared" si="6"/>
        <v>0</v>
      </c>
      <c r="P120" s="63">
        <f t="shared" si="6"/>
        <v>0</v>
      </c>
      <c r="Q120" s="63">
        <f t="shared" si="6"/>
        <v>0</v>
      </c>
      <c r="R120" s="63">
        <f t="shared" si="6"/>
        <v>0</v>
      </c>
      <c r="S120" s="63">
        <f t="shared" si="6"/>
        <v>0</v>
      </c>
      <c r="T120" s="63">
        <f t="shared" si="6"/>
        <v>0</v>
      </c>
      <c r="U120" s="63">
        <f t="shared" si="6"/>
        <v>0</v>
      </c>
      <c r="V120" s="63">
        <f t="shared" si="6"/>
        <v>0</v>
      </c>
      <c r="W120" s="63">
        <f t="shared" si="6"/>
        <v>0</v>
      </c>
    </row>
    <row r="121" spans="1:23">
      <c r="A121" s="40" t="s">
        <v>214</v>
      </c>
      <c r="B121" s="2">
        <f t="shared" ref="B121:W121" si="7">SUMIF($X$11:$X$89,800,B$11:B$89)</f>
        <v>0</v>
      </c>
      <c r="C121" s="2">
        <f t="shared" si="7"/>
        <v>0</v>
      </c>
      <c r="D121" s="2">
        <f t="shared" si="7"/>
        <v>0</v>
      </c>
      <c r="E121" s="2">
        <f t="shared" si="7"/>
        <v>0</v>
      </c>
      <c r="F121" s="2">
        <f t="shared" si="7"/>
        <v>0</v>
      </c>
      <c r="G121" s="2">
        <f t="shared" si="7"/>
        <v>0</v>
      </c>
      <c r="H121" s="2">
        <f t="shared" si="7"/>
        <v>0</v>
      </c>
      <c r="I121" s="2">
        <f t="shared" si="7"/>
        <v>0</v>
      </c>
      <c r="J121" s="2">
        <f t="shared" si="7"/>
        <v>0</v>
      </c>
      <c r="K121" s="2">
        <f t="shared" si="7"/>
        <v>0</v>
      </c>
      <c r="L121" s="2">
        <f t="shared" si="7"/>
        <v>0</v>
      </c>
      <c r="M121" s="63">
        <f t="shared" si="7"/>
        <v>0</v>
      </c>
      <c r="N121" s="63">
        <f t="shared" si="7"/>
        <v>0</v>
      </c>
      <c r="O121" s="63">
        <f t="shared" si="7"/>
        <v>0</v>
      </c>
      <c r="P121" s="63">
        <f t="shared" si="7"/>
        <v>0</v>
      </c>
      <c r="Q121" s="63">
        <f t="shared" si="7"/>
        <v>0</v>
      </c>
      <c r="R121" s="63">
        <f t="shared" si="7"/>
        <v>0</v>
      </c>
      <c r="S121" s="63">
        <f t="shared" si="7"/>
        <v>0</v>
      </c>
      <c r="T121" s="63">
        <f t="shared" si="7"/>
        <v>0</v>
      </c>
      <c r="U121" s="63">
        <f t="shared" si="7"/>
        <v>0</v>
      </c>
      <c r="V121" s="63">
        <f t="shared" si="7"/>
        <v>0</v>
      </c>
      <c r="W121" s="63">
        <f t="shared" si="7"/>
        <v>0</v>
      </c>
    </row>
    <row r="122" spans="1:23">
      <c r="A122" s="25" t="s">
        <v>250</v>
      </c>
      <c r="B122" s="2">
        <f t="shared" ref="B122:W122" si="8">SUMIF($X$11:$X$89,1600,B$11:B$89)</f>
        <v>0</v>
      </c>
      <c r="C122" s="2">
        <f t="shared" si="8"/>
        <v>0</v>
      </c>
      <c r="D122" s="2">
        <f t="shared" si="8"/>
        <v>0</v>
      </c>
      <c r="E122" s="2">
        <f t="shared" si="8"/>
        <v>0</v>
      </c>
      <c r="F122" s="2">
        <f t="shared" si="8"/>
        <v>0</v>
      </c>
      <c r="G122" s="2">
        <f t="shared" si="8"/>
        <v>0</v>
      </c>
      <c r="H122" s="2">
        <f t="shared" si="8"/>
        <v>0</v>
      </c>
      <c r="I122" s="2">
        <f t="shared" si="8"/>
        <v>0</v>
      </c>
      <c r="J122" s="2">
        <f t="shared" si="8"/>
        <v>0</v>
      </c>
      <c r="K122" s="2">
        <f t="shared" si="8"/>
        <v>0</v>
      </c>
      <c r="L122" s="2">
        <f t="shared" si="8"/>
        <v>0</v>
      </c>
      <c r="M122" s="63">
        <f t="shared" si="8"/>
        <v>0</v>
      </c>
      <c r="N122" s="63">
        <f t="shared" si="8"/>
        <v>0</v>
      </c>
      <c r="O122" s="63">
        <f t="shared" si="8"/>
        <v>0</v>
      </c>
      <c r="P122" s="63">
        <f t="shared" si="8"/>
        <v>0</v>
      </c>
      <c r="Q122" s="63">
        <f t="shared" si="8"/>
        <v>0</v>
      </c>
      <c r="R122" s="63">
        <f t="shared" si="8"/>
        <v>0</v>
      </c>
      <c r="S122" s="63">
        <f t="shared" si="8"/>
        <v>0</v>
      </c>
      <c r="T122" s="63">
        <f t="shared" si="8"/>
        <v>0</v>
      </c>
      <c r="U122" s="63">
        <f t="shared" si="8"/>
        <v>0</v>
      </c>
      <c r="V122" s="63">
        <f t="shared" si="8"/>
        <v>0</v>
      </c>
      <c r="W122" s="63">
        <f t="shared" si="8"/>
        <v>0</v>
      </c>
    </row>
    <row r="123" spans="1:23">
      <c r="A123" s="25" t="s">
        <v>251</v>
      </c>
      <c r="B123" s="2">
        <f>SUM(B11:B89)</f>
        <v>12323125.12888656</v>
      </c>
      <c r="C123" s="2">
        <f t="shared" ref="C123:W123" si="9">SUM(C11:C89)</f>
        <v>12333900.805040129</v>
      </c>
      <c r="D123" s="2">
        <f t="shared" si="9"/>
        <v>0</v>
      </c>
      <c r="E123" s="2">
        <f t="shared" si="9"/>
        <v>0</v>
      </c>
      <c r="F123" s="2">
        <f t="shared" si="9"/>
        <v>0</v>
      </c>
      <c r="G123" s="2">
        <f t="shared" si="9"/>
        <v>0</v>
      </c>
      <c r="H123" s="2">
        <f t="shared" si="9"/>
        <v>0</v>
      </c>
      <c r="I123" s="2">
        <f t="shared" si="9"/>
        <v>0</v>
      </c>
      <c r="J123" s="2">
        <f t="shared" si="9"/>
        <v>0</v>
      </c>
      <c r="K123" s="2">
        <f t="shared" si="9"/>
        <v>0</v>
      </c>
      <c r="L123" s="2">
        <f t="shared" si="9"/>
        <v>0</v>
      </c>
      <c r="M123" s="63">
        <f t="shared" si="9"/>
        <v>2230.065508552691</v>
      </c>
      <c r="N123" s="63">
        <f t="shared" si="9"/>
        <v>1835.0885586473089</v>
      </c>
      <c r="O123" s="63">
        <f t="shared" si="9"/>
        <v>0</v>
      </c>
      <c r="P123" s="63">
        <f t="shared" si="9"/>
        <v>0</v>
      </c>
      <c r="Q123" s="63">
        <f t="shared" si="9"/>
        <v>0</v>
      </c>
      <c r="R123" s="63">
        <f t="shared" si="9"/>
        <v>0</v>
      </c>
      <c r="S123" s="63">
        <f t="shared" si="9"/>
        <v>0</v>
      </c>
      <c r="T123" s="63">
        <f t="shared" si="9"/>
        <v>0</v>
      </c>
      <c r="U123" s="63">
        <f t="shared" si="9"/>
        <v>0</v>
      </c>
      <c r="V123" s="63">
        <f t="shared" si="9"/>
        <v>0</v>
      </c>
      <c r="W123" s="63">
        <f t="shared" si="9"/>
        <v>0</v>
      </c>
    </row>
    <row r="124" spans="1:23">
      <c r="A124" s="25" t="s">
        <v>252</v>
      </c>
    </row>
    <row r="125" spans="1:23">
      <c r="B125" s="68">
        <v>2018</v>
      </c>
      <c r="C125" s="50">
        <v>2019</v>
      </c>
      <c r="D125" s="50">
        <v>2020</v>
      </c>
      <c r="E125" s="50">
        <v>2021</v>
      </c>
      <c r="F125" s="50">
        <v>2022</v>
      </c>
      <c r="G125" s="50">
        <v>2023</v>
      </c>
      <c r="H125" s="50">
        <v>2024</v>
      </c>
      <c r="I125" s="50">
        <v>2025</v>
      </c>
      <c r="J125" s="50">
        <v>2026</v>
      </c>
      <c r="K125" s="50">
        <v>2027</v>
      </c>
      <c r="L125" s="50">
        <v>2028</v>
      </c>
      <c r="M125" s="68">
        <v>2018</v>
      </c>
      <c r="N125" s="50">
        <v>2019</v>
      </c>
      <c r="O125" s="50">
        <v>2020</v>
      </c>
      <c r="P125" s="50">
        <v>2021</v>
      </c>
      <c r="Q125" s="50">
        <v>2022</v>
      </c>
      <c r="R125" s="50">
        <v>2023</v>
      </c>
      <c r="S125" s="50">
        <v>2024</v>
      </c>
      <c r="T125" s="50">
        <v>2025</v>
      </c>
      <c r="U125" s="50">
        <v>2026</v>
      </c>
      <c r="V125" s="50">
        <v>2027</v>
      </c>
      <c r="W125" s="50">
        <v>2028</v>
      </c>
    </row>
    <row r="126" spans="1:23">
      <c r="B126" s="2">
        <f t="shared" ref="B126:W126" si="10">SUMIF($X$90:$X$110,100,B$90:B$110)</f>
        <v>102610.31603816527</v>
      </c>
      <c r="C126" s="2">
        <f t="shared" si="10"/>
        <v>96823.604000000007</v>
      </c>
      <c r="D126" s="2">
        <f t="shared" si="10"/>
        <v>0</v>
      </c>
      <c r="E126" s="2">
        <f t="shared" si="10"/>
        <v>0</v>
      </c>
      <c r="F126" s="2">
        <f t="shared" si="10"/>
        <v>0</v>
      </c>
      <c r="G126" s="2">
        <f t="shared" si="10"/>
        <v>0</v>
      </c>
      <c r="H126" s="2">
        <f t="shared" si="10"/>
        <v>0</v>
      </c>
      <c r="I126" s="2">
        <f t="shared" si="10"/>
        <v>0</v>
      </c>
      <c r="J126" s="2">
        <f t="shared" si="10"/>
        <v>0</v>
      </c>
      <c r="K126" s="2">
        <f t="shared" si="10"/>
        <v>0</v>
      </c>
      <c r="L126" s="2">
        <f t="shared" si="10"/>
        <v>0</v>
      </c>
      <c r="M126" s="63">
        <f t="shared" si="10"/>
        <v>652.78972686537111</v>
      </c>
      <c r="N126" s="63">
        <f t="shared" si="10"/>
        <v>440.56860426666674</v>
      </c>
      <c r="O126" s="63">
        <f t="shared" si="10"/>
        <v>0</v>
      </c>
      <c r="P126" s="63">
        <f t="shared" si="10"/>
        <v>0</v>
      </c>
      <c r="Q126" s="63">
        <f t="shared" si="10"/>
        <v>0</v>
      </c>
      <c r="R126" s="63">
        <f t="shared" si="10"/>
        <v>0</v>
      </c>
      <c r="S126" s="63">
        <f t="shared" si="10"/>
        <v>0</v>
      </c>
      <c r="T126" s="63">
        <f t="shared" si="10"/>
        <v>0</v>
      </c>
      <c r="U126" s="63">
        <f t="shared" si="10"/>
        <v>0</v>
      </c>
      <c r="V126" s="63">
        <f t="shared" si="10"/>
        <v>0</v>
      </c>
      <c r="W126" s="63">
        <f t="shared" si="10"/>
        <v>0</v>
      </c>
    </row>
    <row r="127" spans="1:23">
      <c r="B127" s="2">
        <f t="shared" ref="B127:W127" si="11">SUMIF($X$90:$X$110,200,B$90:B$110)</f>
        <v>25523.852459016394</v>
      </c>
      <c r="C127" s="2">
        <f t="shared" si="11"/>
        <v>54270.959999999992</v>
      </c>
      <c r="D127" s="2">
        <f t="shared" si="11"/>
        <v>0</v>
      </c>
      <c r="E127" s="2">
        <f t="shared" si="11"/>
        <v>0</v>
      </c>
      <c r="F127" s="2">
        <f t="shared" si="11"/>
        <v>0</v>
      </c>
      <c r="G127" s="2">
        <f t="shared" si="11"/>
        <v>0</v>
      </c>
      <c r="H127" s="2">
        <f t="shared" si="11"/>
        <v>0</v>
      </c>
      <c r="I127" s="2">
        <f t="shared" si="11"/>
        <v>0</v>
      </c>
      <c r="J127" s="2">
        <f t="shared" si="11"/>
        <v>0</v>
      </c>
      <c r="K127" s="2">
        <f t="shared" si="11"/>
        <v>0</v>
      </c>
      <c r="L127" s="2">
        <f t="shared" si="11"/>
        <v>0</v>
      </c>
      <c r="M127" s="63">
        <f t="shared" si="11"/>
        <v>202.13476900149033</v>
      </c>
      <c r="N127" s="63">
        <f t="shared" si="11"/>
        <v>322.79382981818173</v>
      </c>
      <c r="O127" s="63">
        <f t="shared" si="11"/>
        <v>0</v>
      </c>
      <c r="P127" s="63">
        <f t="shared" si="11"/>
        <v>0</v>
      </c>
      <c r="Q127" s="63">
        <f t="shared" si="11"/>
        <v>0</v>
      </c>
      <c r="R127" s="63">
        <f t="shared" si="11"/>
        <v>0</v>
      </c>
      <c r="S127" s="63">
        <f t="shared" si="11"/>
        <v>0</v>
      </c>
      <c r="T127" s="63">
        <f t="shared" si="11"/>
        <v>0</v>
      </c>
      <c r="U127" s="63">
        <f t="shared" si="11"/>
        <v>0</v>
      </c>
      <c r="V127" s="63">
        <f t="shared" si="11"/>
        <v>0</v>
      </c>
      <c r="W127" s="63">
        <f t="shared" si="11"/>
        <v>0</v>
      </c>
    </row>
    <row r="128" spans="1:23">
      <c r="B128" s="2">
        <f t="shared" ref="B128:W128" si="12">SUMIF($X$90:$X$110,400,B$90:B$110)</f>
        <v>8750</v>
      </c>
      <c r="C128" s="2">
        <f t="shared" si="12"/>
        <v>17715</v>
      </c>
      <c r="D128" s="2">
        <f t="shared" si="12"/>
        <v>0</v>
      </c>
      <c r="E128" s="2">
        <f t="shared" si="12"/>
        <v>0</v>
      </c>
      <c r="F128" s="2">
        <f t="shared" si="12"/>
        <v>0</v>
      </c>
      <c r="G128" s="2">
        <f t="shared" si="12"/>
        <v>0</v>
      </c>
      <c r="H128" s="2">
        <f t="shared" si="12"/>
        <v>0</v>
      </c>
      <c r="I128" s="2">
        <f t="shared" si="12"/>
        <v>0</v>
      </c>
      <c r="J128" s="2">
        <f t="shared" si="12"/>
        <v>0</v>
      </c>
      <c r="K128" s="2">
        <f t="shared" si="12"/>
        <v>0</v>
      </c>
      <c r="L128" s="2">
        <f t="shared" si="12"/>
        <v>0</v>
      </c>
      <c r="M128" s="63">
        <f t="shared" si="12"/>
        <v>0</v>
      </c>
      <c r="N128" s="63">
        <f t="shared" si="12"/>
        <v>154.00545454545454</v>
      </c>
      <c r="O128" s="63">
        <f t="shared" si="12"/>
        <v>0</v>
      </c>
      <c r="P128" s="63">
        <f t="shared" si="12"/>
        <v>0</v>
      </c>
      <c r="Q128" s="63">
        <f t="shared" si="12"/>
        <v>0</v>
      </c>
      <c r="R128" s="63">
        <f t="shared" si="12"/>
        <v>0</v>
      </c>
      <c r="S128" s="63">
        <f t="shared" si="12"/>
        <v>0</v>
      </c>
      <c r="T128" s="63">
        <f t="shared" si="12"/>
        <v>0</v>
      </c>
      <c r="U128" s="63">
        <f t="shared" si="12"/>
        <v>0</v>
      </c>
      <c r="V128" s="63">
        <f t="shared" si="12"/>
        <v>0</v>
      </c>
      <c r="W128" s="63">
        <f t="shared" si="12"/>
        <v>0</v>
      </c>
    </row>
    <row r="129" spans="1:23">
      <c r="B129" s="2">
        <f t="shared" ref="B129:W129" si="13">SUMIF($X$90:$X$110,600,B$90:B$110)+SUMIF($X$90:$X$110,800,B$90:B$110)</f>
        <v>0</v>
      </c>
      <c r="C129" s="2">
        <f t="shared" si="13"/>
        <v>16.400000000000002</v>
      </c>
      <c r="D129" s="2">
        <f t="shared" si="13"/>
        <v>0</v>
      </c>
      <c r="E129" s="2">
        <f t="shared" si="13"/>
        <v>0</v>
      </c>
      <c r="F129" s="2">
        <f t="shared" si="13"/>
        <v>0</v>
      </c>
      <c r="G129" s="2">
        <f t="shared" si="13"/>
        <v>0</v>
      </c>
      <c r="H129" s="2">
        <f t="shared" si="13"/>
        <v>0</v>
      </c>
      <c r="I129" s="2">
        <f t="shared" si="13"/>
        <v>0</v>
      </c>
      <c r="J129" s="2">
        <f t="shared" si="13"/>
        <v>0</v>
      </c>
      <c r="K129" s="2">
        <f t="shared" si="13"/>
        <v>0</v>
      </c>
      <c r="L129" s="2">
        <f t="shared" si="13"/>
        <v>0</v>
      </c>
      <c r="M129" s="63">
        <f t="shared" si="13"/>
        <v>0</v>
      </c>
      <c r="N129" s="63">
        <f t="shared" si="13"/>
        <v>0.16400000000000003</v>
      </c>
      <c r="O129" s="63">
        <f t="shared" si="13"/>
        <v>0</v>
      </c>
      <c r="P129" s="63">
        <f t="shared" si="13"/>
        <v>0</v>
      </c>
      <c r="Q129" s="63">
        <f t="shared" si="13"/>
        <v>0</v>
      </c>
      <c r="R129" s="63">
        <f t="shared" si="13"/>
        <v>0</v>
      </c>
      <c r="S129" s="63">
        <f t="shared" si="13"/>
        <v>0</v>
      </c>
      <c r="T129" s="63">
        <f t="shared" si="13"/>
        <v>0</v>
      </c>
      <c r="U129" s="63">
        <f t="shared" si="13"/>
        <v>0</v>
      </c>
      <c r="V129" s="63">
        <f t="shared" si="13"/>
        <v>0</v>
      </c>
      <c r="W129" s="63">
        <f t="shared" si="13"/>
        <v>0</v>
      </c>
    </row>
    <row r="130" spans="1:23">
      <c r="B130" s="2">
        <f t="shared" ref="B130:W130" si="14">SUMIF($X$90:$X$110,1200,B$90:B$110)+SUMIF($X$90:$X$110,1600,B$90:B$110)</f>
        <v>0</v>
      </c>
      <c r="C130" s="2">
        <f t="shared" si="14"/>
        <v>0</v>
      </c>
      <c r="D130" s="2">
        <f t="shared" si="14"/>
        <v>0</v>
      </c>
      <c r="E130" s="2">
        <f t="shared" si="14"/>
        <v>0</v>
      </c>
      <c r="F130" s="2">
        <f t="shared" si="14"/>
        <v>0</v>
      </c>
      <c r="G130" s="2">
        <f t="shared" si="14"/>
        <v>0</v>
      </c>
      <c r="H130" s="2">
        <f t="shared" si="14"/>
        <v>0</v>
      </c>
      <c r="I130" s="2">
        <f t="shared" si="14"/>
        <v>0</v>
      </c>
      <c r="J130" s="2">
        <f t="shared" si="14"/>
        <v>0</v>
      </c>
      <c r="K130" s="2">
        <f t="shared" si="14"/>
        <v>0</v>
      </c>
      <c r="L130" s="2">
        <f t="shared" si="14"/>
        <v>0</v>
      </c>
      <c r="M130" s="63">
        <f t="shared" si="14"/>
        <v>0</v>
      </c>
      <c r="N130" s="63">
        <f t="shared" si="14"/>
        <v>0</v>
      </c>
      <c r="O130" s="63">
        <f t="shared" si="14"/>
        <v>0</v>
      </c>
      <c r="P130" s="63">
        <f t="shared" si="14"/>
        <v>0</v>
      </c>
      <c r="Q130" s="63">
        <f t="shared" si="14"/>
        <v>0</v>
      </c>
      <c r="R130" s="63">
        <f t="shared" si="14"/>
        <v>0</v>
      </c>
      <c r="S130" s="63">
        <f t="shared" si="14"/>
        <v>0</v>
      </c>
      <c r="T130" s="63">
        <f t="shared" si="14"/>
        <v>0</v>
      </c>
      <c r="U130" s="63">
        <f t="shared" si="14"/>
        <v>0</v>
      </c>
      <c r="V130" s="63">
        <f t="shared" si="14"/>
        <v>0</v>
      </c>
      <c r="W130" s="63">
        <f t="shared" si="14"/>
        <v>0</v>
      </c>
    </row>
    <row r="131" spans="1:23">
      <c r="B131" s="2">
        <f>SUM(B90:B110)</f>
        <v>178104.97849718164</v>
      </c>
      <c r="C131" s="2">
        <f t="shared" ref="C131:W131" si="15">SUM(C90:C110)</f>
        <v>209698.30543407501</v>
      </c>
      <c r="D131" s="2">
        <f t="shared" si="15"/>
        <v>0</v>
      </c>
      <c r="E131" s="2">
        <f t="shared" si="15"/>
        <v>0</v>
      </c>
      <c r="F131" s="2">
        <f t="shared" si="15"/>
        <v>0</v>
      </c>
      <c r="G131" s="2">
        <f t="shared" si="15"/>
        <v>0</v>
      </c>
      <c r="H131" s="2">
        <f t="shared" si="15"/>
        <v>0</v>
      </c>
      <c r="I131" s="2">
        <f t="shared" si="15"/>
        <v>0</v>
      </c>
      <c r="J131" s="2">
        <f t="shared" si="15"/>
        <v>0</v>
      </c>
      <c r="K131" s="2">
        <f t="shared" si="15"/>
        <v>0</v>
      </c>
      <c r="L131" s="2">
        <f t="shared" si="15"/>
        <v>0</v>
      </c>
      <c r="M131" s="63">
        <f t="shared" si="15"/>
        <v>874.67232262824155</v>
      </c>
      <c r="N131" s="63">
        <f t="shared" si="15"/>
        <v>933.53875846914013</v>
      </c>
      <c r="O131" s="63">
        <f t="shared" si="15"/>
        <v>0</v>
      </c>
      <c r="P131" s="63">
        <f t="shared" si="15"/>
        <v>0</v>
      </c>
      <c r="Q131" s="63">
        <f t="shared" si="15"/>
        <v>0</v>
      </c>
      <c r="R131" s="63">
        <f t="shared" si="15"/>
        <v>0</v>
      </c>
      <c r="S131" s="63">
        <f t="shared" si="15"/>
        <v>0</v>
      </c>
      <c r="T131" s="63">
        <f t="shared" si="15"/>
        <v>0</v>
      </c>
      <c r="U131" s="63">
        <f t="shared" si="15"/>
        <v>0</v>
      </c>
      <c r="V131" s="63">
        <f t="shared" si="15"/>
        <v>0</v>
      </c>
      <c r="W131" s="63">
        <f t="shared" si="15"/>
        <v>0</v>
      </c>
    </row>
    <row r="132" spans="1:23">
      <c r="B132" s="164"/>
      <c r="C132" s="164"/>
      <c r="D132" s="164"/>
      <c r="E132" s="164"/>
      <c r="F132" s="164"/>
      <c r="G132" s="164"/>
      <c r="H132" s="164"/>
      <c r="I132" s="164"/>
      <c r="J132" s="164"/>
      <c r="K132" s="164"/>
      <c r="L132" s="164"/>
    </row>
    <row r="133" spans="1:23">
      <c r="A133" s="25" t="s">
        <v>275</v>
      </c>
    </row>
    <row r="134" spans="1:23">
      <c r="A134" s="40" t="s">
        <v>213</v>
      </c>
      <c r="B134" s="17">
        <v>2018</v>
      </c>
      <c r="C134" s="17">
        <v>2019</v>
      </c>
      <c r="D134" s="17">
        <v>2020</v>
      </c>
      <c r="E134" s="17">
        <v>2021</v>
      </c>
      <c r="F134" s="17">
        <v>2022</v>
      </c>
      <c r="G134" s="17">
        <v>2023</v>
      </c>
      <c r="H134" s="17">
        <v>2024</v>
      </c>
      <c r="I134" s="17">
        <v>2025</v>
      </c>
      <c r="J134" s="17">
        <v>2026</v>
      </c>
      <c r="K134" s="17">
        <v>2027</v>
      </c>
      <c r="L134" s="17">
        <v>2028</v>
      </c>
      <c r="M134" s="17">
        <v>2029</v>
      </c>
      <c r="N134" s="17">
        <v>2030</v>
      </c>
    </row>
    <row r="135" spans="1:23">
      <c r="A135" s="25" t="s">
        <v>250</v>
      </c>
      <c r="B135" s="28">
        <f>SUMPRODUCT(B11:B$89,$X$11:$X$89)/10^6</f>
        <v>701.54768924200425</v>
      </c>
      <c r="C135" s="28">
        <f>SUMPRODUCT(C11:C$89,$X$11:$X$89)/10^6</f>
        <v>879.09875260754404</v>
      </c>
      <c r="D135" s="28">
        <f>SUMPRODUCT(D11:D$89,$X$11:$X$89)/10^6</f>
        <v>0</v>
      </c>
      <c r="E135" s="28">
        <f>SUMPRODUCT(E11:E$89,$X$11:$X$89)/10^6</f>
        <v>0</v>
      </c>
      <c r="F135" s="28">
        <f>SUMPRODUCT(F11:F$89,$X$11:$X$89)/10^6</f>
        <v>0</v>
      </c>
      <c r="G135" s="28">
        <f>SUMPRODUCT(G11:G$89,$X$11:$X$89)/10^6</f>
        <v>0</v>
      </c>
      <c r="H135" s="28">
        <f>SUMPRODUCT(H11:H$89,$X$11:$X$89)/10^6</f>
        <v>0</v>
      </c>
      <c r="I135" s="28">
        <f>SUMPRODUCT(I11:I$89,$X$11:$X$89)/10^6</f>
        <v>0</v>
      </c>
      <c r="J135" s="28">
        <f>SUMPRODUCT(J11:J$89,$X$11:$X$89)/10^6</f>
        <v>0</v>
      </c>
      <c r="K135" s="28">
        <f>SUMPRODUCT(K11:K$89,$X$11:$X$89)/10^6</f>
        <v>0</v>
      </c>
      <c r="L135" s="28">
        <f>SUMPRODUCT(L11:L$89,$X$11:$X$89)/10^6</f>
        <v>0</v>
      </c>
      <c r="M135" s="28">
        <f>SUMPRODUCT(M11:M$89,$X$11:$X$89)/10^6</f>
        <v>0.20805685813960118</v>
      </c>
      <c r="N135" s="28">
        <f>SUMPRODUCT(N11:N$89,$X$11:$X$89)/10^6</f>
        <v>0.19469257951615834</v>
      </c>
    </row>
    <row r="136" spans="1:23">
      <c r="A136" s="25" t="s">
        <v>251</v>
      </c>
      <c r="B136" s="54">
        <f>B135+10.2</f>
        <v>711.7476892420043</v>
      </c>
      <c r="C136" s="29">
        <f>B136+C135</f>
        <v>1590.8464418495482</v>
      </c>
      <c r="D136" s="29">
        <f>C136+D135</f>
        <v>1590.8464418495482</v>
      </c>
      <c r="E136" s="29">
        <f t="shared" ref="E136:N136" si="16">D136+E135</f>
        <v>1590.8464418495482</v>
      </c>
      <c r="F136" s="29">
        <f t="shared" si="16"/>
        <v>1590.8464418495482</v>
      </c>
      <c r="G136" s="29">
        <f t="shared" si="16"/>
        <v>1590.8464418495482</v>
      </c>
      <c r="H136" s="29">
        <f t="shared" si="16"/>
        <v>1590.8464418495482</v>
      </c>
      <c r="I136" s="29">
        <f t="shared" si="16"/>
        <v>1590.8464418495482</v>
      </c>
      <c r="J136" s="29">
        <f t="shared" si="16"/>
        <v>1590.8464418495482</v>
      </c>
      <c r="K136" s="29">
        <f t="shared" si="16"/>
        <v>1590.8464418495482</v>
      </c>
      <c r="L136" s="29">
        <f t="shared" si="16"/>
        <v>1590.8464418495482</v>
      </c>
      <c r="M136" s="29">
        <f t="shared" si="16"/>
        <v>1591.0544987076878</v>
      </c>
      <c r="N136" s="29">
        <f t="shared" si="16"/>
        <v>1591.249191287204</v>
      </c>
    </row>
    <row r="137" spans="1:23">
      <c r="A137" s="25" t="s">
        <v>252</v>
      </c>
      <c r="B137" s="26"/>
      <c r="C137" s="31">
        <f>C136/B136-1</f>
        <v>1.2351269500344495</v>
      </c>
      <c r="D137" s="31">
        <f>D136/C136-1</f>
        <v>0</v>
      </c>
      <c r="E137" s="31">
        <f t="shared" ref="E137:N137" si="17">E136/D136-1</f>
        <v>0</v>
      </c>
      <c r="F137" s="31">
        <f t="shared" si="17"/>
        <v>0</v>
      </c>
      <c r="G137" s="31">
        <f t="shared" si="17"/>
        <v>0</v>
      </c>
      <c r="H137" s="31">
        <f t="shared" si="17"/>
        <v>0</v>
      </c>
      <c r="I137" s="31">
        <f t="shared" si="17"/>
        <v>0</v>
      </c>
      <c r="J137" s="31">
        <f t="shared" si="17"/>
        <v>0</v>
      </c>
      <c r="K137" s="31">
        <f t="shared" si="17"/>
        <v>0</v>
      </c>
      <c r="L137" s="31">
        <f t="shared" si="17"/>
        <v>0</v>
      </c>
      <c r="M137" s="31">
        <f t="shared" si="17"/>
        <v>1.3078374673147763E-4</v>
      </c>
      <c r="N137" s="31">
        <f t="shared" si="17"/>
        <v>1.2236700859347138E-4</v>
      </c>
    </row>
    <row r="139" spans="1:23">
      <c r="A139" s="40" t="s">
        <v>214</v>
      </c>
      <c r="B139" s="17">
        <v>2018</v>
      </c>
      <c r="C139" s="17">
        <v>2019</v>
      </c>
      <c r="D139" s="17">
        <v>2020</v>
      </c>
      <c r="E139" s="17">
        <v>2021</v>
      </c>
      <c r="F139" s="17">
        <v>2022</v>
      </c>
      <c r="G139" s="17">
        <v>2023</v>
      </c>
      <c r="H139" s="17">
        <v>2024</v>
      </c>
      <c r="I139" s="17">
        <v>2025</v>
      </c>
      <c r="J139" s="17">
        <v>2026</v>
      </c>
      <c r="K139" s="17">
        <v>2027</v>
      </c>
      <c r="L139" s="17">
        <v>2028</v>
      </c>
      <c r="M139" s="17">
        <v>2029</v>
      </c>
      <c r="N139" s="17">
        <v>2030</v>
      </c>
    </row>
    <row r="140" spans="1:23">
      <c r="A140" s="25" t="s">
        <v>250</v>
      </c>
      <c r="B140" s="28">
        <f>SUMPRODUCT(B90:B$110,$X$90:$X$110)/10^6</f>
        <v>19.278010195619807</v>
      </c>
      <c r="C140" s="28">
        <f>SUMPRODUCT(C90:C$110,$X$90:$X$110)/10^6</f>
        <v>28.041115814340749</v>
      </c>
      <c r="D140" s="28">
        <f>SUMPRODUCT(D90:D$110,$X$90:$X$110)/10^6</f>
        <v>0</v>
      </c>
      <c r="E140" s="28">
        <f>SUMPRODUCT(E90:E$110,$X$90:$X$110)/10^6</f>
        <v>0</v>
      </c>
      <c r="F140" s="28">
        <f>SUMPRODUCT(F90:F$110,$X$90:$X$110)/10^6</f>
        <v>0</v>
      </c>
      <c r="G140" s="28">
        <f>SUMPRODUCT(G90:G$110,$X$90:$X$110)/10^6</f>
        <v>0</v>
      </c>
      <c r="H140" s="28">
        <f>SUMPRODUCT(H90:H$110,$X$90:$X$110)/10^6</f>
        <v>0</v>
      </c>
      <c r="I140" s="28">
        <f>SUMPRODUCT(I90:I$110,$X$90:$X$110)/10^6</f>
        <v>0</v>
      </c>
      <c r="J140" s="28">
        <f>SUMPRODUCT(J90:J$110,$X$90:$X$110)/10^6</f>
        <v>0</v>
      </c>
      <c r="K140" s="28">
        <f>SUMPRODUCT(K90:K$110,$X$90:$X$110)/10^6</f>
        <v>0</v>
      </c>
      <c r="L140" s="28">
        <f>SUMPRODUCT(L90:L$110,$X$90:$X$110)/10^6</f>
        <v>0</v>
      </c>
      <c r="M140" s="28">
        <f>SUMPRODUCT(M90:M$110,$X$90:$X$110)/10^6</f>
        <v>0.10590340475444897</v>
      </c>
      <c r="N140" s="28">
        <f>SUMPRODUCT(N90:N$110,$X$90:$X$110)/10^6</f>
        <v>0.17047627690687325</v>
      </c>
    </row>
    <row r="141" spans="1:23">
      <c r="A141" s="25" t="s">
        <v>251</v>
      </c>
      <c r="B141" s="30">
        <f>B140</f>
        <v>19.278010195619807</v>
      </c>
      <c r="C141" s="29">
        <f>B141+C140</f>
        <v>47.319126009960556</v>
      </c>
      <c r="D141" s="29">
        <f>C141+D140</f>
        <v>47.319126009960556</v>
      </c>
      <c r="E141" s="29">
        <f t="shared" ref="E141:N141" si="18">D141+E140</f>
        <v>47.319126009960556</v>
      </c>
      <c r="F141" s="29">
        <f t="shared" si="18"/>
        <v>47.319126009960556</v>
      </c>
      <c r="G141" s="29">
        <f t="shared" si="18"/>
        <v>47.319126009960556</v>
      </c>
      <c r="H141" s="29">
        <f t="shared" si="18"/>
        <v>47.319126009960556</v>
      </c>
      <c r="I141" s="29">
        <f t="shared" si="18"/>
        <v>47.319126009960556</v>
      </c>
      <c r="J141" s="29">
        <f t="shared" si="18"/>
        <v>47.319126009960556</v>
      </c>
      <c r="K141" s="29">
        <f t="shared" si="18"/>
        <v>47.319126009960556</v>
      </c>
      <c r="L141" s="29">
        <f t="shared" si="18"/>
        <v>47.319126009960556</v>
      </c>
      <c r="M141" s="29">
        <f t="shared" si="18"/>
        <v>47.425029414715006</v>
      </c>
      <c r="N141" s="29">
        <f t="shared" si="18"/>
        <v>47.595505691621881</v>
      </c>
    </row>
    <row r="142" spans="1:23">
      <c r="A142" s="25" t="s">
        <v>252</v>
      </c>
      <c r="B142" s="26"/>
      <c r="C142" s="31">
        <f>C141/B141-1</f>
        <v>1.4545648399289686</v>
      </c>
      <c r="D142" s="31">
        <f>D141/C141-1</f>
        <v>0</v>
      </c>
      <c r="E142" s="31">
        <f t="shared" ref="E142:N142" si="19">E141/D141-1</f>
        <v>0</v>
      </c>
      <c r="F142" s="31">
        <f t="shared" si="19"/>
        <v>0</v>
      </c>
      <c r="G142" s="31">
        <f t="shared" si="19"/>
        <v>0</v>
      </c>
      <c r="H142" s="31">
        <f t="shared" si="19"/>
        <v>0</v>
      </c>
      <c r="I142" s="31">
        <f t="shared" si="19"/>
        <v>0</v>
      </c>
      <c r="J142" s="31">
        <f t="shared" si="19"/>
        <v>0</v>
      </c>
      <c r="K142" s="31">
        <f t="shared" si="19"/>
        <v>0</v>
      </c>
      <c r="L142" s="31">
        <f t="shared" si="19"/>
        <v>0</v>
      </c>
      <c r="M142" s="31">
        <f t="shared" si="19"/>
        <v>2.2380676416584588E-3</v>
      </c>
      <c r="N142" s="31">
        <f t="shared" si="19"/>
        <v>3.5946477843191715E-3</v>
      </c>
    </row>
  </sheetData>
  <mergeCells count="2">
    <mergeCell ref="B9:L9"/>
    <mergeCell ref="M9:W9"/>
  </mergeCells>
  <dataValidations count="1">
    <dataValidation type="list" allowBlank="1" showInputMessage="1" showErrorMessage="1" sqref="A11:A110" xr:uid="{00000000-0002-0000-0F00-000000000000}">
      <formula1>INDIRECT("Products[LookupCodes]")</formula1>
    </dataValidation>
  </dataValidations>
  <pageMargins left="0.7" right="0.7" top="0.75" bottom="0.75" header="0.3" footer="0.3"/>
  <pageSetup paperSize="9" orientation="portrait"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X143"/>
  <sheetViews>
    <sheetView zoomScale="50" zoomScaleNormal="50" workbookViewId="0">
      <selection activeCell="A5" sqref="A5"/>
    </sheetView>
  </sheetViews>
  <sheetFormatPr defaultColWidth="8.5" defaultRowHeight="15.75"/>
  <cols>
    <col min="1" max="1" width="35.5" bestFit="1" customWidth="1"/>
    <col min="6" max="6" width="12.8125" customWidth="1"/>
    <col min="8" max="8" width="9" bestFit="1" customWidth="1"/>
    <col min="11" max="11" width="11" customWidth="1"/>
    <col min="12" max="12" width="11.5" customWidth="1"/>
    <col min="18" max="18" width="10.8125" customWidth="1"/>
  </cols>
  <sheetData>
    <row r="1" spans="1:24" s="1" customFormat="1" ht="14.25">
      <c r="A1" s="19"/>
    </row>
    <row r="2" spans="1:24" s="1" customFormat="1" ht="18">
      <c r="A2" s="20" t="str">
        <f>'Figures in the Report'!B2</f>
        <v>LightCounting Mega Datacenter Report Database</v>
      </c>
    </row>
    <row r="3" spans="1:24" s="1" customFormat="1">
      <c r="A3" s="21" t="str">
        <f>'Figures in the Report'!B3</f>
        <v xml:space="preserve"> Mega Datacenter Report - July 2023  sample template</v>
      </c>
    </row>
    <row r="4" spans="1:24" s="1" customFormat="1" ht="21">
      <c r="A4" s="22" t="str">
        <f>"Forecast for "&amp;A9</f>
        <v>Forecast for Telecom</v>
      </c>
    </row>
    <row r="5" spans="1:24" s="1" customFormat="1" ht="14.25">
      <c r="A5" s="19"/>
    </row>
    <row r="9" spans="1:24">
      <c r="A9" s="12" t="s">
        <v>220</v>
      </c>
      <c r="B9" s="221" t="s">
        <v>249</v>
      </c>
      <c r="C9" s="221"/>
      <c r="D9" s="221"/>
      <c r="E9" s="221"/>
      <c r="F9" s="221"/>
      <c r="G9" s="221"/>
      <c r="H9" s="221"/>
      <c r="I9" s="221"/>
      <c r="J9" s="221"/>
      <c r="K9" s="221"/>
      <c r="L9" s="221"/>
      <c r="M9" s="222" t="s">
        <v>317</v>
      </c>
      <c r="N9" s="222"/>
      <c r="O9" s="222"/>
      <c r="P9" s="222"/>
      <c r="Q9" s="222"/>
      <c r="R9" s="222"/>
      <c r="S9" s="222"/>
      <c r="T9" s="222"/>
      <c r="U9" s="222"/>
      <c r="V9" s="222"/>
      <c r="W9" s="222"/>
    </row>
    <row r="10" spans="1:24" s="7" customFormat="1" ht="13.15">
      <c r="A10" s="13" t="s">
        <v>342</v>
      </c>
      <c r="B10" s="10" t="s">
        <v>233</v>
      </c>
      <c r="C10" s="10" t="s">
        <v>234</v>
      </c>
      <c r="D10" s="10" t="s">
        <v>235</v>
      </c>
      <c r="E10" s="10" t="s">
        <v>236</v>
      </c>
      <c r="F10" s="10" t="s">
        <v>237</v>
      </c>
      <c r="G10" s="10" t="s">
        <v>238</v>
      </c>
      <c r="H10" s="10" t="s">
        <v>239</v>
      </c>
      <c r="I10" s="10" t="s">
        <v>240</v>
      </c>
      <c r="J10" s="10" t="s">
        <v>241</v>
      </c>
      <c r="K10" s="10" t="s">
        <v>242</v>
      </c>
      <c r="L10" s="10" t="s">
        <v>243</v>
      </c>
      <c r="M10" s="11" t="s">
        <v>318</v>
      </c>
      <c r="N10" s="11" t="s">
        <v>319</v>
      </c>
      <c r="O10" s="11" t="s">
        <v>320</v>
      </c>
      <c r="P10" s="11" t="s">
        <v>321</v>
      </c>
      <c r="Q10" s="11" t="s">
        <v>322</v>
      </c>
      <c r="R10" s="11" t="s">
        <v>323</v>
      </c>
      <c r="S10" s="11" t="s">
        <v>324</v>
      </c>
      <c r="T10" s="11" t="s">
        <v>325</v>
      </c>
      <c r="U10" s="11" t="s">
        <v>326</v>
      </c>
      <c r="V10" s="11" t="s">
        <v>327</v>
      </c>
      <c r="W10" s="11" t="s">
        <v>328</v>
      </c>
      <c r="X10" s="27" t="s">
        <v>253</v>
      </c>
    </row>
    <row r="11" spans="1:24" s="1" customFormat="1">
      <c r="A11" s="15" t="s">
        <v>149</v>
      </c>
      <c r="B11" s="8">
        <v>0</v>
      </c>
      <c r="C11" s="8">
        <v>0</v>
      </c>
      <c r="D11" s="8"/>
      <c r="E11" s="8"/>
      <c r="F11" s="8"/>
      <c r="G11" s="8"/>
      <c r="H11" s="8"/>
      <c r="I11" s="8"/>
      <c r="J11" s="8"/>
      <c r="K11" s="8"/>
      <c r="L11" s="8"/>
      <c r="M11" s="62" cm="1">
        <f t="array" ref="M11">INDEX(tblPrices[cv_2018], MATCH(tblTelecomUnits[[#This Row],[Products]],tblPrices[Products],0), 0)* tblTelecomUnits[[#This Row],[cv_2018]]/10^6</f>
        <v>0</v>
      </c>
      <c r="N11" s="62" cm="1">
        <f t="array" ref="N11">INDEX(tblPrices[cv_2019], MATCH(tblTelecomUnits[[#This Row],[Products]],tblPrices[Products],0), 0)* tblTelecomUnits[[#This Row],[cv_2019]]/10^6</f>
        <v>0</v>
      </c>
      <c r="O11" s="62" cm="1">
        <f t="array" ref="O11">INDEX(tblPrices[cv_2020], MATCH(tblTelecomUnits[[#This Row],[Products]],tblPrices[Products],0), 0)* tblTelecomUnits[[#This Row],[cv_2020]]/10^6</f>
        <v>0</v>
      </c>
      <c r="P11" s="62" cm="1">
        <f t="array" ref="P11">INDEX(tblPrices[cv_2021], MATCH(tblTelecomUnits[[#This Row],[Products]],tblPrices[Products],0), 0)* tblTelecomUnits[[#This Row],[cv_2021]]/10^6</f>
        <v>0</v>
      </c>
      <c r="Q11" s="62" cm="1">
        <f t="array" ref="Q11">INDEX(tblPrices[cv_2022], MATCH(tblTelecomUnits[[#This Row],[Products]],tblPrices[Products],0), 0)* tblTelecomUnits[[#This Row],[cv_2022]]/10^6</f>
        <v>0</v>
      </c>
      <c r="R11" s="62" cm="1">
        <f t="array" ref="R11">INDEX(tblPrices[cv_2023], MATCH(tblTelecomUnits[[#This Row],[Products]],tblPrices[Products],0), 0)* tblTelecomUnits[[#This Row],[cv_2023]]/10^6</f>
        <v>0</v>
      </c>
      <c r="S11" s="62" cm="1">
        <f t="array" ref="S11">INDEX(tblPrices[cv_2024], MATCH(tblTelecomUnits[[#This Row],[Products]],tblPrices[Products],0), 0)* tblTelecomUnits[[#This Row],[cv_2024]]/10^6</f>
        <v>0</v>
      </c>
      <c r="T11" s="62" cm="1">
        <f t="array" ref="T11">INDEX(tblPrices[cv_2025], MATCH(tblTelecomUnits[[#This Row],[Products]],tblPrices[Products],0), 0)* tblTelecomUnits[[#This Row],[cv_2025]]/10^6</f>
        <v>0</v>
      </c>
      <c r="U11" s="62" cm="1">
        <f t="array" ref="U11">INDEX(tblPrices[cv_2026], MATCH(tblTelecomUnits[[#This Row],[Products]],tblPrices[Products],0), 0)* tblTelecomUnits[[#This Row],[cv_2026]]/10^6</f>
        <v>0</v>
      </c>
      <c r="V11" s="62" cm="1">
        <f t="array" ref="V11">INDEX(tblPrices[cv_2027], MATCH(tblTelecomUnits[[#This Row],[Products]],tblPrices[Products],0), 0)* tblTelecomUnits[[#This Row],[cv_2027]]/10^6</f>
        <v>0</v>
      </c>
      <c r="W11" s="62" cm="1">
        <f t="array" ref="W11">INDEX(tblPrices[cv_2028], MATCH(tblTelecomUnits[[#This Row],[Products]],tblPrices[Products],0), 0)* tblTelecomUnits[[#This Row],[cv_2028]]/10^6</f>
        <v>0</v>
      </c>
      <c r="X11" s="1">
        <v>1</v>
      </c>
    </row>
    <row r="12" spans="1:24" s="1" customFormat="1">
      <c r="A12" s="15" t="s">
        <v>150</v>
      </c>
      <c r="B12" s="8">
        <v>1961265.2500000005</v>
      </c>
      <c r="C12" s="8">
        <v>1938764.8800000006</v>
      </c>
      <c r="D12" s="8"/>
      <c r="E12" s="8"/>
      <c r="F12" s="8"/>
      <c r="G12" s="8"/>
      <c r="H12" s="8"/>
      <c r="I12" s="8"/>
      <c r="J12" s="8"/>
      <c r="K12" s="8"/>
      <c r="L12" s="8"/>
      <c r="M12" s="62" cm="1">
        <f t="array" ref="M12">INDEX(tblPrices[cv_2018], MATCH(tblTelecomUnits[[#This Row],[Products]],tblPrices[Products],0), 0)* tblTelecomUnits[[#This Row],[cv_2018]]/10^6</f>
        <v>15.688383020000002</v>
      </c>
      <c r="N12" s="62" cm="1">
        <f t="array" ref="N12">INDEX(tblPrices[cv_2019], MATCH(tblTelecomUnits[[#This Row],[Products]],tblPrices[Products],0), 0)* tblTelecomUnits[[#This Row],[cv_2019]]/10^6</f>
        <v>14.981145941200582</v>
      </c>
      <c r="O12" s="62" cm="1">
        <f t="array" ref="O12">INDEX(tblPrices[cv_2020], MATCH(tblTelecomUnits[[#This Row],[Products]],tblPrices[Products],0), 0)* tblTelecomUnits[[#This Row],[cv_2020]]/10^6</f>
        <v>0</v>
      </c>
      <c r="P12" s="62" cm="1">
        <f t="array" ref="P12">INDEX(tblPrices[cv_2021], MATCH(tblTelecomUnits[[#This Row],[Products]],tblPrices[Products],0), 0)* tblTelecomUnits[[#This Row],[cv_2021]]/10^6</f>
        <v>0</v>
      </c>
      <c r="Q12" s="62" cm="1">
        <f t="array" ref="Q12">INDEX(tblPrices[cv_2022], MATCH(tblTelecomUnits[[#This Row],[Products]],tblPrices[Products],0), 0)* tblTelecomUnits[[#This Row],[cv_2022]]/10^6</f>
        <v>0</v>
      </c>
      <c r="R12" s="62" cm="1">
        <f t="array" ref="R12">INDEX(tblPrices[cv_2023], MATCH(tblTelecomUnits[[#This Row],[Products]],tblPrices[Products],0), 0)* tblTelecomUnits[[#This Row],[cv_2023]]/10^6</f>
        <v>0</v>
      </c>
      <c r="S12" s="62" cm="1">
        <f t="array" ref="S12">INDEX(tblPrices[cv_2024], MATCH(tblTelecomUnits[[#This Row],[Products]],tblPrices[Products],0), 0)* tblTelecomUnits[[#This Row],[cv_2024]]/10^6</f>
        <v>0</v>
      </c>
      <c r="T12" s="62" cm="1">
        <f t="array" ref="T12">INDEX(tblPrices[cv_2025], MATCH(tblTelecomUnits[[#This Row],[Products]],tblPrices[Products],0), 0)* tblTelecomUnits[[#This Row],[cv_2025]]/10^6</f>
        <v>0</v>
      </c>
      <c r="U12" s="62" cm="1">
        <f t="array" ref="U12">INDEX(tblPrices[cv_2026], MATCH(tblTelecomUnits[[#This Row],[Products]],tblPrices[Products],0), 0)* tblTelecomUnits[[#This Row],[cv_2026]]/10^6</f>
        <v>0</v>
      </c>
      <c r="V12" s="62" cm="1">
        <f t="array" ref="V12">INDEX(tblPrices[cv_2027], MATCH(tblTelecomUnits[[#This Row],[Products]],tblPrices[Products],0), 0)* tblTelecomUnits[[#This Row],[cv_2027]]/10^6</f>
        <v>0</v>
      </c>
      <c r="W12" s="62" cm="1">
        <f t="array" ref="W12">INDEX(tblPrices[cv_2028], MATCH(tblTelecomUnits[[#This Row],[Products]],tblPrices[Products],0), 0)* tblTelecomUnits[[#This Row],[cv_2028]]/10^6</f>
        <v>0</v>
      </c>
      <c r="X12" s="1">
        <v>1</v>
      </c>
    </row>
    <row r="13" spans="1:24" s="1" customFormat="1">
      <c r="A13" s="15" t="s">
        <v>151</v>
      </c>
      <c r="B13" s="8">
        <v>508066.5</v>
      </c>
      <c r="C13" s="8">
        <v>426121.5</v>
      </c>
      <c r="D13" s="8"/>
      <c r="E13" s="8"/>
      <c r="F13" s="8"/>
      <c r="G13" s="8"/>
      <c r="H13" s="8"/>
      <c r="I13" s="8"/>
      <c r="J13" s="8"/>
      <c r="K13" s="8"/>
      <c r="L13" s="8"/>
      <c r="M13" s="62" cm="1">
        <f t="array" ref="M13">INDEX(tblPrices[cv_2018], MATCH(tblTelecomUnits[[#This Row],[Products]],tblPrices[Products],0), 0)* tblTelecomUnits[[#This Row],[cv_2018]]/10^6</f>
        <v>5.7695740000000004</v>
      </c>
      <c r="N13" s="62" cm="1">
        <f t="array" ref="N13">INDEX(tblPrices[cv_2019], MATCH(tblTelecomUnits[[#This Row],[Products]],tblPrices[Products],0), 0)* tblTelecomUnits[[#This Row],[cv_2019]]/10^6</f>
        <v>2.8713426698802147</v>
      </c>
      <c r="O13" s="62" cm="1">
        <f t="array" ref="O13">INDEX(tblPrices[cv_2020], MATCH(tblTelecomUnits[[#This Row],[Products]],tblPrices[Products],0), 0)* tblTelecomUnits[[#This Row],[cv_2020]]/10^6</f>
        <v>0</v>
      </c>
      <c r="P13" s="62" cm="1">
        <f t="array" ref="P13">INDEX(tblPrices[cv_2021], MATCH(tblTelecomUnits[[#This Row],[Products]],tblPrices[Products],0), 0)* tblTelecomUnits[[#This Row],[cv_2021]]/10^6</f>
        <v>0</v>
      </c>
      <c r="Q13" s="62" cm="1">
        <f t="array" ref="Q13">INDEX(tblPrices[cv_2022], MATCH(tblTelecomUnits[[#This Row],[Products]],tblPrices[Products],0), 0)* tblTelecomUnits[[#This Row],[cv_2022]]/10^6</f>
        <v>0</v>
      </c>
      <c r="R13" s="62" cm="1">
        <f t="array" ref="R13">INDEX(tblPrices[cv_2023], MATCH(tblTelecomUnits[[#This Row],[Products]],tblPrices[Products],0), 0)* tblTelecomUnits[[#This Row],[cv_2023]]/10^6</f>
        <v>0</v>
      </c>
      <c r="S13" s="62" cm="1">
        <f t="array" ref="S13">INDEX(tblPrices[cv_2024], MATCH(tblTelecomUnits[[#This Row],[Products]],tblPrices[Products],0), 0)* tblTelecomUnits[[#This Row],[cv_2024]]/10^6</f>
        <v>0</v>
      </c>
      <c r="T13" s="62" cm="1">
        <f t="array" ref="T13">INDEX(tblPrices[cv_2025], MATCH(tblTelecomUnits[[#This Row],[Products]],tblPrices[Products],0), 0)* tblTelecomUnits[[#This Row],[cv_2025]]/10^6</f>
        <v>0</v>
      </c>
      <c r="U13" s="62" cm="1">
        <f t="array" ref="U13">INDEX(tblPrices[cv_2026], MATCH(tblTelecomUnits[[#This Row],[Products]],tblPrices[Products],0), 0)* tblTelecomUnits[[#This Row],[cv_2026]]/10^6</f>
        <v>0</v>
      </c>
      <c r="V13" s="62" cm="1">
        <f t="array" ref="V13">INDEX(tblPrices[cv_2027], MATCH(tblTelecomUnits[[#This Row],[Products]],tblPrices[Products],0), 0)* tblTelecomUnits[[#This Row],[cv_2027]]/10^6</f>
        <v>0</v>
      </c>
      <c r="W13" s="62" cm="1">
        <f t="array" ref="W13">INDEX(tblPrices[cv_2028], MATCH(tblTelecomUnits[[#This Row],[Products]],tblPrices[Products],0), 0)* tblTelecomUnits[[#This Row],[cv_2028]]/10^6</f>
        <v>0</v>
      </c>
      <c r="X13" s="1">
        <v>1</v>
      </c>
    </row>
    <row r="14" spans="1:24" s="1" customFormat="1">
      <c r="A14" s="15" t="s">
        <v>152</v>
      </c>
      <c r="B14" s="8">
        <v>515486</v>
      </c>
      <c r="C14" s="8">
        <v>200286</v>
      </c>
      <c r="D14" s="8"/>
      <c r="E14" s="8"/>
      <c r="F14" s="8"/>
      <c r="G14" s="8"/>
      <c r="H14" s="8"/>
      <c r="I14" s="8"/>
      <c r="J14" s="8"/>
      <c r="K14" s="8"/>
      <c r="L14" s="8"/>
      <c r="M14" s="62" cm="1">
        <f t="array" ref="M14">INDEX(tblPrices[cv_2018], MATCH(tblTelecomUnits[[#This Row],[Products]],tblPrices[Products],0), 0)* tblTelecomUnits[[#This Row],[cv_2018]]/10^6</f>
        <v>16.948148</v>
      </c>
      <c r="N14" s="62" cm="1">
        <f t="array" ref="N14">INDEX(tblPrices[cv_2019], MATCH(tblTelecomUnits[[#This Row],[Products]],tblPrices[Products],0), 0)* tblTelecomUnits[[#This Row],[cv_2019]]/10^6</f>
        <v>5.9196285178973715</v>
      </c>
      <c r="O14" s="62" cm="1">
        <f t="array" ref="O14">INDEX(tblPrices[cv_2020], MATCH(tblTelecomUnits[[#This Row],[Products]],tblPrices[Products],0), 0)* tblTelecomUnits[[#This Row],[cv_2020]]/10^6</f>
        <v>0</v>
      </c>
      <c r="P14" s="62" cm="1">
        <f t="array" ref="P14">INDEX(tblPrices[cv_2021], MATCH(tblTelecomUnits[[#This Row],[Products]],tblPrices[Products],0), 0)* tblTelecomUnits[[#This Row],[cv_2021]]/10^6</f>
        <v>0</v>
      </c>
      <c r="Q14" s="62" cm="1">
        <f t="array" ref="Q14">INDEX(tblPrices[cv_2022], MATCH(tblTelecomUnits[[#This Row],[Products]],tblPrices[Products],0), 0)* tblTelecomUnits[[#This Row],[cv_2022]]/10^6</f>
        <v>0</v>
      </c>
      <c r="R14" s="62" cm="1">
        <f t="array" ref="R14">INDEX(tblPrices[cv_2023], MATCH(tblTelecomUnits[[#This Row],[Products]],tblPrices[Products],0), 0)* tblTelecomUnits[[#This Row],[cv_2023]]/10^6</f>
        <v>0</v>
      </c>
      <c r="S14" s="62" cm="1">
        <f t="array" ref="S14">INDEX(tblPrices[cv_2024], MATCH(tblTelecomUnits[[#This Row],[Products]],tblPrices[Products],0), 0)* tblTelecomUnits[[#This Row],[cv_2024]]/10^6</f>
        <v>0</v>
      </c>
      <c r="T14" s="62" cm="1">
        <f t="array" ref="T14">INDEX(tblPrices[cv_2025], MATCH(tblTelecomUnits[[#This Row],[Products]],tblPrices[Products],0), 0)* tblTelecomUnits[[#This Row],[cv_2025]]/10^6</f>
        <v>0</v>
      </c>
      <c r="U14" s="62" cm="1">
        <f t="array" ref="U14">INDEX(tblPrices[cv_2026], MATCH(tblTelecomUnits[[#This Row],[Products]],tblPrices[Products],0), 0)* tblTelecomUnits[[#This Row],[cv_2026]]/10^6</f>
        <v>0</v>
      </c>
      <c r="V14" s="62" cm="1">
        <f t="array" ref="V14">INDEX(tblPrices[cv_2027], MATCH(tblTelecomUnits[[#This Row],[Products]],tblPrices[Products],0), 0)* tblTelecomUnits[[#This Row],[cv_2027]]/10^6</f>
        <v>0</v>
      </c>
      <c r="W14" s="62" cm="1">
        <f t="array" ref="W14">INDEX(tblPrices[cv_2028], MATCH(tblTelecomUnits[[#This Row],[Products]],tblPrices[Products],0), 0)* tblTelecomUnits[[#This Row],[cv_2028]]/10^6</f>
        <v>0</v>
      </c>
      <c r="X14" s="1">
        <v>1</v>
      </c>
    </row>
    <row r="15" spans="1:24" s="1" customFormat="1">
      <c r="A15" s="15" t="s">
        <v>153</v>
      </c>
      <c r="B15" s="8">
        <v>0</v>
      </c>
      <c r="C15" s="8">
        <v>0</v>
      </c>
      <c r="D15" s="8"/>
      <c r="E15" s="8"/>
      <c r="F15" s="8"/>
      <c r="G15" s="8"/>
      <c r="H15" s="8"/>
      <c r="I15" s="8"/>
      <c r="J15" s="8"/>
      <c r="K15" s="8"/>
      <c r="L15" s="8"/>
      <c r="M15" s="62" cm="1">
        <f t="array" ref="M15">INDEX(tblPrices[cv_2018], MATCH(tblTelecomUnits[[#This Row],[Products]],tblPrices[Products],0), 0)* tblTelecomUnits[[#This Row],[cv_2018]]/10^6</f>
        <v>0</v>
      </c>
      <c r="N15" s="62" cm="1">
        <f t="array" ref="N15">INDEX(tblPrices[cv_2019], MATCH(tblTelecomUnits[[#This Row],[Products]],tblPrices[Products],0), 0)* tblTelecomUnits[[#This Row],[cv_2019]]/10^6</f>
        <v>0</v>
      </c>
      <c r="O15" s="62" cm="1">
        <f t="array" ref="O15">INDEX(tblPrices[cv_2020], MATCH(tblTelecomUnits[[#This Row],[Products]],tblPrices[Products],0), 0)* tblTelecomUnits[[#This Row],[cv_2020]]/10^6</f>
        <v>0</v>
      </c>
      <c r="P15" s="62" cm="1">
        <f t="array" ref="P15">INDEX(tblPrices[cv_2021], MATCH(tblTelecomUnits[[#This Row],[Products]],tblPrices[Products],0), 0)* tblTelecomUnits[[#This Row],[cv_2021]]/10^6</f>
        <v>0</v>
      </c>
      <c r="Q15" s="62" cm="1">
        <f t="array" ref="Q15">INDEX(tblPrices[cv_2022], MATCH(tblTelecomUnits[[#This Row],[Products]],tblPrices[Products],0), 0)* tblTelecomUnits[[#This Row],[cv_2022]]/10^6</f>
        <v>0</v>
      </c>
      <c r="R15" s="62" cm="1">
        <f t="array" ref="R15">INDEX(tblPrices[cv_2023], MATCH(tblTelecomUnits[[#This Row],[Products]],tblPrices[Products],0), 0)* tblTelecomUnits[[#This Row],[cv_2023]]/10^6</f>
        <v>0</v>
      </c>
      <c r="S15" s="62" cm="1">
        <f t="array" ref="S15">INDEX(tblPrices[cv_2024], MATCH(tblTelecomUnits[[#This Row],[Products]],tblPrices[Products],0), 0)* tblTelecomUnits[[#This Row],[cv_2024]]/10^6</f>
        <v>0</v>
      </c>
      <c r="T15" s="62" cm="1">
        <f t="array" ref="T15">INDEX(tblPrices[cv_2025], MATCH(tblTelecomUnits[[#This Row],[Products]],tblPrices[Products],0), 0)* tblTelecomUnits[[#This Row],[cv_2025]]/10^6</f>
        <v>0</v>
      </c>
      <c r="U15" s="62" cm="1">
        <f t="array" ref="U15">INDEX(tblPrices[cv_2026], MATCH(tblTelecomUnits[[#This Row],[Products]],tblPrices[Products],0), 0)* tblTelecomUnits[[#This Row],[cv_2026]]/10^6</f>
        <v>0</v>
      </c>
      <c r="V15" s="62" cm="1">
        <f t="array" ref="V15">INDEX(tblPrices[cv_2027], MATCH(tblTelecomUnits[[#This Row],[Products]],tblPrices[Products],0), 0)* tblTelecomUnits[[#This Row],[cv_2027]]/10^6</f>
        <v>0</v>
      </c>
      <c r="W15" s="62" cm="1">
        <f t="array" ref="W15">INDEX(tblPrices[cv_2028], MATCH(tblTelecomUnits[[#This Row],[Products]],tblPrices[Products],0), 0)* tblTelecomUnits[[#This Row],[cv_2028]]/10^6</f>
        <v>0</v>
      </c>
      <c r="X15" s="1">
        <v>1</v>
      </c>
    </row>
    <row r="16" spans="1:24" s="1" customFormat="1">
      <c r="A16" s="15" t="s">
        <v>154</v>
      </c>
      <c r="B16" s="8">
        <v>0</v>
      </c>
      <c r="C16" s="8">
        <v>0</v>
      </c>
      <c r="D16" s="8"/>
      <c r="E16" s="8"/>
      <c r="F16" s="8"/>
      <c r="G16" s="8"/>
      <c r="H16" s="8"/>
      <c r="I16" s="8"/>
      <c r="J16" s="8"/>
      <c r="K16" s="8"/>
      <c r="L16" s="8"/>
      <c r="M16" s="62" cm="1">
        <f t="array" ref="M16">INDEX(tblPrices[cv_2018], MATCH(tblTelecomUnits[[#This Row],[Products]],tblPrices[Products],0), 0)* tblTelecomUnits[[#This Row],[cv_2018]]/10^6</f>
        <v>0</v>
      </c>
      <c r="N16" s="62" cm="1">
        <f t="array" ref="N16">INDEX(tblPrices[cv_2019], MATCH(tblTelecomUnits[[#This Row],[Products]],tblPrices[Products],0), 0)* tblTelecomUnits[[#This Row],[cv_2019]]/10^6</f>
        <v>0</v>
      </c>
      <c r="O16" s="62" cm="1">
        <f t="array" ref="O16">INDEX(tblPrices[cv_2020], MATCH(tblTelecomUnits[[#This Row],[Products]],tblPrices[Products],0), 0)* tblTelecomUnits[[#This Row],[cv_2020]]/10^6</f>
        <v>0</v>
      </c>
      <c r="P16" s="62" cm="1">
        <f t="array" ref="P16">INDEX(tblPrices[cv_2021], MATCH(tblTelecomUnits[[#This Row],[Products]],tblPrices[Products],0), 0)* tblTelecomUnits[[#This Row],[cv_2021]]/10^6</f>
        <v>0</v>
      </c>
      <c r="Q16" s="62" cm="1">
        <f t="array" ref="Q16">INDEX(tblPrices[cv_2022], MATCH(tblTelecomUnits[[#This Row],[Products]],tblPrices[Products],0), 0)* tblTelecomUnits[[#This Row],[cv_2022]]/10^6</f>
        <v>0</v>
      </c>
      <c r="R16" s="62" cm="1">
        <f t="array" ref="R16">INDEX(tblPrices[cv_2023], MATCH(tblTelecomUnits[[#This Row],[Products]],tblPrices[Products],0), 0)* tblTelecomUnits[[#This Row],[cv_2023]]/10^6</f>
        <v>0</v>
      </c>
      <c r="S16" s="62" cm="1">
        <f t="array" ref="S16">INDEX(tblPrices[cv_2024], MATCH(tblTelecomUnits[[#This Row],[Products]],tblPrices[Products],0), 0)* tblTelecomUnits[[#This Row],[cv_2024]]/10^6</f>
        <v>0</v>
      </c>
      <c r="T16" s="62" cm="1">
        <f t="array" ref="T16">INDEX(tblPrices[cv_2025], MATCH(tblTelecomUnits[[#This Row],[Products]],tblPrices[Products],0), 0)* tblTelecomUnits[[#This Row],[cv_2025]]/10^6</f>
        <v>0</v>
      </c>
      <c r="U16" s="62" cm="1">
        <f t="array" ref="U16">INDEX(tblPrices[cv_2026], MATCH(tblTelecomUnits[[#This Row],[Products]],tblPrices[Products],0), 0)* tblTelecomUnits[[#This Row],[cv_2026]]/10^6</f>
        <v>0</v>
      </c>
      <c r="V16" s="62" cm="1">
        <f t="array" ref="V16">INDEX(tblPrices[cv_2027], MATCH(tblTelecomUnits[[#This Row],[Products]],tblPrices[Products],0), 0)* tblTelecomUnits[[#This Row],[cv_2027]]/10^6</f>
        <v>0</v>
      </c>
      <c r="W16" s="62" cm="1">
        <f t="array" ref="W16">INDEX(tblPrices[cv_2028], MATCH(tblTelecomUnits[[#This Row],[Products]],tblPrices[Products],0), 0)* tblTelecomUnits[[#This Row],[cv_2028]]/10^6</f>
        <v>0</v>
      </c>
      <c r="X16" s="1">
        <v>10</v>
      </c>
    </row>
    <row r="17" spans="1:24" s="1" customFormat="1">
      <c r="A17" s="15" t="s">
        <v>155</v>
      </c>
      <c r="B17" s="8">
        <v>0</v>
      </c>
      <c r="C17" s="8">
        <v>0</v>
      </c>
      <c r="D17" s="8"/>
      <c r="E17" s="8"/>
      <c r="F17" s="8"/>
      <c r="G17" s="8"/>
      <c r="H17" s="8"/>
      <c r="I17" s="8"/>
      <c r="J17" s="8"/>
      <c r="K17" s="8"/>
      <c r="L17" s="8"/>
      <c r="M17" s="62" cm="1">
        <f t="array" ref="M17">INDEX(tblPrices[cv_2018], MATCH(tblTelecomUnits[[#This Row],[Products]],tblPrices[Products],0), 0)* tblTelecomUnits[[#This Row],[cv_2018]]/10^6</f>
        <v>0</v>
      </c>
      <c r="N17" s="62" cm="1">
        <f t="array" ref="N17">INDEX(tblPrices[cv_2019], MATCH(tblTelecomUnits[[#This Row],[Products]],tblPrices[Products],0), 0)* tblTelecomUnits[[#This Row],[cv_2019]]/10^6</f>
        <v>0</v>
      </c>
      <c r="O17" s="62" cm="1">
        <f t="array" ref="O17">INDEX(tblPrices[cv_2020], MATCH(tblTelecomUnits[[#This Row],[Products]],tblPrices[Products],0), 0)* tblTelecomUnits[[#This Row],[cv_2020]]/10^6</f>
        <v>0</v>
      </c>
      <c r="P17" s="62" cm="1">
        <f t="array" ref="P17">INDEX(tblPrices[cv_2021], MATCH(tblTelecomUnits[[#This Row],[Products]],tblPrices[Products],0), 0)* tblTelecomUnits[[#This Row],[cv_2021]]/10^6</f>
        <v>0</v>
      </c>
      <c r="Q17" s="62" cm="1">
        <f t="array" ref="Q17">INDEX(tblPrices[cv_2022], MATCH(tblTelecomUnits[[#This Row],[Products]],tblPrices[Products],0), 0)* tblTelecomUnits[[#This Row],[cv_2022]]/10^6</f>
        <v>0</v>
      </c>
      <c r="R17" s="62" cm="1">
        <f t="array" ref="R17">INDEX(tblPrices[cv_2023], MATCH(tblTelecomUnits[[#This Row],[Products]],tblPrices[Products],0), 0)* tblTelecomUnits[[#This Row],[cv_2023]]/10^6</f>
        <v>0</v>
      </c>
      <c r="S17" s="62" cm="1">
        <f t="array" ref="S17">INDEX(tblPrices[cv_2024], MATCH(tblTelecomUnits[[#This Row],[Products]],tblPrices[Products],0), 0)* tblTelecomUnits[[#This Row],[cv_2024]]/10^6</f>
        <v>0</v>
      </c>
      <c r="T17" s="62" cm="1">
        <f t="array" ref="T17">INDEX(tblPrices[cv_2025], MATCH(tblTelecomUnits[[#This Row],[Products]],tblPrices[Products],0), 0)* tblTelecomUnits[[#This Row],[cv_2025]]/10^6</f>
        <v>0</v>
      </c>
      <c r="U17" s="62" cm="1">
        <f t="array" ref="U17">INDEX(tblPrices[cv_2026], MATCH(tblTelecomUnits[[#This Row],[Products]],tblPrices[Products],0), 0)* tblTelecomUnits[[#This Row],[cv_2026]]/10^6</f>
        <v>0</v>
      </c>
      <c r="V17" s="62" cm="1">
        <f t="array" ref="V17">INDEX(tblPrices[cv_2027], MATCH(tblTelecomUnits[[#This Row],[Products]],tblPrices[Products],0), 0)* tblTelecomUnits[[#This Row],[cv_2027]]/10^6</f>
        <v>0</v>
      </c>
      <c r="W17" s="62" cm="1">
        <f t="array" ref="W17">INDEX(tblPrices[cv_2028], MATCH(tblTelecomUnits[[#This Row],[Products]],tblPrices[Products],0), 0)* tblTelecomUnits[[#This Row],[cv_2028]]/10^6</f>
        <v>0</v>
      </c>
      <c r="X17" s="1">
        <v>10</v>
      </c>
    </row>
    <row r="18" spans="1:24" s="1" customFormat="1">
      <c r="A18" s="15" t="s">
        <v>156</v>
      </c>
      <c r="B18" s="8">
        <v>0</v>
      </c>
      <c r="C18" s="8">
        <v>0</v>
      </c>
      <c r="D18" s="8"/>
      <c r="E18" s="8"/>
      <c r="F18" s="8"/>
      <c r="G18" s="8"/>
      <c r="H18" s="8"/>
      <c r="I18" s="8"/>
      <c r="J18" s="8"/>
      <c r="K18" s="8"/>
      <c r="L18" s="8"/>
      <c r="M18" s="62" cm="1">
        <f t="array" ref="M18">INDEX(tblPrices[cv_2018], MATCH(tblTelecomUnits[[#This Row],[Products]],tblPrices[Products],0), 0)* tblTelecomUnits[[#This Row],[cv_2018]]/10^6</f>
        <v>0</v>
      </c>
      <c r="N18" s="62" cm="1">
        <f t="array" ref="N18">INDEX(tblPrices[cv_2019], MATCH(tblTelecomUnits[[#This Row],[Products]],tblPrices[Products],0), 0)* tblTelecomUnits[[#This Row],[cv_2019]]/10^6</f>
        <v>0</v>
      </c>
      <c r="O18" s="62" cm="1">
        <f t="array" ref="O18">INDEX(tblPrices[cv_2020], MATCH(tblTelecomUnits[[#This Row],[Products]],tblPrices[Products],0), 0)* tblTelecomUnits[[#This Row],[cv_2020]]/10^6</f>
        <v>0</v>
      </c>
      <c r="P18" s="62" cm="1">
        <f t="array" ref="P18">INDEX(tblPrices[cv_2021], MATCH(tblTelecomUnits[[#This Row],[Products]],tblPrices[Products],0), 0)* tblTelecomUnits[[#This Row],[cv_2021]]/10^6</f>
        <v>0</v>
      </c>
      <c r="Q18" s="62" cm="1">
        <f t="array" ref="Q18">INDEX(tblPrices[cv_2022], MATCH(tblTelecomUnits[[#This Row],[Products]],tblPrices[Products],0), 0)* tblTelecomUnits[[#This Row],[cv_2022]]/10^6</f>
        <v>0</v>
      </c>
      <c r="R18" s="62" cm="1">
        <f t="array" ref="R18">INDEX(tblPrices[cv_2023], MATCH(tblTelecomUnits[[#This Row],[Products]],tblPrices[Products],0), 0)* tblTelecomUnits[[#This Row],[cv_2023]]/10^6</f>
        <v>0</v>
      </c>
      <c r="S18" s="62" cm="1">
        <f t="array" ref="S18">INDEX(tblPrices[cv_2024], MATCH(tblTelecomUnits[[#This Row],[Products]],tblPrices[Products],0), 0)* tblTelecomUnits[[#This Row],[cv_2024]]/10^6</f>
        <v>0</v>
      </c>
      <c r="T18" s="62" cm="1">
        <f t="array" ref="T18">INDEX(tblPrices[cv_2025], MATCH(tblTelecomUnits[[#This Row],[Products]],tblPrices[Products],0), 0)* tblTelecomUnits[[#This Row],[cv_2025]]/10^6</f>
        <v>0</v>
      </c>
      <c r="U18" s="62" cm="1">
        <f t="array" ref="U18">INDEX(tblPrices[cv_2026], MATCH(tblTelecomUnits[[#This Row],[Products]],tblPrices[Products],0), 0)* tblTelecomUnits[[#This Row],[cv_2026]]/10^6</f>
        <v>0</v>
      </c>
      <c r="V18" s="62" cm="1">
        <f t="array" ref="V18">INDEX(tblPrices[cv_2027], MATCH(tblTelecomUnits[[#This Row],[Products]],tblPrices[Products],0), 0)* tblTelecomUnits[[#This Row],[cv_2027]]/10^6</f>
        <v>0</v>
      </c>
      <c r="W18" s="62" cm="1">
        <f t="array" ref="W18">INDEX(tblPrices[cv_2028], MATCH(tblTelecomUnits[[#This Row],[Products]],tblPrices[Products],0), 0)* tblTelecomUnits[[#This Row],[cv_2028]]/10^6</f>
        <v>0</v>
      </c>
      <c r="X18" s="1">
        <v>10</v>
      </c>
    </row>
    <row r="19" spans="1:24" s="1" customFormat="1">
      <c r="A19" s="15" t="s">
        <v>157</v>
      </c>
      <c r="B19" s="8">
        <v>138882.79999999999</v>
      </c>
      <c r="C19" s="8">
        <v>133514.5</v>
      </c>
      <c r="D19" s="8"/>
      <c r="E19" s="8"/>
      <c r="F19" s="8"/>
      <c r="G19" s="8"/>
      <c r="H19" s="8"/>
      <c r="I19" s="8"/>
      <c r="J19" s="8"/>
      <c r="K19" s="8"/>
      <c r="L19" s="8"/>
      <c r="M19" s="62" cm="1">
        <f t="array" ref="M19">INDEX(tblPrices[cv_2018], MATCH(tblTelecomUnits[[#This Row],[Products]],tblPrices[Products],0), 0)* tblTelecomUnits[[#This Row],[cv_2018]]/10^6</f>
        <v>6.1126548687697664</v>
      </c>
      <c r="N19" s="62" cm="1">
        <f t="array" ref="N19">INDEX(tblPrices[cv_2019], MATCH(tblTelecomUnits[[#This Row],[Products]],tblPrices[Products],0), 0)* tblTelecomUnits[[#This Row],[cv_2019]]/10^6</f>
        <v>5.4740944999999996</v>
      </c>
      <c r="O19" s="62" cm="1">
        <f t="array" ref="O19">INDEX(tblPrices[cv_2020], MATCH(tblTelecomUnits[[#This Row],[Products]],tblPrices[Products],0), 0)* tblTelecomUnits[[#This Row],[cv_2020]]/10^6</f>
        <v>0</v>
      </c>
      <c r="P19" s="62" cm="1">
        <f t="array" ref="P19">INDEX(tblPrices[cv_2021], MATCH(tblTelecomUnits[[#This Row],[Products]],tblPrices[Products],0), 0)* tblTelecomUnits[[#This Row],[cv_2021]]/10^6</f>
        <v>0</v>
      </c>
      <c r="Q19" s="62" cm="1">
        <f t="array" ref="Q19">INDEX(tblPrices[cv_2022], MATCH(tblTelecomUnits[[#This Row],[Products]],tblPrices[Products],0), 0)* tblTelecomUnits[[#This Row],[cv_2022]]/10^6</f>
        <v>0</v>
      </c>
      <c r="R19" s="62" cm="1">
        <f t="array" ref="R19">INDEX(tblPrices[cv_2023], MATCH(tblTelecomUnits[[#This Row],[Products]],tblPrices[Products],0), 0)* tblTelecomUnits[[#This Row],[cv_2023]]/10^6</f>
        <v>0</v>
      </c>
      <c r="S19" s="62" cm="1">
        <f t="array" ref="S19">INDEX(tblPrices[cv_2024], MATCH(tblTelecomUnits[[#This Row],[Products]],tblPrices[Products],0), 0)* tblTelecomUnits[[#This Row],[cv_2024]]/10^6</f>
        <v>0</v>
      </c>
      <c r="T19" s="62" cm="1">
        <f t="array" ref="T19">INDEX(tblPrices[cv_2025], MATCH(tblTelecomUnits[[#This Row],[Products]],tblPrices[Products],0), 0)* tblTelecomUnits[[#This Row],[cv_2025]]/10^6</f>
        <v>0</v>
      </c>
      <c r="U19" s="62" cm="1">
        <f t="array" ref="U19">INDEX(tblPrices[cv_2026], MATCH(tblTelecomUnits[[#This Row],[Products]],tblPrices[Products],0), 0)* tblTelecomUnits[[#This Row],[cv_2026]]/10^6</f>
        <v>0</v>
      </c>
      <c r="V19" s="62" cm="1">
        <f t="array" ref="V19">INDEX(tblPrices[cv_2027], MATCH(tblTelecomUnits[[#This Row],[Products]],tblPrices[Products],0), 0)* tblTelecomUnits[[#This Row],[cv_2027]]/10^6</f>
        <v>0</v>
      </c>
      <c r="W19" s="62" cm="1">
        <f t="array" ref="W19">INDEX(tblPrices[cv_2028], MATCH(tblTelecomUnits[[#This Row],[Products]],tblPrices[Products],0), 0)* tblTelecomUnits[[#This Row],[cv_2028]]/10^6</f>
        <v>0</v>
      </c>
      <c r="X19" s="1">
        <v>10</v>
      </c>
    </row>
    <row r="20" spans="1:24" s="1" customFormat="1">
      <c r="A20" s="15" t="s">
        <v>158</v>
      </c>
      <c r="B20" s="8">
        <v>1722213.75</v>
      </c>
      <c r="C20" s="8">
        <v>1322668</v>
      </c>
      <c r="D20" s="8"/>
      <c r="E20" s="8"/>
      <c r="F20" s="8"/>
      <c r="G20" s="8"/>
      <c r="H20" s="8"/>
      <c r="I20" s="8"/>
      <c r="J20" s="8"/>
      <c r="K20" s="8"/>
      <c r="L20" s="8"/>
      <c r="M20" s="62" cm="1">
        <f t="array" ref="M20">INDEX(tblPrices[cv_2018], MATCH(tblTelecomUnits[[#This Row],[Products]],tblPrices[Products],0), 0)* tblTelecomUnits[[#This Row],[cv_2018]]/10^6</f>
        <v>41.633685667866175</v>
      </c>
      <c r="N20" s="62" cm="1">
        <f t="array" ref="N20">INDEX(tblPrices[cv_2019], MATCH(tblTelecomUnits[[#This Row],[Products]],tblPrices[Products],0), 0)* tblTelecomUnits[[#This Row],[cv_2019]]/10^6</f>
        <v>28.60560921283216</v>
      </c>
      <c r="O20" s="62" cm="1">
        <f t="array" ref="O20">INDEX(tblPrices[cv_2020], MATCH(tblTelecomUnits[[#This Row],[Products]],tblPrices[Products],0), 0)* tblTelecomUnits[[#This Row],[cv_2020]]/10^6</f>
        <v>0</v>
      </c>
      <c r="P20" s="62" cm="1">
        <f t="array" ref="P20">INDEX(tblPrices[cv_2021], MATCH(tblTelecomUnits[[#This Row],[Products]],tblPrices[Products],0), 0)* tblTelecomUnits[[#This Row],[cv_2021]]/10^6</f>
        <v>0</v>
      </c>
      <c r="Q20" s="62" cm="1">
        <f t="array" ref="Q20">INDEX(tblPrices[cv_2022], MATCH(tblTelecomUnits[[#This Row],[Products]],tblPrices[Products],0), 0)* tblTelecomUnits[[#This Row],[cv_2022]]/10^6</f>
        <v>0</v>
      </c>
      <c r="R20" s="62" cm="1">
        <f t="array" ref="R20">INDEX(tblPrices[cv_2023], MATCH(tblTelecomUnits[[#This Row],[Products]],tblPrices[Products],0), 0)* tblTelecomUnits[[#This Row],[cv_2023]]/10^6</f>
        <v>0</v>
      </c>
      <c r="S20" s="62" cm="1">
        <f t="array" ref="S20">INDEX(tblPrices[cv_2024], MATCH(tblTelecomUnits[[#This Row],[Products]],tblPrices[Products],0), 0)* tblTelecomUnits[[#This Row],[cv_2024]]/10^6</f>
        <v>0</v>
      </c>
      <c r="T20" s="62" cm="1">
        <f t="array" ref="T20">INDEX(tblPrices[cv_2025], MATCH(tblTelecomUnits[[#This Row],[Products]],tblPrices[Products],0), 0)* tblTelecomUnits[[#This Row],[cv_2025]]/10^6</f>
        <v>0</v>
      </c>
      <c r="U20" s="62" cm="1">
        <f t="array" ref="U20">INDEX(tblPrices[cv_2026], MATCH(tblTelecomUnits[[#This Row],[Products]],tblPrices[Products],0), 0)* tblTelecomUnits[[#This Row],[cv_2026]]/10^6</f>
        <v>0</v>
      </c>
      <c r="V20" s="62" cm="1">
        <f t="array" ref="V20">INDEX(tblPrices[cv_2027], MATCH(tblTelecomUnits[[#This Row],[Products]],tblPrices[Products],0), 0)* tblTelecomUnits[[#This Row],[cv_2027]]/10^6</f>
        <v>0</v>
      </c>
      <c r="W20" s="62" cm="1">
        <f t="array" ref="W20">INDEX(tblPrices[cv_2028], MATCH(tblTelecomUnits[[#This Row],[Products]],tblPrices[Products],0), 0)* tblTelecomUnits[[#This Row],[cv_2028]]/10^6</f>
        <v>0</v>
      </c>
      <c r="X20" s="1">
        <v>10</v>
      </c>
    </row>
    <row r="21" spans="1:24" s="1" customFormat="1">
      <c r="A21" s="15" t="s">
        <v>159</v>
      </c>
      <c r="B21" s="8">
        <v>125015.20000000001</v>
      </c>
      <c r="C21" s="8">
        <v>52680</v>
      </c>
      <c r="D21" s="8"/>
      <c r="E21" s="8"/>
      <c r="F21" s="8"/>
      <c r="G21" s="8"/>
      <c r="H21" s="8"/>
      <c r="I21" s="8"/>
      <c r="J21" s="8"/>
      <c r="K21" s="8"/>
      <c r="L21" s="8"/>
      <c r="M21" s="62" cm="1">
        <f t="array" ref="M21">INDEX(tblPrices[cv_2018], MATCH(tblTelecomUnits[[#This Row],[Products]],tblPrices[Products],0), 0)* tblTelecomUnits[[#This Row],[cv_2018]]/10^6</f>
        <v>14.960181659357952</v>
      </c>
      <c r="N21" s="62" cm="1">
        <f t="array" ref="N21">INDEX(tblPrices[cv_2019], MATCH(tblTelecomUnits[[#This Row],[Products]],tblPrices[Products],0), 0)* tblTelecomUnits[[#This Row],[cv_2019]]/10^6</f>
        <v>6.2952962388270617</v>
      </c>
      <c r="O21" s="62" cm="1">
        <f t="array" ref="O21">INDEX(tblPrices[cv_2020], MATCH(tblTelecomUnits[[#This Row],[Products]],tblPrices[Products],0), 0)* tblTelecomUnits[[#This Row],[cv_2020]]/10^6</f>
        <v>0</v>
      </c>
      <c r="P21" s="62" cm="1">
        <f t="array" ref="P21">INDEX(tblPrices[cv_2021], MATCH(tblTelecomUnits[[#This Row],[Products]],tblPrices[Products],0), 0)* tblTelecomUnits[[#This Row],[cv_2021]]/10^6</f>
        <v>0</v>
      </c>
      <c r="Q21" s="62" cm="1">
        <f t="array" ref="Q21">INDEX(tblPrices[cv_2022], MATCH(tblTelecomUnits[[#This Row],[Products]],tblPrices[Products],0), 0)* tblTelecomUnits[[#This Row],[cv_2022]]/10^6</f>
        <v>0</v>
      </c>
      <c r="R21" s="62" cm="1">
        <f t="array" ref="R21">INDEX(tblPrices[cv_2023], MATCH(tblTelecomUnits[[#This Row],[Products]],tblPrices[Products],0), 0)* tblTelecomUnits[[#This Row],[cv_2023]]/10^6</f>
        <v>0</v>
      </c>
      <c r="S21" s="62" cm="1">
        <f t="array" ref="S21">INDEX(tblPrices[cv_2024], MATCH(tblTelecomUnits[[#This Row],[Products]],tblPrices[Products],0), 0)* tblTelecomUnits[[#This Row],[cv_2024]]/10^6</f>
        <v>0</v>
      </c>
      <c r="T21" s="62" cm="1">
        <f t="array" ref="T21">INDEX(tblPrices[cv_2025], MATCH(tblTelecomUnits[[#This Row],[Products]],tblPrices[Products],0), 0)* tblTelecomUnits[[#This Row],[cv_2025]]/10^6</f>
        <v>0</v>
      </c>
      <c r="U21" s="62" cm="1">
        <f t="array" ref="U21">INDEX(tblPrices[cv_2026], MATCH(tblTelecomUnits[[#This Row],[Products]],tblPrices[Products],0), 0)* tblTelecomUnits[[#This Row],[cv_2026]]/10^6</f>
        <v>0</v>
      </c>
      <c r="V21" s="62" cm="1">
        <f t="array" ref="V21">INDEX(tblPrices[cv_2027], MATCH(tblTelecomUnits[[#This Row],[Products]],tblPrices[Products],0), 0)* tblTelecomUnits[[#This Row],[cv_2027]]/10^6</f>
        <v>0</v>
      </c>
      <c r="W21" s="62" cm="1">
        <f t="array" ref="W21">INDEX(tblPrices[cv_2028], MATCH(tblTelecomUnits[[#This Row],[Products]],tblPrices[Products],0), 0)* tblTelecomUnits[[#This Row],[cv_2028]]/10^6</f>
        <v>0</v>
      </c>
      <c r="X21" s="1">
        <v>10</v>
      </c>
    </row>
    <row r="22" spans="1:24" s="1" customFormat="1">
      <c r="A22" s="15" t="s">
        <v>160</v>
      </c>
      <c r="B22" s="8">
        <v>379296.11999999994</v>
      </c>
      <c r="C22" s="8">
        <v>226567.59999999998</v>
      </c>
      <c r="D22" s="8"/>
      <c r="E22" s="8"/>
      <c r="F22" s="8"/>
      <c r="G22" s="8"/>
      <c r="H22" s="8"/>
      <c r="I22" s="8"/>
      <c r="J22" s="8"/>
      <c r="K22" s="8"/>
      <c r="L22" s="8"/>
      <c r="M22" s="62" cm="1">
        <f t="array" ref="M22">INDEX(tblPrices[cv_2018], MATCH(tblTelecomUnits[[#This Row],[Products]],tblPrices[Products],0), 0)* tblTelecomUnits[[#This Row],[cv_2018]]/10^6</f>
        <v>37.915849000810525</v>
      </c>
      <c r="N22" s="62" cm="1">
        <f t="array" ref="N22">INDEX(tblPrices[cv_2019], MATCH(tblTelecomUnits[[#This Row],[Products]],tblPrices[Products],0), 0)* tblTelecomUnits[[#This Row],[cv_2019]]/10^6</f>
        <v>14.957267514184363</v>
      </c>
      <c r="O22" s="62" cm="1">
        <f t="array" ref="O22">INDEX(tblPrices[cv_2020], MATCH(tblTelecomUnits[[#This Row],[Products]],tblPrices[Products],0), 0)* tblTelecomUnits[[#This Row],[cv_2020]]/10^6</f>
        <v>0</v>
      </c>
      <c r="P22" s="62" cm="1">
        <f t="array" ref="P22">INDEX(tblPrices[cv_2021], MATCH(tblTelecomUnits[[#This Row],[Products]],tblPrices[Products],0), 0)* tblTelecomUnits[[#This Row],[cv_2021]]/10^6</f>
        <v>0</v>
      </c>
      <c r="Q22" s="62" cm="1">
        <f t="array" ref="Q22">INDEX(tblPrices[cv_2022], MATCH(tblTelecomUnits[[#This Row],[Products]],tblPrices[Products],0), 0)* tblTelecomUnits[[#This Row],[cv_2022]]/10^6</f>
        <v>0</v>
      </c>
      <c r="R22" s="62" cm="1">
        <f t="array" ref="R22">INDEX(tblPrices[cv_2023], MATCH(tblTelecomUnits[[#This Row],[Products]],tblPrices[Products],0), 0)* tblTelecomUnits[[#This Row],[cv_2023]]/10^6</f>
        <v>0</v>
      </c>
      <c r="S22" s="62" cm="1">
        <f t="array" ref="S22">INDEX(tblPrices[cv_2024], MATCH(tblTelecomUnits[[#This Row],[Products]],tblPrices[Products],0), 0)* tblTelecomUnits[[#This Row],[cv_2024]]/10^6</f>
        <v>0</v>
      </c>
      <c r="T22" s="62" cm="1">
        <f t="array" ref="T22">INDEX(tblPrices[cv_2025], MATCH(tblTelecomUnits[[#This Row],[Products]],tblPrices[Products],0), 0)* tblTelecomUnits[[#This Row],[cv_2025]]/10^6</f>
        <v>0</v>
      </c>
      <c r="U22" s="62" cm="1">
        <f t="array" ref="U22">INDEX(tblPrices[cv_2026], MATCH(tblTelecomUnits[[#This Row],[Products]],tblPrices[Products],0), 0)* tblTelecomUnits[[#This Row],[cv_2026]]/10^6</f>
        <v>0</v>
      </c>
      <c r="V22" s="62" cm="1">
        <f t="array" ref="V22">INDEX(tblPrices[cv_2027], MATCH(tblTelecomUnits[[#This Row],[Products]],tblPrices[Products],0), 0)* tblTelecomUnits[[#This Row],[cv_2027]]/10^6</f>
        <v>0</v>
      </c>
      <c r="W22" s="62" cm="1">
        <f t="array" ref="W22">INDEX(tblPrices[cv_2028], MATCH(tblTelecomUnits[[#This Row],[Products]],tblPrices[Products],0), 0)* tblTelecomUnits[[#This Row],[cv_2028]]/10^6</f>
        <v>0</v>
      </c>
      <c r="X22" s="1">
        <v>10</v>
      </c>
    </row>
    <row r="23" spans="1:24" s="1" customFormat="1">
      <c r="A23" s="15" t="s">
        <v>161</v>
      </c>
      <c r="B23" s="8">
        <v>9982</v>
      </c>
      <c r="C23" s="8">
        <v>2890</v>
      </c>
      <c r="D23" s="8"/>
      <c r="E23" s="8"/>
      <c r="F23" s="8"/>
      <c r="G23" s="8"/>
      <c r="H23" s="8"/>
      <c r="I23" s="8"/>
      <c r="J23" s="8"/>
      <c r="K23" s="8"/>
      <c r="L23" s="8"/>
      <c r="M23" s="62" cm="1">
        <f t="array" ref="M23">INDEX(tblPrices[cv_2018], MATCH(tblTelecomUnits[[#This Row],[Products]],tblPrices[Products],0), 0)* tblTelecomUnits[[#This Row],[cv_2018]]/10^6</f>
        <v>2.9799696693860023</v>
      </c>
      <c r="N23" s="62" cm="1">
        <f t="array" ref="N23">INDEX(tblPrices[cv_2019], MATCH(tblTelecomUnits[[#This Row],[Products]],tblPrices[Products],0), 0)* tblTelecomUnits[[#This Row],[cv_2019]]/10^6</f>
        <v>0.98199856990558521</v>
      </c>
      <c r="O23" s="62" cm="1">
        <f t="array" ref="O23">INDEX(tblPrices[cv_2020], MATCH(tblTelecomUnits[[#This Row],[Products]],tblPrices[Products],0), 0)* tblTelecomUnits[[#This Row],[cv_2020]]/10^6</f>
        <v>0</v>
      </c>
      <c r="P23" s="62" cm="1">
        <f t="array" ref="P23">INDEX(tblPrices[cv_2021], MATCH(tblTelecomUnits[[#This Row],[Products]],tblPrices[Products],0), 0)* tblTelecomUnits[[#This Row],[cv_2021]]/10^6</f>
        <v>0</v>
      </c>
      <c r="Q23" s="62" cm="1">
        <f t="array" ref="Q23">INDEX(tblPrices[cv_2022], MATCH(tblTelecomUnits[[#This Row],[Products]],tblPrices[Products],0), 0)* tblTelecomUnits[[#This Row],[cv_2022]]/10^6</f>
        <v>0</v>
      </c>
      <c r="R23" s="62" cm="1">
        <f t="array" ref="R23">INDEX(tblPrices[cv_2023], MATCH(tblTelecomUnits[[#This Row],[Products]],tblPrices[Products],0), 0)* tblTelecomUnits[[#This Row],[cv_2023]]/10^6</f>
        <v>0</v>
      </c>
      <c r="S23" s="62" cm="1">
        <f t="array" ref="S23">INDEX(tblPrices[cv_2024], MATCH(tblTelecomUnits[[#This Row],[Products]],tblPrices[Products],0), 0)* tblTelecomUnits[[#This Row],[cv_2024]]/10^6</f>
        <v>0</v>
      </c>
      <c r="T23" s="62" cm="1">
        <f t="array" ref="T23">INDEX(tblPrices[cv_2025], MATCH(tblTelecomUnits[[#This Row],[Products]],tblPrices[Products],0), 0)* tblTelecomUnits[[#This Row],[cv_2025]]/10^6</f>
        <v>0</v>
      </c>
      <c r="U23" s="62" cm="1">
        <f t="array" ref="U23">INDEX(tblPrices[cv_2026], MATCH(tblTelecomUnits[[#This Row],[Products]],tblPrices[Products],0), 0)* tblTelecomUnits[[#This Row],[cv_2026]]/10^6</f>
        <v>0</v>
      </c>
      <c r="V23" s="62" cm="1">
        <f t="array" ref="V23">INDEX(tblPrices[cv_2027], MATCH(tblTelecomUnits[[#This Row],[Products]],tblPrices[Products],0), 0)* tblTelecomUnits[[#This Row],[cv_2027]]/10^6</f>
        <v>0</v>
      </c>
      <c r="W23" s="62" cm="1">
        <f t="array" ref="W23">INDEX(tblPrices[cv_2028], MATCH(tblTelecomUnits[[#This Row],[Products]],tblPrices[Products],0), 0)* tblTelecomUnits[[#This Row],[cv_2028]]/10^6</f>
        <v>0</v>
      </c>
      <c r="X23" s="1">
        <v>10</v>
      </c>
    </row>
    <row r="24" spans="1:24" s="1" customFormat="1">
      <c r="A24" s="15" t="s">
        <v>162</v>
      </c>
      <c r="B24" s="8">
        <v>137379.5</v>
      </c>
      <c r="C24" s="8">
        <v>114319</v>
      </c>
      <c r="D24" s="8"/>
      <c r="E24" s="8"/>
      <c r="F24" s="8"/>
      <c r="G24" s="8"/>
      <c r="H24" s="8"/>
      <c r="I24" s="8"/>
      <c r="J24" s="8"/>
      <c r="K24" s="8"/>
      <c r="L24" s="8"/>
      <c r="M24" s="62" cm="1">
        <f t="array" ref="M24">INDEX(tblPrices[cv_2018], MATCH(tblTelecomUnits[[#This Row],[Products]],tblPrices[Products],0), 0)* tblTelecomUnits[[#This Row],[cv_2018]]/10^6</f>
        <v>31.88064561095899</v>
      </c>
      <c r="N24" s="62" cm="1">
        <f t="array" ref="N24">INDEX(tblPrices[cv_2019], MATCH(tblTelecomUnits[[#This Row],[Products]],tblPrices[Products],0), 0)* tblTelecomUnits[[#This Row],[cv_2019]]/10^6</f>
        <v>24.00613644011074</v>
      </c>
      <c r="O24" s="62" cm="1">
        <f t="array" ref="O24">INDEX(tblPrices[cv_2020], MATCH(tblTelecomUnits[[#This Row],[Products]],tblPrices[Products],0), 0)* tblTelecomUnits[[#This Row],[cv_2020]]/10^6</f>
        <v>0</v>
      </c>
      <c r="P24" s="62" cm="1">
        <f t="array" ref="P24">INDEX(tblPrices[cv_2021], MATCH(tblTelecomUnits[[#This Row],[Products]],tblPrices[Products],0), 0)* tblTelecomUnits[[#This Row],[cv_2021]]/10^6</f>
        <v>0</v>
      </c>
      <c r="Q24" s="62" cm="1">
        <f t="array" ref="Q24">INDEX(tblPrices[cv_2022], MATCH(tblTelecomUnits[[#This Row],[Products]],tblPrices[Products],0), 0)* tblTelecomUnits[[#This Row],[cv_2022]]/10^6</f>
        <v>0</v>
      </c>
      <c r="R24" s="62" cm="1">
        <f t="array" ref="R24">INDEX(tblPrices[cv_2023], MATCH(tblTelecomUnits[[#This Row],[Products]],tblPrices[Products],0), 0)* tblTelecomUnits[[#This Row],[cv_2023]]/10^6</f>
        <v>0</v>
      </c>
      <c r="S24" s="62" cm="1">
        <f t="array" ref="S24">INDEX(tblPrices[cv_2024], MATCH(tblTelecomUnits[[#This Row],[Products]],tblPrices[Products],0), 0)* tblTelecomUnits[[#This Row],[cv_2024]]/10^6</f>
        <v>0</v>
      </c>
      <c r="T24" s="62" cm="1">
        <f t="array" ref="T24">INDEX(tblPrices[cv_2025], MATCH(tblTelecomUnits[[#This Row],[Products]],tblPrices[Products],0), 0)* tblTelecomUnits[[#This Row],[cv_2025]]/10^6</f>
        <v>0</v>
      </c>
      <c r="U24" s="62" cm="1">
        <f t="array" ref="U24">INDEX(tblPrices[cv_2026], MATCH(tblTelecomUnits[[#This Row],[Products]],tblPrices[Products],0), 0)* tblTelecomUnits[[#This Row],[cv_2026]]/10^6</f>
        <v>0</v>
      </c>
      <c r="V24" s="62" cm="1">
        <f t="array" ref="V24">INDEX(tblPrices[cv_2027], MATCH(tblTelecomUnits[[#This Row],[Products]],tblPrices[Products],0), 0)* tblTelecomUnits[[#This Row],[cv_2027]]/10^6</f>
        <v>0</v>
      </c>
      <c r="W24" s="62" cm="1">
        <f t="array" ref="W24">INDEX(tblPrices[cv_2028], MATCH(tblTelecomUnits[[#This Row],[Products]],tblPrices[Products],0), 0)* tblTelecomUnits[[#This Row],[cv_2028]]/10^6</f>
        <v>0</v>
      </c>
      <c r="X24" s="1">
        <v>10</v>
      </c>
    </row>
    <row r="25" spans="1:24" s="1" customFormat="1">
      <c r="A25" s="15" t="s">
        <v>163</v>
      </c>
      <c r="B25" s="8">
        <v>1750</v>
      </c>
      <c r="C25" s="8">
        <v>2500</v>
      </c>
      <c r="D25" s="8"/>
      <c r="E25" s="8"/>
      <c r="F25" s="8"/>
      <c r="G25" s="8"/>
      <c r="H25" s="8"/>
      <c r="I25" s="8"/>
      <c r="J25" s="8"/>
      <c r="K25" s="8"/>
      <c r="L25" s="8"/>
      <c r="M25" s="62" cm="1">
        <f t="array" ref="M25">INDEX(tblPrices[cv_2018], MATCH(tblTelecomUnits[[#This Row],[Products]],tblPrices[Products],0), 0)* tblTelecomUnits[[#This Row],[cv_2018]]/10^6</f>
        <v>0.2</v>
      </c>
      <c r="N25" s="62" cm="1">
        <f t="array" ref="N25">INDEX(tblPrices[cv_2019], MATCH(tblTelecomUnits[[#This Row],[Products]],tblPrices[Products],0), 0)* tblTelecomUnits[[#This Row],[cv_2019]]/10^6</f>
        <v>0.3</v>
      </c>
      <c r="O25" s="62" cm="1">
        <f t="array" ref="O25">INDEX(tblPrices[cv_2020], MATCH(tblTelecomUnits[[#This Row],[Products]],tblPrices[Products],0), 0)* tblTelecomUnits[[#This Row],[cv_2020]]/10^6</f>
        <v>0</v>
      </c>
      <c r="P25" s="62" cm="1">
        <f t="array" ref="P25">INDEX(tblPrices[cv_2021], MATCH(tblTelecomUnits[[#This Row],[Products]],tblPrices[Products],0), 0)* tblTelecomUnits[[#This Row],[cv_2021]]/10^6</f>
        <v>0</v>
      </c>
      <c r="Q25" s="62" cm="1">
        <f t="array" ref="Q25">INDEX(tblPrices[cv_2022], MATCH(tblTelecomUnits[[#This Row],[Products]],tblPrices[Products],0), 0)* tblTelecomUnits[[#This Row],[cv_2022]]/10^6</f>
        <v>0</v>
      </c>
      <c r="R25" s="62" cm="1">
        <f t="array" ref="R25">INDEX(tblPrices[cv_2023], MATCH(tblTelecomUnits[[#This Row],[Products]],tblPrices[Products],0), 0)* tblTelecomUnits[[#This Row],[cv_2023]]/10^6</f>
        <v>0</v>
      </c>
      <c r="S25" s="62" cm="1">
        <f t="array" ref="S25">INDEX(tblPrices[cv_2024], MATCH(tblTelecomUnits[[#This Row],[Products]],tblPrices[Products],0), 0)* tblTelecomUnits[[#This Row],[cv_2024]]/10^6</f>
        <v>0</v>
      </c>
      <c r="T25" s="62" cm="1">
        <f t="array" ref="T25">INDEX(tblPrices[cv_2025], MATCH(tblTelecomUnits[[#This Row],[Products]],tblPrices[Products],0), 0)* tblTelecomUnits[[#This Row],[cv_2025]]/10^6</f>
        <v>0</v>
      </c>
      <c r="U25" s="62" cm="1">
        <f t="array" ref="U25">INDEX(tblPrices[cv_2026], MATCH(tblTelecomUnits[[#This Row],[Products]],tblPrices[Products],0), 0)* tblTelecomUnits[[#This Row],[cv_2026]]/10^6</f>
        <v>0</v>
      </c>
      <c r="V25" s="62" cm="1">
        <f t="array" ref="V25">INDEX(tblPrices[cv_2027], MATCH(tblTelecomUnits[[#This Row],[Products]],tblPrices[Products],0), 0)* tblTelecomUnits[[#This Row],[cv_2027]]/10^6</f>
        <v>0</v>
      </c>
      <c r="W25" s="62" cm="1">
        <f t="array" ref="W25">INDEX(tblPrices[cv_2028], MATCH(tblTelecomUnits[[#This Row],[Products]],tblPrices[Products],0), 0)* tblTelecomUnits[[#This Row],[cv_2028]]/10^6</f>
        <v>0</v>
      </c>
      <c r="X25" s="1">
        <v>10</v>
      </c>
    </row>
    <row r="26" spans="1:24" s="1" customFormat="1">
      <c r="A26" s="15" t="s">
        <v>164</v>
      </c>
      <c r="B26" s="8">
        <v>0</v>
      </c>
      <c r="C26" s="8">
        <v>0</v>
      </c>
      <c r="D26" s="8"/>
      <c r="E26" s="8"/>
      <c r="F26" s="8"/>
      <c r="G26" s="8"/>
      <c r="H26" s="8"/>
      <c r="I26" s="8"/>
      <c r="J26" s="8"/>
      <c r="K26" s="8"/>
      <c r="L26" s="8"/>
      <c r="M26" s="62" cm="1">
        <f t="array" ref="M26">INDEX(tblPrices[cv_2018], MATCH(tblTelecomUnits[[#This Row],[Products]],tblPrices[Products],0), 0)* tblTelecomUnits[[#This Row],[cv_2018]]/10^6</f>
        <v>0</v>
      </c>
      <c r="N26" s="62" cm="1">
        <f t="array" ref="N26">INDEX(tblPrices[cv_2019], MATCH(tblTelecomUnits[[#This Row],[Products]],tblPrices[Products],0), 0)* tblTelecomUnits[[#This Row],[cv_2019]]/10^6</f>
        <v>0</v>
      </c>
      <c r="O26" s="62" cm="1">
        <f t="array" ref="O26">INDEX(tblPrices[cv_2020], MATCH(tblTelecomUnits[[#This Row],[Products]],tblPrices[Products],0), 0)* tblTelecomUnits[[#This Row],[cv_2020]]/10^6</f>
        <v>0</v>
      </c>
      <c r="P26" s="62" cm="1">
        <f t="array" ref="P26">INDEX(tblPrices[cv_2021], MATCH(tblTelecomUnits[[#This Row],[Products]],tblPrices[Products],0), 0)* tblTelecomUnits[[#This Row],[cv_2021]]/10^6</f>
        <v>0</v>
      </c>
      <c r="Q26" s="62" cm="1">
        <f t="array" ref="Q26">INDEX(tblPrices[cv_2022], MATCH(tblTelecomUnits[[#This Row],[Products]],tblPrices[Products],0), 0)* tblTelecomUnits[[#This Row],[cv_2022]]/10^6</f>
        <v>0</v>
      </c>
      <c r="R26" s="62" cm="1">
        <f t="array" ref="R26">INDEX(tblPrices[cv_2023], MATCH(tblTelecomUnits[[#This Row],[Products]],tblPrices[Products],0), 0)* tblTelecomUnits[[#This Row],[cv_2023]]/10^6</f>
        <v>0</v>
      </c>
      <c r="S26" s="62" cm="1">
        <f t="array" ref="S26">INDEX(tblPrices[cv_2024], MATCH(tblTelecomUnits[[#This Row],[Products]],tblPrices[Products],0), 0)* tblTelecomUnits[[#This Row],[cv_2024]]/10^6</f>
        <v>0</v>
      </c>
      <c r="T26" s="62" cm="1">
        <f t="array" ref="T26">INDEX(tblPrices[cv_2025], MATCH(tblTelecomUnits[[#This Row],[Products]],tblPrices[Products],0), 0)* tblTelecomUnits[[#This Row],[cv_2025]]/10^6</f>
        <v>0</v>
      </c>
      <c r="U26" s="62" cm="1">
        <f t="array" ref="U26">INDEX(tblPrices[cv_2026], MATCH(tblTelecomUnits[[#This Row],[Products]],tblPrices[Products],0), 0)* tblTelecomUnits[[#This Row],[cv_2026]]/10^6</f>
        <v>0</v>
      </c>
      <c r="V26" s="62" cm="1">
        <f t="array" ref="V26">INDEX(tblPrices[cv_2027], MATCH(tblTelecomUnits[[#This Row],[Products]],tblPrices[Products],0), 0)* tblTelecomUnits[[#This Row],[cv_2027]]/10^6</f>
        <v>0</v>
      </c>
      <c r="W26" s="62" cm="1">
        <f t="array" ref="W26">INDEX(tblPrices[cv_2028], MATCH(tblTelecomUnits[[#This Row],[Products]],tblPrices[Products],0), 0)* tblTelecomUnits[[#This Row],[cv_2028]]/10^6</f>
        <v>0</v>
      </c>
      <c r="X26" s="1">
        <v>25</v>
      </c>
    </row>
    <row r="27" spans="1:24" s="1" customFormat="1">
      <c r="A27" s="15" t="s">
        <v>165</v>
      </c>
      <c r="B27" s="8">
        <v>17012.7</v>
      </c>
      <c r="C27" s="8">
        <v>19817.099999999999</v>
      </c>
      <c r="D27" s="8"/>
      <c r="E27" s="8"/>
      <c r="F27" s="8"/>
      <c r="G27" s="8"/>
      <c r="H27" s="8"/>
      <c r="I27" s="8"/>
      <c r="J27" s="8"/>
      <c r="K27" s="8"/>
      <c r="L27" s="8"/>
      <c r="M27" s="62" cm="1">
        <f t="array" ref="M27">INDEX(tblPrices[cv_2018], MATCH(tblTelecomUnits[[#This Row],[Products]],tblPrices[Products],0), 0)* tblTelecomUnits[[#This Row],[cv_2018]]/10^6</f>
        <v>3.3110929619999991</v>
      </c>
      <c r="N27" s="62" cm="1">
        <f t="array" ref="N27">INDEX(tblPrices[cv_2019], MATCH(tblTelecomUnits[[#This Row],[Products]],tblPrices[Products],0), 0)* tblTelecomUnits[[#This Row],[cv_2019]]/10^6</f>
        <v>2.3241972000000009</v>
      </c>
      <c r="O27" s="62" cm="1">
        <f t="array" ref="O27">INDEX(tblPrices[cv_2020], MATCH(tblTelecomUnits[[#This Row],[Products]],tblPrices[Products],0), 0)* tblTelecomUnits[[#This Row],[cv_2020]]/10^6</f>
        <v>0</v>
      </c>
      <c r="P27" s="62" cm="1">
        <f t="array" ref="P27">INDEX(tblPrices[cv_2021], MATCH(tblTelecomUnits[[#This Row],[Products]],tblPrices[Products],0), 0)* tblTelecomUnits[[#This Row],[cv_2021]]/10^6</f>
        <v>0</v>
      </c>
      <c r="Q27" s="62" cm="1">
        <f t="array" ref="Q27">INDEX(tblPrices[cv_2022], MATCH(tblTelecomUnits[[#This Row],[Products]],tblPrices[Products],0), 0)* tblTelecomUnits[[#This Row],[cv_2022]]/10^6</f>
        <v>0</v>
      </c>
      <c r="R27" s="62" cm="1">
        <f t="array" ref="R27">INDEX(tblPrices[cv_2023], MATCH(tblTelecomUnits[[#This Row],[Products]],tblPrices[Products],0), 0)* tblTelecomUnits[[#This Row],[cv_2023]]/10^6</f>
        <v>0</v>
      </c>
      <c r="S27" s="62" cm="1">
        <f t="array" ref="S27">INDEX(tblPrices[cv_2024], MATCH(tblTelecomUnits[[#This Row],[Products]],tblPrices[Products],0), 0)* tblTelecomUnits[[#This Row],[cv_2024]]/10^6</f>
        <v>0</v>
      </c>
      <c r="T27" s="62" cm="1">
        <f t="array" ref="T27">INDEX(tblPrices[cv_2025], MATCH(tblTelecomUnits[[#This Row],[Products]],tblPrices[Products],0), 0)* tblTelecomUnits[[#This Row],[cv_2025]]/10^6</f>
        <v>0</v>
      </c>
      <c r="U27" s="62" cm="1">
        <f t="array" ref="U27">INDEX(tblPrices[cv_2026], MATCH(tblTelecomUnits[[#This Row],[Products]],tblPrices[Products],0), 0)* tblTelecomUnits[[#This Row],[cv_2026]]/10^6</f>
        <v>0</v>
      </c>
      <c r="V27" s="62" cm="1">
        <f t="array" ref="V27">INDEX(tblPrices[cv_2027], MATCH(tblTelecomUnits[[#This Row],[Products]],tblPrices[Products],0), 0)* tblTelecomUnits[[#This Row],[cv_2027]]/10^6</f>
        <v>0</v>
      </c>
      <c r="W27" s="62" cm="1">
        <f t="array" ref="W27">INDEX(tblPrices[cv_2028], MATCH(tblTelecomUnits[[#This Row],[Products]],tblPrices[Products],0), 0)* tblTelecomUnits[[#This Row],[cv_2028]]/10^6</f>
        <v>0</v>
      </c>
      <c r="X27" s="1">
        <v>25</v>
      </c>
    </row>
    <row r="28" spans="1:24" s="1" customFormat="1">
      <c r="A28" s="15" t="s">
        <v>166</v>
      </c>
      <c r="B28" s="8">
        <v>0</v>
      </c>
      <c r="C28" s="8">
        <v>0</v>
      </c>
      <c r="D28" s="8"/>
      <c r="E28" s="8"/>
      <c r="F28" s="8"/>
      <c r="G28" s="8"/>
      <c r="H28" s="8"/>
      <c r="I28" s="8"/>
      <c r="J28" s="8"/>
      <c r="K28" s="8"/>
      <c r="L28" s="8"/>
      <c r="M28" s="62" cm="1">
        <f t="array" ref="M28">INDEX(tblPrices[cv_2018], MATCH(tblTelecomUnits[[#This Row],[Products]],tblPrices[Products],0), 0)* tblTelecomUnits[[#This Row],[cv_2018]]/10^6</f>
        <v>0</v>
      </c>
      <c r="N28" s="62" cm="1">
        <f t="array" ref="N28">INDEX(tblPrices[cv_2019], MATCH(tblTelecomUnits[[#This Row],[Products]],tblPrices[Products],0), 0)* tblTelecomUnits[[#This Row],[cv_2019]]/10^6</f>
        <v>0</v>
      </c>
      <c r="O28" s="62" cm="1">
        <f t="array" ref="O28">INDEX(tblPrices[cv_2020], MATCH(tblTelecomUnits[[#This Row],[Products]],tblPrices[Products],0), 0)* tblTelecomUnits[[#This Row],[cv_2020]]/10^6</f>
        <v>0</v>
      </c>
      <c r="P28" s="62" cm="1">
        <f t="array" ref="P28">INDEX(tblPrices[cv_2021], MATCH(tblTelecomUnits[[#This Row],[Products]],tblPrices[Products],0), 0)* tblTelecomUnits[[#This Row],[cv_2021]]/10^6</f>
        <v>0</v>
      </c>
      <c r="Q28" s="62" cm="1">
        <f t="array" ref="Q28">INDEX(tblPrices[cv_2022], MATCH(tblTelecomUnits[[#This Row],[Products]],tblPrices[Products],0), 0)* tblTelecomUnits[[#This Row],[cv_2022]]/10^6</f>
        <v>0</v>
      </c>
      <c r="R28" s="62" cm="1">
        <f t="array" ref="R28">INDEX(tblPrices[cv_2023], MATCH(tblTelecomUnits[[#This Row],[Products]],tblPrices[Products],0), 0)* tblTelecomUnits[[#This Row],[cv_2023]]/10^6</f>
        <v>0</v>
      </c>
      <c r="S28" s="62" cm="1">
        <f t="array" ref="S28">INDEX(tblPrices[cv_2024], MATCH(tblTelecomUnits[[#This Row],[Products]],tblPrices[Products],0), 0)* tblTelecomUnits[[#This Row],[cv_2024]]/10^6</f>
        <v>0</v>
      </c>
      <c r="T28" s="62" cm="1">
        <f t="array" ref="T28">INDEX(tblPrices[cv_2025], MATCH(tblTelecomUnits[[#This Row],[Products]],tblPrices[Products],0), 0)* tblTelecomUnits[[#This Row],[cv_2025]]/10^6</f>
        <v>0</v>
      </c>
      <c r="U28" s="62" cm="1">
        <f t="array" ref="U28">INDEX(tblPrices[cv_2026], MATCH(tblTelecomUnits[[#This Row],[Products]],tblPrices[Products],0), 0)* tblTelecomUnits[[#This Row],[cv_2026]]/10^6</f>
        <v>0</v>
      </c>
      <c r="V28" s="62" cm="1">
        <f t="array" ref="V28">INDEX(tblPrices[cv_2027], MATCH(tblTelecomUnits[[#This Row],[Products]],tblPrices[Products],0), 0)* tblTelecomUnits[[#This Row],[cv_2027]]/10^6</f>
        <v>0</v>
      </c>
      <c r="W28" s="62" cm="1">
        <f t="array" ref="W28">INDEX(tblPrices[cv_2028], MATCH(tblTelecomUnits[[#This Row],[Products]],tblPrices[Products],0), 0)* tblTelecomUnits[[#This Row],[cv_2028]]/10^6</f>
        <v>0</v>
      </c>
      <c r="X28" s="1">
        <v>25</v>
      </c>
    </row>
    <row r="29" spans="1:24" s="1" customFormat="1">
      <c r="A29" s="15" t="s">
        <v>0</v>
      </c>
      <c r="B29" s="8">
        <v>48031.975000000006</v>
      </c>
      <c r="C29" s="8">
        <v>32936.65</v>
      </c>
      <c r="D29" s="8"/>
      <c r="E29" s="8"/>
      <c r="F29" s="8"/>
      <c r="G29" s="8"/>
      <c r="H29" s="8"/>
      <c r="I29" s="8"/>
      <c r="J29" s="8"/>
      <c r="K29" s="8"/>
      <c r="L29" s="8"/>
      <c r="M29" s="62" cm="1">
        <f t="array" ref="M29">INDEX(tblPrices[cv_2018], MATCH(tblTelecomUnits[[#This Row],[Products]],tblPrices[Products],0), 0)* tblTelecomUnits[[#This Row],[cv_2018]]/10^6</f>
        <v>2.8175683599085448</v>
      </c>
      <c r="N29" s="62" cm="1">
        <f t="array" ref="N29">INDEX(tblPrices[cv_2019], MATCH(tblTelecomUnits[[#This Row],[Products]],tblPrices[Products],0), 0)* tblTelecomUnits[[#This Row],[cv_2019]]/10^6</f>
        <v>1.5191079107142855</v>
      </c>
      <c r="O29" s="62" cm="1">
        <f t="array" ref="O29">INDEX(tblPrices[cv_2020], MATCH(tblTelecomUnits[[#This Row],[Products]],tblPrices[Products],0), 0)* tblTelecomUnits[[#This Row],[cv_2020]]/10^6</f>
        <v>0</v>
      </c>
      <c r="P29" s="62" cm="1">
        <f t="array" ref="P29">INDEX(tblPrices[cv_2021], MATCH(tblTelecomUnits[[#This Row],[Products]],tblPrices[Products],0), 0)* tblTelecomUnits[[#This Row],[cv_2021]]/10^6</f>
        <v>0</v>
      </c>
      <c r="Q29" s="62" cm="1">
        <f t="array" ref="Q29">INDEX(tblPrices[cv_2022], MATCH(tblTelecomUnits[[#This Row],[Products]],tblPrices[Products],0), 0)* tblTelecomUnits[[#This Row],[cv_2022]]/10^6</f>
        <v>0</v>
      </c>
      <c r="R29" s="62" cm="1">
        <f t="array" ref="R29">INDEX(tblPrices[cv_2023], MATCH(tblTelecomUnits[[#This Row],[Products]],tblPrices[Products],0), 0)* tblTelecomUnits[[#This Row],[cv_2023]]/10^6</f>
        <v>0</v>
      </c>
      <c r="S29" s="62" cm="1">
        <f t="array" ref="S29">INDEX(tblPrices[cv_2024], MATCH(tblTelecomUnits[[#This Row],[Products]],tblPrices[Products],0), 0)* tblTelecomUnits[[#This Row],[cv_2024]]/10^6</f>
        <v>0</v>
      </c>
      <c r="T29" s="62" cm="1">
        <f t="array" ref="T29">INDEX(tblPrices[cv_2025], MATCH(tblTelecomUnits[[#This Row],[Products]],tblPrices[Products],0), 0)* tblTelecomUnits[[#This Row],[cv_2025]]/10^6</f>
        <v>0</v>
      </c>
      <c r="U29" s="62" cm="1">
        <f t="array" ref="U29">INDEX(tblPrices[cv_2026], MATCH(tblTelecomUnits[[#This Row],[Products]],tblPrices[Products],0), 0)* tblTelecomUnits[[#This Row],[cv_2026]]/10^6</f>
        <v>0</v>
      </c>
      <c r="V29" s="62" cm="1">
        <f t="array" ref="V29">INDEX(tblPrices[cv_2027], MATCH(tblTelecomUnits[[#This Row],[Products]],tblPrices[Products],0), 0)* tblTelecomUnits[[#This Row],[cv_2027]]/10^6</f>
        <v>0</v>
      </c>
      <c r="W29" s="62" cm="1">
        <f t="array" ref="W29">INDEX(tblPrices[cv_2028], MATCH(tblTelecomUnits[[#This Row],[Products]],tblPrices[Products],0), 0)* tblTelecomUnits[[#This Row],[cv_2028]]/10^6</f>
        <v>0</v>
      </c>
      <c r="X29" s="1">
        <f>VLOOKUP(A29,Products!$A$29:$F$110,6,FALSE)</f>
        <v>40</v>
      </c>
    </row>
    <row r="30" spans="1:24" s="1" customFormat="1">
      <c r="A30" s="15" t="s">
        <v>167</v>
      </c>
      <c r="B30" s="8">
        <v>0</v>
      </c>
      <c r="C30" s="8">
        <v>0</v>
      </c>
      <c r="D30" s="8"/>
      <c r="E30" s="8"/>
      <c r="F30" s="8"/>
      <c r="G30" s="8"/>
      <c r="H30" s="8"/>
      <c r="I30" s="8"/>
      <c r="J30" s="8"/>
      <c r="K30" s="8"/>
      <c r="L30" s="8"/>
      <c r="M30" s="62" cm="1">
        <f t="array" ref="M30">INDEX(tblPrices[cv_2018], MATCH(tblTelecomUnits[[#This Row],[Products]],tblPrices[Products],0), 0)* tblTelecomUnits[[#This Row],[cv_2018]]/10^6</f>
        <v>0</v>
      </c>
      <c r="N30" s="62" cm="1">
        <f t="array" ref="N30">INDEX(tblPrices[cv_2019], MATCH(tblTelecomUnits[[#This Row],[Products]],tblPrices[Products],0), 0)* tblTelecomUnits[[#This Row],[cv_2019]]/10^6</f>
        <v>0</v>
      </c>
      <c r="O30" s="62" cm="1">
        <f t="array" ref="O30">INDEX(tblPrices[cv_2020], MATCH(tblTelecomUnits[[#This Row],[Products]],tblPrices[Products],0), 0)* tblTelecomUnits[[#This Row],[cv_2020]]/10^6</f>
        <v>0</v>
      </c>
      <c r="P30" s="62" cm="1">
        <f t="array" ref="P30">INDEX(tblPrices[cv_2021], MATCH(tblTelecomUnits[[#This Row],[Products]],tblPrices[Products],0), 0)* tblTelecomUnits[[#This Row],[cv_2021]]/10^6</f>
        <v>0</v>
      </c>
      <c r="Q30" s="62" cm="1">
        <f t="array" ref="Q30">INDEX(tblPrices[cv_2022], MATCH(tblTelecomUnits[[#This Row],[Products]],tblPrices[Products],0), 0)* tblTelecomUnits[[#This Row],[cv_2022]]/10^6</f>
        <v>0</v>
      </c>
      <c r="R30" s="62" cm="1">
        <f t="array" ref="R30">INDEX(tblPrices[cv_2023], MATCH(tblTelecomUnits[[#This Row],[Products]],tblPrices[Products],0), 0)* tblTelecomUnits[[#This Row],[cv_2023]]/10^6</f>
        <v>0</v>
      </c>
      <c r="S30" s="62" cm="1">
        <f t="array" ref="S30">INDEX(tblPrices[cv_2024], MATCH(tblTelecomUnits[[#This Row],[Products]],tblPrices[Products],0), 0)* tblTelecomUnits[[#This Row],[cv_2024]]/10^6</f>
        <v>0</v>
      </c>
      <c r="T30" s="62" cm="1">
        <f t="array" ref="T30">INDEX(tblPrices[cv_2025], MATCH(tblTelecomUnits[[#This Row],[Products]],tblPrices[Products],0), 0)* tblTelecomUnits[[#This Row],[cv_2025]]/10^6</f>
        <v>0</v>
      </c>
      <c r="U30" s="62" cm="1">
        <f t="array" ref="U30">INDEX(tblPrices[cv_2026], MATCH(tblTelecomUnits[[#This Row],[Products]],tblPrices[Products],0), 0)* tblTelecomUnits[[#This Row],[cv_2026]]/10^6</f>
        <v>0</v>
      </c>
      <c r="V30" s="62" cm="1">
        <f t="array" ref="V30">INDEX(tblPrices[cv_2027], MATCH(tblTelecomUnits[[#This Row],[Products]],tblPrices[Products],0), 0)* tblTelecomUnits[[#This Row],[cv_2027]]/10^6</f>
        <v>0</v>
      </c>
      <c r="W30" s="62" cm="1">
        <f t="array" ref="W30">INDEX(tblPrices[cv_2028], MATCH(tblTelecomUnits[[#This Row],[Products]],tblPrices[Products],0), 0)* tblTelecomUnits[[#This Row],[cv_2028]]/10^6</f>
        <v>0</v>
      </c>
      <c r="X30" s="1">
        <f>VLOOKUP(A30,Products!$A$29:$F$110,6,FALSE)</f>
        <v>40</v>
      </c>
    </row>
    <row r="31" spans="1:24" s="1" customFormat="1">
      <c r="A31" s="15" t="s">
        <v>1</v>
      </c>
      <c r="B31" s="8">
        <v>24553.350000000002</v>
      </c>
      <c r="C31" s="8">
        <v>14680.7</v>
      </c>
      <c r="D31" s="8"/>
      <c r="E31" s="8"/>
      <c r="F31" s="8"/>
      <c r="G31" s="8"/>
      <c r="H31" s="8"/>
      <c r="I31" s="8"/>
      <c r="J31" s="8"/>
      <c r="K31" s="8"/>
      <c r="L31" s="8"/>
      <c r="M31" s="62" cm="1">
        <f t="array" ref="M31">INDEX(tblPrices[cv_2018], MATCH(tblTelecomUnits[[#This Row],[Products]],tblPrices[Products],0), 0)* tblTelecomUnits[[#This Row],[cv_2018]]/10^6</f>
        <v>1.5677539995766425</v>
      </c>
      <c r="N31" s="62" cm="1">
        <f t="array" ref="N31">INDEX(tblPrices[cv_2019], MATCH(tblTelecomUnits[[#This Row],[Products]],tblPrices[Products],0), 0)* tblTelecomUnits[[#This Row],[cv_2019]]/10^6</f>
        <v>0.91088694999999986</v>
      </c>
      <c r="O31" s="62" cm="1">
        <f t="array" ref="O31">INDEX(tblPrices[cv_2020], MATCH(tblTelecomUnits[[#This Row],[Products]],tblPrices[Products],0), 0)* tblTelecomUnits[[#This Row],[cv_2020]]/10^6</f>
        <v>0</v>
      </c>
      <c r="P31" s="62" cm="1">
        <f t="array" ref="P31">INDEX(tblPrices[cv_2021], MATCH(tblTelecomUnits[[#This Row],[Products]],tblPrices[Products],0), 0)* tblTelecomUnits[[#This Row],[cv_2021]]/10^6</f>
        <v>0</v>
      </c>
      <c r="Q31" s="62" cm="1">
        <f t="array" ref="Q31">INDEX(tblPrices[cv_2022], MATCH(tblTelecomUnits[[#This Row],[Products]],tblPrices[Products],0), 0)* tblTelecomUnits[[#This Row],[cv_2022]]/10^6</f>
        <v>0</v>
      </c>
      <c r="R31" s="62" cm="1">
        <f t="array" ref="R31">INDEX(tblPrices[cv_2023], MATCH(tblTelecomUnits[[#This Row],[Products]],tblPrices[Products],0), 0)* tblTelecomUnits[[#This Row],[cv_2023]]/10^6</f>
        <v>0</v>
      </c>
      <c r="S31" s="62" cm="1">
        <f t="array" ref="S31">INDEX(tblPrices[cv_2024], MATCH(tblTelecomUnits[[#This Row],[Products]],tblPrices[Products],0), 0)* tblTelecomUnits[[#This Row],[cv_2024]]/10^6</f>
        <v>0</v>
      </c>
      <c r="T31" s="62" cm="1">
        <f t="array" ref="T31">INDEX(tblPrices[cv_2025], MATCH(tblTelecomUnits[[#This Row],[Products]],tblPrices[Products],0), 0)* tblTelecomUnits[[#This Row],[cv_2025]]/10^6</f>
        <v>0</v>
      </c>
      <c r="U31" s="62" cm="1">
        <f t="array" ref="U31">INDEX(tblPrices[cv_2026], MATCH(tblTelecomUnits[[#This Row],[Products]],tblPrices[Products],0), 0)* tblTelecomUnits[[#This Row],[cv_2026]]/10^6</f>
        <v>0</v>
      </c>
      <c r="V31" s="62" cm="1">
        <f t="array" ref="V31">INDEX(tblPrices[cv_2027], MATCH(tblTelecomUnits[[#This Row],[Products]],tblPrices[Products],0), 0)* tblTelecomUnits[[#This Row],[cv_2027]]/10^6</f>
        <v>0</v>
      </c>
      <c r="W31" s="62" cm="1">
        <f t="array" ref="W31">INDEX(tblPrices[cv_2028], MATCH(tblTelecomUnits[[#This Row],[Products]],tblPrices[Products],0), 0)* tblTelecomUnits[[#This Row],[cv_2028]]/10^6</f>
        <v>0</v>
      </c>
      <c r="X31" s="1">
        <f>VLOOKUP(A31,Products!$A$29:$F$110,6,FALSE)</f>
        <v>40</v>
      </c>
    </row>
    <row r="32" spans="1:24" s="1" customFormat="1">
      <c r="A32" s="15" t="s">
        <v>168</v>
      </c>
      <c r="B32" s="8">
        <v>0</v>
      </c>
      <c r="C32" s="8">
        <v>0</v>
      </c>
      <c r="D32" s="8"/>
      <c r="E32" s="8"/>
      <c r="F32" s="8"/>
      <c r="G32" s="8"/>
      <c r="H32" s="8"/>
      <c r="I32" s="8"/>
      <c r="J32" s="8"/>
      <c r="K32" s="8"/>
      <c r="L32" s="8"/>
      <c r="M32" s="62" cm="1">
        <f t="array" ref="M32">INDEX(tblPrices[cv_2018], MATCH(tblTelecomUnits[[#This Row],[Products]],tblPrices[Products],0), 0)* tblTelecomUnits[[#This Row],[cv_2018]]/10^6</f>
        <v>0</v>
      </c>
      <c r="N32" s="62" cm="1">
        <f t="array" ref="N32">INDEX(tblPrices[cv_2019], MATCH(tblTelecomUnits[[#This Row],[Products]],tblPrices[Products],0), 0)* tblTelecomUnits[[#This Row],[cv_2019]]/10^6</f>
        <v>0</v>
      </c>
      <c r="O32" s="62" cm="1">
        <f t="array" ref="O32">INDEX(tblPrices[cv_2020], MATCH(tblTelecomUnits[[#This Row],[Products]],tblPrices[Products],0), 0)* tblTelecomUnits[[#This Row],[cv_2020]]/10^6</f>
        <v>0</v>
      </c>
      <c r="P32" s="62" cm="1">
        <f t="array" ref="P32">INDEX(tblPrices[cv_2021], MATCH(tblTelecomUnits[[#This Row],[Products]],tblPrices[Products],0), 0)* tblTelecomUnits[[#This Row],[cv_2021]]/10^6</f>
        <v>0</v>
      </c>
      <c r="Q32" s="62" cm="1">
        <f t="array" ref="Q32">INDEX(tblPrices[cv_2022], MATCH(tblTelecomUnits[[#This Row],[Products]],tblPrices[Products],0), 0)* tblTelecomUnits[[#This Row],[cv_2022]]/10^6</f>
        <v>0</v>
      </c>
      <c r="R32" s="62" cm="1">
        <f t="array" ref="R32">INDEX(tblPrices[cv_2023], MATCH(tblTelecomUnits[[#This Row],[Products]],tblPrices[Products],0), 0)* tblTelecomUnits[[#This Row],[cv_2023]]/10^6</f>
        <v>0</v>
      </c>
      <c r="S32" s="62" cm="1">
        <f t="array" ref="S32">INDEX(tblPrices[cv_2024], MATCH(tblTelecomUnits[[#This Row],[Products]],tblPrices[Products],0), 0)* tblTelecomUnits[[#This Row],[cv_2024]]/10^6</f>
        <v>0</v>
      </c>
      <c r="T32" s="62" cm="1">
        <f t="array" ref="T32">INDEX(tblPrices[cv_2025], MATCH(tblTelecomUnits[[#This Row],[Products]],tblPrices[Products],0), 0)* tblTelecomUnits[[#This Row],[cv_2025]]/10^6</f>
        <v>0</v>
      </c>
      <c r="U32" s="62" cm="1">
        <f t="array" ref="U32">INDEX(tblPrices[cv_2026], MATCH(tblTelecomUnits[[#This Row],[Products]],tblPrices[Products],0), 0)* tblTelecomUnits[[#This Row],[cv_2026]]/10^6</f>
        <v>0</v>
      </c>
      <c r="V32" s="62" cm="1">
        <f t="array" ref="V32">INDEX(tblPrices[cv_2027], MATCH(tblTelecomUnits[[#This Row],[Products]],tblPrices[Products],0), 0)* tblTelecomUnits[[#This Row],[cv_2027]]/10^6</f>
        <v>0</v>
      </c>
      <c r="W32" s="62" cm="1">
        <f t="array" ref="W32">INDEX(tblPrices[cv_2028], MATCH(tblTelecomUnits[[#This Row],[Products]],tblPrices[Products],0), 0)* tblTelecomUnits[[#This Row],[cv_2028]]/10^6</f>
        <v>0</v>
      </c>
      <c r="X32" s="1">
        <f>VLOOKUP(A32,Products!$A$29:$F$110,6,FALSE)</f>
        <v>40</v>
      </c>
    </row>
    <row r="33" spans="1:24" s="1" customFormat="1">
      <c r="A33" s="15" t="s">
        <v>169</v>
      </c>
      <c r="B33" s="8">
        <v>0</v>
      </c>
      <c r="C33" s="8">
        <v>0</v>
      </c>
      <c r="D33" s="8"/>
      <c r="E33" s="8"/>
      <c r="F33" s="8"/>
      <c r="G33" s="8"/>
      <c r="H33" s="8"/>
      <c r="I33" s="8"/>
      <c r="J33" s="8"/>
      <c r="K33" s="8"/>
      <c r="L33" s="8"/>
      <c r="M33" s="62" cm="1">
        <f t="array" ref="M33">INDEX(tblPrices[cv_2018], MATCH(tblTelecomUnits[[#This Row],[Products]],tblPrices[Products],0), 0)* tblTelecomUnits[[#This Row],[cv_2018]]/10^6</f>
        <v>0</v>
      </c>
      <c r="N33" s="62" cm="1">
        <f t="array" ref="N33">INDEX(tblPrices[cv_2019], MATCH(tblTelecomUnits[[#This Row],[Products]],tblPrices[Products],0), 0)* tblTelecomUnits[[#This Row],[cv_2019]]/10^6</f>
        <v>0</v>
      </c>
      <c r="O33" s="62" cm="1">
        <f t="array" ref="O33">INDEX(tblPrices[cv_2020], MATCH(tblTelecomUnits[[#This Row],[Products]],tblPrices[Products],0), 0)* tblTelecomUnits[[#This Row],[cv_2020]]/10^6</f>
        <v>0</v>
      </c>
      <c r="P33" s="62" cm="1">
        <f t="array" ref="P33">INDEX(tblPrices[cv_2021], MATCH(tblTelecomUnits[[#This Row],[Products]],tblPrices[Products],0), 0)* tblTelecomUnits[[#This Row],[cv_2021]]/10^6</f>
        <v>0</v>
      </c>
      <c r="Q33" s="62" cm="1">
        <f t="array" ref="Q33">INDEX(tblPrices[cv_2022], MATCH(tblTelecomUnits[[#This Row],[Products]],tblPrices[Products],0), 0)* tblTelecomUnits[[#This Row],[cv_2022]]/10^6</f>
        <v>0</v>
      </c>
      <c r="R33" s="62" cm="1">
        <f t="array" ref="R33">INDEX(tblPrices[cv_2023], MATCH(tblTelecomUnits[[#This Row],[Products]],tblPrices[Products],0), 0)* tblTelecomUnits[[#This Row],[cv_2023]]/10^6</f>
        <v>0</v>
      </c>
      <c r="S33" s="62" cm="1">
        <f t="array" ref="S33">INDEX(tblPrices[cv_2024], MATCH(tblTelecomUnits[[#This Row],[Products]],tblPrices[Products],0), 0)* tblTelecomUnits[[#This Row],[cv_2024]]/10^6</f>
        <v>0</v>
      </c>
      <c r="T33" s="62" cm="1">
        <f t="array" ref="T33">INDEX(tblPrices[cv_2025], MATCH(tblTelecomUnits[[#This Row],[Products]],tblPrices[Products],0), 0)* tblTelecomUnits[[#This Row],[cv_2025]]/10^6</f>
        <v>0</v>
      </c>
      <c r="U33" s="62" cm="1">
        <f t="array" ref="U33">INDEX(tblPrices[cv_2026], MATCH(tblTelecomUnits[[#This Row],[Products]],tblPrices[Products],0), 0)* tblTelecomUnits[[#This Row],[cv_2026]]/10^6</f>
        <v>0</v>
      </c>
      <c r="V33" s="62" cm="1">
        <f t="array" ref="V33">INDEX(tblPrices[cv_2027], MATCH(tblTelecomUnits[[#This Row],[Products]],tblPrices[Products],0), 0)* tblTelecomUnits[[#This Row],[cv_2027]]/10^6</f>
        <v>0</v>
      </c>
      <c r="W33" s="62" cm="1">
        <f t="array" ref="W33">INDEX(tblPrices[cv_2028], MATCH(tblTelecomUnits[[#This Row],[Products]],tblPrices[Products],0), 0)* tblTelecomUnits[[#This Row],[cv_2028]]/10^6</f>
        <v>0</v>
      </c>
      <c r="X33" s="1">
        <f>VLOOKUP(A33,Products!$A$29:$F$110,6,FALSE)</f>
        <v>40</v>
      </c>
    </row>
    <row r="34" spans="1:24" s="1" customFormat="1">
      <c r="A34" s="15" t="s">
        <v>2</v>
      </c>
      <c r="B34" s="8">
        <v>0</v>
      </c>
      <c r="C34" s="8">
        <v>0</v>
      </c>
      <c r="D34" s="8"/>
      <c r="E34" s="8"/>
      <c r="F34" s="8"/>
      <c r="G34" s="8"/>
      <c r="H34" s="8"/>
      <c r="I34" s="8"/>
      <c r="J34" s="8"/>
      <c r="K34" s="8"/>
      <c r="L34" s="8"/>
      <c r="M34" s="62" cm="1">
        <f t="array" ref="M34">INDEX(tblPrices[cv_2018], MATCH(tblTelecomUnits[[#This Row],[Products]],tblPrices[Products],0), 0)* tblTelecomUnits[[#This Row],[cv_2018]]/10^6</f>
        <v>0</v>
      </c>
      <c r="N34" s="62" cm="1">
        <f t="array" ref="N34">INDEX(tblPrices[cv_2019], MATCH(tblTelecomUnits[[#This Row],[Products]],tblPrices[Products],0), 0)* tblTelecomUnits[[#This Row],[cv_2019]]/10^6</f>
        <v>0</v>
      </c>
      <c r="O34" s="62" cm="1">
        <f t="array" ref="O34">INDEX(tblPrices[cv_2020], MATCH(tblTelecomUnits[[#This Row],[Products]],tblPrices[Products],0), 0)* tblTelecomUnits[[#This Row],[cv_2020]]/10^6</f>
        <v>0</v>
      </c>
      <c r="P34" s="62" cm="1">
        <f t="array" ref="P34">INDEX(tblPrices[cv_2021], MATCH(tblTelecomUnits[[#This Row],[Products]],tblPrices[Products],0), 0)* tblTelecomUnits[[#This Row],[cv_2021]]/10^6</f>
        <v>0</v>
      </c>
      <c r="Q34" s="62" cm="1">
        <f t="array" ref="Q34">INDEX(tblPrices[cv_2022], MATCH(tblTelecomUnits[[#This Row],[Products]],tblPrices[Products],0), 0)* tblTelecomUnits[[#This Row],[cv_2022]]/10^6</f>
        <v>0</v>
      </c>
      <c r="R34" s="62" cm="1">
        <f t="array" ref="R34">INDEX(tblPrices[cv_2023], MATCH(tblTelecomUnits[[#This Row],[Products]],tblPrices[Products],0), 0)* tblTelecomUnits[[#This Row],[cv_2023]]/10^6</f>
        <v>0</v>
      </c>
      <c r="S34" s="62" cm="1">
        <f t="array" ref="S34">INDEX(tblPrices[cv_2024], MATCH(tblTelecomUnits[[#This Row],[Products]],tblPrices[Products],0), 0)* tblTelecomUnits[[#This Row],[cv_2024]]/10^6</f>
        <v>0</v>
      </c>
      <c r="T34" s="62" cm="1">
        <f t="array" ref="T34">INDEX(tblPrices[cv_2025], MATCH(tblTelecomUnits[[#This Row],[Products]],tblPrices[Products],0), 0)* tblTelecomUnits[[#This Row],[cv_2025]]/10^6</f>
        <v>0</v>
      </c>
      <c r="U34" s="62" cm="1">
        <f t="array" ref="U34">INDEX(tblPrices[cv_2026], MATCH(tblTelecomUnits[[#This Row],[Products]],tblPrices[Products],0), 0)* tblTelecomUnits[[#This Row],[cv_2026]]/10^6</f>
        <v>0</v>
      </c>
      <c r="V34" s="62" cm="1">
        <f t="array" ref="V34">INDEX(tblPrices[cv_2027], MATCH(tblTelecomUnits[[#This Row],[Products]],tblPrices[Products],0), 0)* tblTelecomUnits[[#This Row],[cv_2027]]/10^6</f>
        <v>0</v>
      </c>
      <c r="W34" s="62" cm="1">
        <f t="array" ref="W34">INDEX(tblPrices[cv_2028], MATCH(tblTelecomUnits[[#This Row],[Products]],tblPrices[Products],0), 0)* tblTelecomUnits[[#This Row],[cv_2028]]/10^6</f>
        <v>0</v>
      </c>
      <c r="X34" s="1">
        <f>VLOOKUP(A34,Products!$A$29:$F$110,6,FALSE)</f>
        <v>40</v>
      </c>
    </row>
    <row r="35" spans="1:24" s="1" customFormat="1">
      <c r="A35" s="15" t="s">
        <v>170</v>
      </c>
      <c r="B35" s="8">
        <v>0</v>
      </c>
      <c r="C35" s="8">
        <v>0</v>
      </c>
      <c r="D35" s="8"/>
      <c r="E35" s="8"/>
      <c r="F35" s="8"/>
      <c r="G35" s="8"/>
      <c r="H35" s="8"/>
      <c r="I35" s="8"/>
      <c r="J35" s="8"/>
      <c r="K35" s="8"/>
      <c r="L35" s="8"/>
      <c r="M35" s="62" cm="1">
        <f t="array" ref="M35">INDEX(tblPrices[cv_2018], MATCH(tblTelecomUnits[[#This Row],[Products]],tblPrices[Products],0), 0)* tblTelecomUnits[[#This Row],[cv_2018]]/10^6</f>
        <v>0</v>
      </c>
      <c r="N35" s="62" cm="1">
        <f t="array" ref="N35">INDEX(tblPrices[cv_2019], MATCH(tblTelecomUnits[[#This Row],[Products]],tblPrices[Products],0), 0)* tblTelecomUnits[[#This Row],[cv_2019]]/10^6</f>
        <v>0</v>
      </c>
      <c r="O35" s="62" cm="1">
        <f t="array" ref="O35">INDEX(tblPrices[cv_2020], MATCH(tblTelecomUnits[[#This Row],[Products]],tblPrices[Products],0), 0)* tblTelecomUnits[[#This Row],[cv_2020]]/10^6</f>
        <v>0</v>
      </c>
      <c r="P35" s="62" cm="1">
        <f t="array" ref="P35">INDEX(tblPrices[cv_2021], MATCH(tblTelecomUnits[[#This Row],[Products]],tblPrices[Products],0), 0)* tblTelecomUnits[[#This Row],[cv_2021]]/10^6</f>
        <v>0</v>
      </c>
      <c r="Q35" s="62" cm="1">
        <f t="array" ref="Q35">INDEX(tblPrices[cv_2022], MATCH(tblTelecomUnits[[#This Row],[Products]],tblPrices[Products],0), 0)* tblTelecomUnits[[#This Row],[cv_2022]]/10^6</f>
        <v>0</v>
      </c>
      <c r="R35" s="62" cm="1">
        <f t="array" ref="R35">INDEX(tblPrices[cv_2023], MATCH(tblTelecomUnits[[#This Row],[Products]],tblPrices[Products],0), 0)* tblTelecomUnits[[#This Row],[cv_2023]]/10^6</f>
        <v>0</v>
      </c>
      <c r="S35" s="62" cm="1">
        <f t="array" ref="S35">INDEX(tblPrices[cv_2024], MATCH(tblTelecomUnits[[#This Row],[Products]],tblPrices[Products],0), 0)* tblTelecomUnits[[#This Row],[cv_2024]]/10^6</f>
        <v>0</v>
      </c>
      <c r="T35" s="62" cm="1">
        <f t="array" ref="T35">INDEX(tblPrices[cv_2025], MATCH(tblTelecomUnits[[#This Row],[Products]],tblPrices[Products],0), 0)* tblTelecomUnits[[#This Row],[cv_2025]]/10^6</f>
        <v>0</v>
      </c>
      <c r="U35" s="62" cm="1">
        <f t="array" ref="U35">INDEX(tblPrices[cv_2026], MATCH(tblTelecomUnits[[#This Row],[Products]],tblPrices[Products],0), 0)* tblTelecomUnits[[#This Row],[cv_2026]]/10^6</f>
        <v>0</v>
      </c>
      <c r="V35" s="62" cm="1">
        <f t="array" ref="V35">INDEX(tblPrices[cv_2027], MATCH(tblTelecomUnits[[#This Row],[Products]],tblPrices[Products],0), 0)* tblTelecomUnits[[#This Row],[cv_2027]]/10^6</f>
        <v>0</v>
      </c>
      <c r="W35" s="62" cm="1">
        <f t="array" ref="W35">INDEX(tblPrices[cv_2028], MATCH(tblTelecomUnits[[#This Row],[Products]],tblPrices[Products],0), 0)* tblTelecomUnits[[#This Row],[cv_2028]]/10^6</f>
        <v>0</v>
      </c>
      <c r="X35" s="1">
        <f>VLOOKUP(A35,Products!$A$29:$F$110,6,FALSE)</f>
        <v>40</v>
      </c>
    </row>
    <row r="36" spans="1:24" s="1" customFormat="1">
      <c r="A36" s="15" t="s">
        <v>171</v>
      </c>
      <c r="B36" s="8">
        <v>0</v>
      </c>
      <c r="C36" s="8">
        <v>0</v>
      </c>
      <c r="D36" s="8"/>
      <c r="E36" s="8"/>
      <c r="F36" s="8"/>
      <c r="G36" s="8"/>
      <c r="H36" s="8"/>
      <c r="I36" s="8"/>
      <c r="J36" s="8"/>
      <c r="K36" s="8"/>
      <c r="L36" s="8"/>
      <c r="M36" s="62" cm="1">
        <f t="array" ref="M36">INDEX(tblPrices[cv_2018], MATCH(tblTelecomUnits[[#This Row],[Products]],tblPrices[Products],0), 0)* tblTelecomUnits[[#This Row],[cv_2018]]/10^6</f>
        <v>0</v>
      </c>
      <c r="N36" s="62" cm="1">
        <f t="array" ref="N36">INDEX(tblPrices[cv_2019], MATCH(tblTelecomUnits[[#This Row],[Products]],tblPrices[Products],0), 0)* tblTelecomUnits[[#This Row],[cv_2019]]/10^6</f>
        <v>0</v>
      </c>
      <c r="O36" s="62" cm="1">
        <f t="array" ref="O36">INDEX(tblPrices[cv_2020], MATCH(tblTelecomUnits[[#This Row],[Products]],tblPrices[Products],0), 0)* tblTelecomUnits[[#This Row],[cv_2020]]/10^6</f>
        <v>0</v>
      </c>
      <c r="P36" s="62" cm="1">
        <f t="array" ref="P36">INDEX(tblPrices[cv_2021], MATCH(tblTelecomUnits[[#This Row],[Products]],tblPrices[Products],0), 0)* tblTelecomUnits[[#This Row],[cv_2021]]/10^6</f>
        <v>0</v>
      </c>
      <c r="Q36" s="62" cm="1">
        <f t="array" ref="Q36">INDEX(tblPrices[cv_2022], MATCH(tblTelecomUnits[[#This Row],[Products]],tblPrices[Products],0), 0)* tblTelecomUnits[[#This Row],[cv_2022]]/10^6</f>
        <v>0</v>
      </c>
      <c r="R36" s="62" cm="1">
        <f t="array" ref="R36">INDEX(tblPrices[cv_2023], MATCH(tblTelecomUnits[[#This Row],[Products]],tblPrices[Products],0), 0)* tblTelecomUnits[[#This Row],[cv_2023]]/10^6</f>
        <v>0</v>
      </c>
      <c r="S36" s="62" cm="1">
        <f t="array" ref="S36">INDEX(tblPrices[cv_2024], MATCH(tblTelecomUnits[[#This Row],[Products]],tblPrices[Products],0), 0)* tblTelecomUnits[[#This Row],[cv_2024]]/10^6</f>
        <v>0</v>
      </c>
      <c r="T36" s="62" cm="1">
        <f t="array" ref="T36">INDEX(tblPrices[cv_2025], MATCH(tblTelecomUnits[[#This Row],[Products]],tblPrices[Products],0), 0)* tblTelecomUnits[[#This Row],[cv_2025]]/10^6</f>
        <v>0</v>
      </c>
      <c r="U36" s="62" cm="1">
        <f t="array" ref="U36">INDEX(tblPrices[cv_2026], MATCH(tblTelecomUnits[[#This Row],[Products]],tblPrices[Products],0), 0)* tblTelecomUnits[[#This Row],[cv_2026]]/10^6</f>
        <v>0</v>
      </c>
      <c r="V36" s="62" cm="1">
        <f t="array" ref="V36">INDEX(tblPrices[cv_2027], MATCH(tblTelecomUnits[[#This Row],[Products]],tblPrices[Products],0), 0)* tblTelecomUnits[[#This Row],[cv_2027]]/10^6</f>
        <v>0</v>
      </c>
      <c r="W36" s="62" cm="1">
        <f t="array" ref="W36">INDEX(tblPrices[cv_2028], MATCH(tblTelecomUnits[[#This Row],[Products]],tblPrices[Products],0), 0)* tblTelecomUnits[[#This Row],[cv_2028]]/10^6</f>
        <v>0</v>
      </c>
      <c r="X36" s="1">
        <f>VLOOKUP(A36,Products!$A$29:$F$110,6,FALSE)</f>
        <v>40</v>
      </c>
    </row>
    <row r="37" spans="1:24" s="1" customFormat="1">
      <c r="A37" s="15" t="s">
        <v>172</v>
      </c>
      <c r="B37" s="8">
        <v>1315.8399999999997</v>
      </c>
      <c r="C37" s="8">
        <v>402.74999999999989</v>
      </c>
      <c r="D37" s="8"/>
      <c r="E37" s="8"/>
      <c r="F37" s="8"/>
      <c r="G37" s="8"/>
      <c r="H37" s="8"/>
      <c r="I37" s="8"/>
      <c r="J37" s="8"/>
      <c r="K37" s="8"/>
      <c r="L37" s="8"/>
      <c r="M37" s="62" cm="1">
        <f t="array" ref="M37">INDEX(tblPrices[cv_2018], MATCH(tblTelecomUnits[[#This Row],[Products]],tblPrices[Products],0), 0)* tblTelecomUnits[[#This Row],[cv_2018]]/10^6</f>
        <v>1.6514460799999986</v>
      </c>
      <c r="N37" s="62" cm="1">
        <f t="array" ref="N37">INDEX(tblPrices[cv_2019], MATCH(tblTelecomUnits[[#This Row],[Products]],tblPrices[Products],0), 0)* tblTelecomUnits[[#This Row],[cv_2019]]/10^6</f>
        <v>0.36017757000000028</v>
      </c>
      <c r="O37" s="62" cm="1">
        <f t="array" ref="O37">INDEX(tblPrices[cv_2020], MATCH(tblTelecomUnits[[#This Row],[Products]],tblPrices[Products],0), 0)* tblTelecomUnits[[#This Row],[cv_2020]]/10^6</f>
        <v>0</v>
      </c>
      <c r="P37" s="62" cm="1">
        <f t="array" ref="P37">INDEX(tblPrices[cv_2021], MATCH(tblTelecomUnits[[#This Row],[Products]],tblPrices[Products],0), 0)* tblTelecomUnits[[#This Row],[cv_2021]]/10^6</f>
        <v>0</v>
      </c>
      <c r="Q37" s="62" cm="1">
        <f t="array" ref="Q37">INDEX(tblPrices[cv_2022], MATCH(tblTelecomUnits[[#This Row],[Products]],tblPrices[Products],0), 0)* tblTelecomUnits[[#This Row],[cv_2022]]/10^6</f>
        <v>0</v>
      </c>
      <c r="R37" s="62" cm="1">
        <f t="array" ref="R37">INDEX(tblPrices[cv_2023], MATCH(tblTelecomUnits[[#This Row],[Products]],tblPrices[Products],0), 0)* tblTelecomUnits[[#This Row],[cv_2023]]/10^6</f>
        <v>0</v>
      </c>
      <c r="S37" s="62" cm="1">
        <f t="array" ref="S37">INDEX(tblPrices[cv_2024], MATCH(tblTelecomUnits[[#This Row],[Products]],tblPrices[Products],0), 0)* tblTelecomUnits[[#This Row],[cv_2024]]/10^6</f>
        <v>0</v>
      </c>
      <c r="T37" s="62" cm="1">
        <f t="array" ref="T37">INDEX(tblPrices[cv_2025], MATCH(tblTelecomUnits[[#This Row],[Products]],tblPrices[Products],0), 0)* tblTelecomUnits[[#This Row],[cv_2025]]/10^6</f>
        <v>0</v>
      </c>
      <c r="U37" s="62" cm="1">
        <f t="array" ref="U37">INDEX(tblPrices[cv_2026], MATCH(tblTelecomUnits[[#This Row],[Products]],tblPrices[Products],0), 0)* tblTelecomUnits[[#This Row],[cv_2026]]/10^6</f>
        <v>0</v>
      </c>
      <c r="V37" s="62" cm="1">
        <f t="array" ref="V37">INDEX(tblPrices[cv_2027], MATCH(tblTelecomUnits[[#This Row],[Products]],tblPrices[Products],0), 0)* tblTelecomUnits[[#This Row],[cv_2027]]/10^6</f>
        <v>0</v>
      </c>
      <c r="W37" s="62" cm="1">
        <f t="array" ref="W37">INDEX(tblPrices[cv_2028], MATCH(tblTelecomUnits[[#This Row],[Products]],tblPrices[Products],0), 0)* tblTelecomUnits[[#This Row],[cv_2028]]/10^6</f>
        <v>0</v>
      </c>
      <c r="X37" s="1">
        <f>VLOOKUP(A37,Products!$A$29:$F$110,6,FALSE)</f>
        <v>40</v>
      </c>
    </row>
    <row r="38" spans="1:24" s="1" customFormat="1">
      <c r="A38" s="15" t="s">
        <v>173</v>
      </c>
      <c r="B38" s="8">
        <v>0</v>
      </c>
      <c r="C38" s="8">
        <v>0</v>
      </c>
      <c r="D38" s="8"/>
      <c r="E38" s="8"/>
      <c r="F38" s="8"/>
      <c r="G38" s="8"/>
      <c r="H38" s="8"/>
      <c r="I38" s="8"/>
      <c r="J38" s="8"/>
      <c r="K38" s="8"/>
      <c r="L38" s="8"/>
      <c r="M38" s="62" cm="1">
        <f t="array" ref="M38">INDEX(tblPrices[cv_2018], MATCH(tblTelecomUnits[[#This Row],[Products]],tblPrices[Products],0), 0)* tblTelecomUnits[[#This Row],[cv_2018]]/10^6</f>
        <v>0</v>
      </c>
      <c r="N38" s="62" cm="1">
        <f t="array" ref="N38">INDEX(tblPrices[cv_2019], MATCH(tblTelecomUnits[[#This Row],[Products]],tblPrices[Products],0), 0)* tblTelecomUnits[[#This Row],[cv_2019]]/10^6</f>
        <v>0</v>
      </c>
      <c r="O38" s="62" cm="1">
        <f t="array" ref="O38">INDEX(tblPrices[cv_2020], MATCH(tblTelecomUnits[[#This Row],[Products]],tblPrices[Products],0), 0)* tblTelecomUnits[[#This Row],[cv_2020]]/10^6</f>
        <v>0</v>
      </c>
      <c r="P38" s="62" cm="1">
        <f t="array" ref="P38">INDEX(tblPrices[cv_2021], MATCH(tblTelecomUnits[[#This Row],[Products]],tblPrices[Products],0), 0)* tblTelecomUnits[[#This Row],[cv_2021]]/10^6</f>
        <v>0</v>
      </c>
      <c r="Q38" s="62" cm="1">
        <f t="array" ref="Q38">INDEX(tblPrices[cv_2022], MATCH(tblTelecomUnits[[#This Row],[Products]],tblPrices[Products],0), 0)* tblTelecomUnits[[#This Row],[cv_2022]]/10^6</f>
        <v>0</v>
      </c>
      <c r="R38" s="62" cm="1">
        <f t="array" ref="R38">INDEX(tblPrices[cv_2023], MATCH(tblTelecomUnits[[#This Row],[Products]],tblPrices[Products],0), 0)* tblTelecomUnits[[#This Row],[cv_2023]]/10^6</f>
        <v>0</v>
      </c>
      <c r="S38" s="62" cm="1">
        <f t="array" ref="S38">INDEX(tblPrices[cv_2024], MATCH(tblTelecomUnits[[#This Row],[Products]],tblPrices[Products],0), 0)* tblTelecomUnits[[#This Row],[cv_2024]]/10^6</f>
        <v>0</v>
      </c>
      <c r="T38" s="62" cm="1">
        <f t="array" ref="T38">INDEX(tblPrices[cv_2025], MATCH(tblTelecomUnits[[#This Row],[Products]],tblPrices[Products],0), 0)* tblTelecomUnits[[#This Row],[cv_2025]]/10^6</f>
        <v>0</v>
      </c>
      <c r="U38" s="62" cm="1">
        <f t="array" ref="U38">INDEX(tblPrices[cv_2026], MATCH(tblTelecomUnits[[#This Row],[Products]],tblPrices[Products],0), 0)* tblTelecomUnits[[#This Row],[cv_2026]]/10^6</f>
        <v>0</v>
      </c>
      <c r="V38" s="62" cm="1">
        <f t="array" ref="V38">INDEX(tblPrices[cv_2027], MATCH(tblTelecomUnits[[#This Row],[Products]],tblPrices[Products],0), 0)* tblTelecomUnits[[#This Row],[cv_2027]]/10^6</f>
        <v>0</v>
      </c>
      <c r="W38" s="62" cm="1">
        <f t="array" ref="W38">INDEX(tblPrices[cv_2028], MATCH(tblTelecomUnits[[#This Row],[Products]],tblPrices[Products],0), 0)* tblTelecomUnits[[#This Row],[cv_2028]]/10^6</f>
        <v>0</v>
      </c>
      <c r="X38" s="1">
        <f>VLOOKUP(A38,Products!$A$29:$F$110,6,FALSE)</f>
        <v>50</v>
      </c>
    </row>
    <row r="39" spans="1:24">
      <c r="A39" s="15" t="s">
        <v>174</v>
      </c>
      <c r="B39" s="8">
        <v>0</v>
      </c>
      <c r="C39" s="8">
        <v>0</v>
      </c>
      <c r="D39" s="8"/>
      <c r="E39" s="8"/>
      <c r="F39" s="8"/>
      <c r="G39" s="8"/>
      <c r="H39" s="8"/>
      <c r="I39" s="8"/>
      <c r="J39" s="8"/>
      <c r="K39" s="8"/>
      <c r="L39" s="8"/>
      <c r="M39" s="62" cm="1">
        <f t="array" ref="M39">INDEX(tblPrices[cv_2018], MATCH(tblTelecomUnits[[#This Row],[Products]],tblPrices[Products],0), 0)* tblTelecomUnits[[#This Row],[cv_2018]]/10^6</f>
        <v>0</v>
      </c>
      <c r="N39" s="62" cm="1">
        <f t="array" ref="N39">INDEX(tblPrices[cv_2019], MATCH(tblTelecomUnits[[#This Row],[Products]],tblPrices[Products],0), 0)* tblTelecomUnits[[#This Row],[cv_2019]]/10^6</f>
        <v>0</v>
      </c>
      <c r="O39" s="62" cm="1">
        <f t="array" ref="O39">INDEX(tblPrices[cv_2020], MATCH(tblTelecomUnits[[#This Row],[Products]],tblPrices[Products],0), 0)* tblTelecomUnits[[#This Row],[cv_2020]]/10^6</f>
        <v>0</v>
      </c>
      <c r="P39" s="62" cm="1">
        <f t="array" ref="P39">INDEX(tblPrices[cv_2021], MATCH(tblTelecomUnits[[#This Row],[Products]],tblPrices[Products],0), 0)* tblTelecomUnits[[#This Row],[cv_2021]]/10^6</f>
        <v>0</v>
      </c>
      <c r="Q39" s="62" cm="1">
        <f t="array" ref="Q39">INDEX(tblPrices[cv_2022], MATCH(tblTelecomUnits[[#This Row],[Products]],tblPrices[Products],0), 0)* tblTelecomUnits[[#This Row],[cv_2022]]/10^6</f>
        <v>0</v>
      </c>
      <c r="R39" s="62" cm="1">
        <f t="array" ref="R39">INDEX(tblPrices[cv_2023], MATCH(tblTelecomUnits[[#This Row],[Products]],tblPrices[Products],0), 0)* tblTelecomUnits[[#This Row],[cv_2023]]/10^6</f>
        <v>0</v>
      </c>
      <c r="S39" s="62" cm="1">
        <f t="array" ref="S39">INDEX(tblPrices[cv_2024], MATCH(tblTelecomUnits[[#This Row],[Products]],tblPrices[Products],0), 0)* tblTelecomUnits[[#This Row],[cv_2024]]/10^6</f>
        <v>0</v>
      </c>
      <c r="T39" s="62" cm="1">
        <f t="array" ref="T39">INDEX(tblPrices[cv_2025], MATCH(tblTelecomUnits[[#This Row],[Products]],tblPrices[Products],0), 0)* tblTelecomUnits[[#This Row],[cv_2025]]/10^6</f>
        <v>0</v>
      </c>
      <c r="U39" s="62" cm="1">
        <f t="array" ref="U39">INDEX(tblPrices[cv_2026], MATCH(tblTelecomUnits[[#This Row],[Products]],tblPrices[Products],0), 0)* tblTelecomUnits[[#This Row],[cv_2026]]/10^6</f>
        <v>0</v>
      </c>
      <c r="V39" s="62" cm="1">
        <f t="array" ref="V39">INDEX(tblPrices[cv_2027], MATCH(tblTelecomUnits[[#This Row],[Products]],tblPrices[Products],0), 0)* tblTelecomUnits[[#This Row],[cv_2027]]/10^6</f>
        <v>0</v>
      </c>
      <c r="W39" s="62" cm="1">
        <f t="array" ref="W39">INDEX(tblPrices[cv_2028], MATCH(tblTelecomUnits[[#This Row],[Products]],tblPrices[Products],0), 0)* tblTelecomUnits[[#This Row],[cv_2028]]/10^6</f>
        <v>0</v>
      </c>
      <c r="X39" s="1">
        <f>VLOOKUP(A39,Products!$A$29:$F$110,6,FALSE)</f>
        <v>50</v>
      </c>
    </row>
    <row r="40" spans="1:24">
      <c r="A40" s="15" t="s">
        <v>175</v>
      </c>
      <c r="B40" s="8">
        <v>0</v>
      </c>
      <c r="C40" s="8">
        <v>0</v>
      </c>
      <c r="D40" s="8"/>
      <c r="E40" s="8"/>
      <c r="F40" s="8"/>
      <c r="G40" s="8"/>
      <c r="H40" s="8"/>
      <c r="I40" s="8"/>
      <c r="J40" s="8"/>
      <c r="K40" s="8"/>
      <c r="L40" s="8"/>
      <c r="M40" s="62" cm="1">
        <f t="array" ref="M40">INDEX(tblPrices[cv_2018], MATCH(tblTelecomUnits[[#This Row],[Products]],tblPrices[Products],0), 0)* tblTelecomUnits[[#This Row],[cv_2018]]/10^6</f>
        <v>0</v>
      </c>
      <c r="N40" s="62" cm="1">
        <f t="array" ref="N40">INDEX(tblPrices[cv_2019], MATCH(tblTelecomUnits[[#This Row],[Products]],tblPrices[Products],0), 0)* tblTelecomUnits[[#This Row],[cv_2019]]/10^6</f>
        <v>0</v>
      </c>
      <c r="O40" s="62" cm="1">
        <f t="array" ref="O40">INDEX(tblPrices[cv_2020], MATCH(tblTelecomUnits[[#This Row],[Products]],tblPrices[Products],0), 0)* tblTelecomUnits[[#This Row],[cv_2020]]/10^6</f>
        <v>0</v>
      </c>
      <c r="P40" s="62" cm="1">
        <f t="array" ref="P40">INDEX(tblPrices[cv_2021], MATCH(tblTelecomUnits[[#This Row],[Products]],tblPrices[Products],0), 0)* tblTelecomUnits[[#This Row],[cv_2021]]/10^6</f>
        <v>0</v>
      </c>
      <c r="Q40" s="62" cm="1">
        <f t="array" ref="Q40">INDEX(tblPrices[cv_2022], MATCH(tblTelecomUnits[[#This Row],[Products]],tblPrices[Products],0), 0)* tblTelecomUnits[[#This Row],[cv_2022]]/10^6</f>
        <v>0</v>
      </c>
      <c r="R40" s="62" cm="1">
        <f t="array" ref="R40">INDEX(tblPrices[cv_2023], MATCH(tblTelecomUnits[[#This Row],[Products]],tblPrices[Products],0), 0)* tblTelecomUnits[[#This Row],[cv_2023]]/10^6</f>
        <v>0</v>
      </c>
      <c r="S40" s="62" cm="1">
        <f t="array" ref="S40">INDEX(tblPrices[cv_2024], MATCH(tblTelecomUnits[[#This Row],[Products]],tblPrices[Products],0), 0)* tblTelecomUnits[[#This Row],[cv_2024]]/10^6</f>
        <v>0</v>
      </c>
      <c r="T40" s="62" cm="1">
        <f t="array" ref="T40">INDEX(tblPrices[cv_2025], MATCH(tblTelecomUnits[[#This Row],[Products]],tblPrices[Products],0), 0)* tblTelecomUnits[[#This Row],[cv_2025]]/10^6</f>
        <v>0</v>
      </c>
      <c r="U40" s="62" cm="1">
        <f t="array" ref="U40">INDEX(tblPrices[cv_2026], MATCH(tblTelecomUnits[[#This Row],[Products]],tblPrices[Products],0), 0)* tblTelecomUnits[[#This Row],[cv_2026]]/10^6</f>
        <v>0</v>
      </c>
      <c r="V40" s="62" cm="1">
        <f t="array" ref="V40">INDEX(tblPrices[cv_2027], MATCH(tblTelecomUnits[[#This Row],[Products]],tblPrices[Products],0), 0)* tblTelecomUnits[[#This Row],[cv_2027]]/10^6</f>
        <v>0</v>
      </c>
      <c r="W40" s="62" cm="1">
        <f t="array" ref="W40">INDEX(tblPrices[cv_2028], MATCH(tblTelecomUnits[[#This Row],[Products]],tblPrices[Products],0), 0)* tblTelecomUnits[[#This Row],[cv_2028]]/10^6</f>
        <v>0</v>
      </c>
      <c r="X40" s="1">
        <f>VLOOKUP(A40,Products!$A$29:$F$110,6,FALSE)</f>
        <v>50</v>
      </c>
    </row>
    <row r="41" spans="1:24">
      <c r="A41" s="15" t="s">
        <v>176</v>
      </c>
      <c r="B41" s="8">
        <v>0</v>
      </c>
      <c r="C41" s="8">
        <v>0</v>
      </c>
      <c r="D41" s="8"/>
      <c r="E41" s="8"/>
      <c r="F41" s="8"/>
      <c r="G41" s="8"/>
      <c r="H41" s="8"/>
      <c r="I41" s="8"/>
      <c r="J41" s="8"/>
      <c r="K41" s="8"/>
      <c r="L41" s="8"/>
      <c r="M41" s="62" cm="1">
        <f t="array" ref="M41">INDEX(tblPrices[cv_2018], MATCH(tblTelecomUnits[[#This Row],[Products]],tblPrices[Products],0), 0)* tblTelecomUnits[[#This Row],[cv_2018]]/10^6</f>
        <v>0</v>
      </c>
      <c r="N41" s="62" cm="1">
        <f t="array" ref="N41">INDEX(tblPrices[cv_2019], MATCH(tblTelecomUnits[[#This Row],[Products]],tblPrices[Products],0), 0)* tblTelecomUnits[[#This Row],[cv_2019]]/10^6</f>
        <v>0</v>
      </c>
      <c r="O41" s="62" cm="1">
        <f t="array" ref="O41">INDEX(tblPrices[cv_2020], MATCH(tblTelecomUnits[[#This Row],[Products]],tblPrices[Products],0), 0)* tblTelecomUnits[[#This Row],[cv_2020]]/10^6</f>
        <v>0</v>
      </c>
      <c r="P41" s="62" cm="1">
        <f t="array" ref="P41">INDEX(tblPrices[cv_2021], MATCH(tblTelecomUnits[[#This Row],[Products]],tblPrices[Products],0), 0)* tblTelecomUnits[[#This Row],[cv_2021]]/10^6</f>
        <v>0</v>
      </c>
      <c r="Q41" s="62" cm="1">
        <f t="array" ref="Q41">INDEX(tblPrices[cv_2022], MATCH(tblTelecomUnits[[#This Row],[Products]],tblPrices[Products],0), 0)* tblTelecomUnits[[#This Row],[cv_2022]]/10^6</f>
        <v>0</v>
      </c>
      <c r="R41" s="62" cm="1">
        <f t="array" ref="R41">INDEX(tblPrices[cv_2023], MATCH(tblTelecomUnits[[#This Row],[Products]],tblPrices[Products],0), 0)* tblTelecomUnits[[#This Row],[cv_2023]]/10^6</f>
        <v>0</v>
      </c>
      <c r="S41" s="62" cm="1">
        <f t="array" ref="S41">INDEX(tblPrices[cv_2024], MATCH(tblTelecomUnits[[#This Row],[Products]],tblPrices[Products],0), 0)* tblTelecomUnits[[#This Row],[cv_2024]]/10^6</f>
        <v>0</v>
      </c>
      <c r="T41" s="62" cm="1">
        <f t="array" ref="T41">INDEX(tblPrices[cv_2025], MATCH(tblTelecomUnits[[#This Row],[Products]],tblPrices[Products],0), 0)* tblTelecomUnits[[#This Row],[cv_2025]]/10^6</f>
        <v>0</v>
      </c>
      <c r="U41" s="62" cm="1">
        <f t="array" ref="U41">INDEX(tblPrices[cv_2026], MATCH(tblTelecomUnits[[#This Row],[Products]],tblPrices[Products],0), 0)* tblTelecomUnits[[#This Row],[cv_2026]]/10^6</f>
        <v>0</v>
      </c>
      <c r="V41" s="62" cm="1">
        <f t="array" ref="V41">INDEX(tblPrices[cv_2027], MATCH(tblTelecomUnits[[#This Row],[Products]],tblPrices[Products],0), 0)* tblTelecomUnits[[#This Row],[cv_2027]]/10^6</f>
        <v>0</v>
      </c>
      <c r="W41" s="62" cm="1">
        <f t="array" ref="W41">INDEX(tblPrices[cv_2028], MATCH(tblTelecomUnits[[#This Row],[Products]],tblPrices[Products],0), 0)* tblTelecomUnits[[#This Row],[cv_2028]]/10^6</f>
        <v>0</v>
      </c>
      <c r="X41" s="1">
        <f>VLOOKUP(A41,Products!$A$29:$F$110,6,FALSE)</f>
        <v>50</v>
      </c>
    </row>
    <row r="42" spans="1:24">
      <c r="A42" s="15" t="s">
        <v>177</v>
      </c>
      <c r="B42" s="8">
        <v>0</v>
      </c>
      <c r="C42" s="8">
        <v>0</v>
      </c>
      <c r="D42" s="8"/>
      <c r="E42" s="8"/>
      <c r="F42" s="8"/>
      <c r="G42" s="8"/>
      <c r="H42" s="8"/>
      <c r="I42" s="8"/>
      <c r="J42" s="8"/>
      <c r="K42" s="8"/>
      <c r="L42" s="8"/>
      <c r="M42" s="62" cm="1">
        <f t="array" ref="M42">INDEX(tblPrices[cv_2018], MATCH(tblTelecomUnits[[#This Row],[Products]],tblPrices[Products],0), 0)* tblTelecomUnits[[#This Row],[cv_2018]]/10^6</f>
        <v>0</v>
      </c>
      <c r="N42" s="62" cm="1">
        <f t="array" ref="N42">INDEX(tblPrices[cv_2019], MATCH(tblTelecomUnits[[#This Row],[Products]],tblPrices[Products],0), 0)* tblTelecomUnits[[#This Row],[cv_2019]]/10^6</f>
        <v>0</v>
      </c>
      <c r="O42" s="62" cm="1">
        <f t="array" ref="O42">INDEX(tblPrices[cv_2020], MATCH(tblTelecomUnits[[#This Row],[Products]],tblPrices[Products],0), 0)* tblTelecomUnits[[#This Row],[cv_2020]]/10^6</f>
        <v>0</v>
      </c>
      <c r="P42" s="62" cm="1">
        <f t="array" ref="P42">INDEX(tblPrices[cv_2021], MATCH(tblTelecomUnits[[#This Row],[Products]],tblPrices[Products],0), 0)* tblTelecomUnits[[#This Row],[cv_2021]]/10^6</f>
        <v>0</v>
      </c>
      <c r="Q42" s="62" cm="1">
        <f t="array" ref="Q42">INDEX(tblPrices[cv_2022], MATCH(tblTelecomUnits[[#This Row],[Products]],tblPrices[Products],0), 0)* tblTelecomUnits[[#This Row],[cv_2022]]/10^6</f>
        <v>0</v>
      </c>
      <c r="R42" s="62" cm="1">
        <f t="array" ref="R42">INDEX(tblPrices[cv_2023], MATCH(tblTelecomUnits[[#This Row],[Products]],tblPrices[Products],0), 0)* tblTelecomUnits[[#This Row],[cv_2023]]/10^6</f>
        <v>0</v>
      </c>
      <c r="S42" s="62" cm="1">
        <f t="array" ref="S42">INDEX(tblPrices[cv_2024], MATCH(tblTelecomUnits[[#This Row],[Products]],tblPrices[Products],0), 0)* tblTelecomUnits[[#This Row],[cv_2024]]/10^6</f>
        <v>0</v>
      </c>
      <c r="T42" s="62" cm="1">
        <f t="array" ref="T42">INDEX(tblPrices[cv_2025], MATCH(tblTelecomUnits[[#This Row],[Products]],tblPrices[Products],0), 0)* tblTelecomUnits[[#This Row],[cv_2025]]/10^6</f>
        <v>0</v>
      </c>
      <c r="U42" s="62" cm="1">
        <f t="array" ref="U42">INDEX(tblPrices[cv_2026], MATCH(tblTelecomUnits[[#This Row],[Products]],tblPrices[Products],0), 0)* tblTelecomUnits[[#This Row],[cv_2026]]/10^6</f>
        <v>0</v>
      </c>
      <c r="V42" s="62" cm="1">
        <f t="array" ref="V42">INDEX(tblPrices[cv_2027], MATCH(tblTelecomUnits[[#This Row],[Products]],tblPrices[Products],0), 0)* tblTelecomUnits[[#This Row],[cv_2027]]/10^6</f>
        <v>0</v>
      </c>
      <c r="W42" s="62" cm="1">
        <f t="array" ref="W42">INDEX(tblPrices[cv_2028], MATCH(tblTelecomUnits[[#This Row],[Products]],tblPrices[Products],0), 0)* tblTelecomUnits[[#This Row],[cv_2028]]/10^6</f>
        <v>0</v>
      </c>
      <c r="X42" s="1">
        <f>VLOOKUP(A42,Products!$A$29:$F$110,6,FALSE)</f>
        <v>50</v>
      </c>
    </row>
    <row r="43" spans="1:24">
      <c r="A43" s="15" t="s">
        <v>178</v>
      </c>
      <c r="B43" s="8">
        <v>5094</v>
      </c>
      <c r="C43" s="8">
        <v>3000</v>
      </c>
      <c r="D43" s="8"/>
      <c r="E43" s="8"/>
      <c r="F43" s="8"/>
      <c r="G43" s="8"/>
      <c r="H43" s="8"/>
      <c r="I43" s="8"/>
      <c r="J43" s="8"/>
      <c r="K43" s="8"/>
      <c r="L43" s="8"/>
      <c r="M43" s="62" cm="1">
        <f t="array" ref="M43">INDEX(tblPrices[cv_2018], MATCH(tblTelecomUnits[[#This Row],[Products]],tblPrices[Products],0), 0)* tblTelecomUnits[[#This Row],[cv_2018]]/10^6</f>
        <v>5.1903120000000031</v>
      </c>
      <c r="N43" s="62" cm="1">
        <f t="array" ref="N43">INDEX(tblPrices[cv_2019], MATCH(tblTelecomUnits[[#This Row],[Products]],tblPrices[Products],0), 0)* tblTelecomUnits[[#This Row],[cv_2019]]/10^6</f>
        <v>3</v>
      </c>
      <c r="O43" s="62" cm="1">
        <f t="array" ref="O43">INDEX(tblPrices[cv_2020], MATCH(tblTelecomUnits[[#This Row],[Products]],tblPrices[Products],0), 0)* tblTelecomUnits[[#This Row],[cv_2020]]/10^6</f>
        <v>0</v>
      </c>
      <c r="P43" s="62" cm="1">
        <f t="array" ref="P43">INDEX(tblPrices[cv_2021], MATCH(tblTelecomUnits[[#This Row],[Products]],tblPrices[Products],0), 0)* tblTelecomUnits[[#This Row],[cv_2021]]/10^6</f>
        <v>0</v>
      </c>
      <c r="Q43" s="62" cm="1">
        <f t="array" ref="Q43">INDEX(tblPrices[cv_2022], MATCH(tblTelecomUnits[[#This Row],[Products]],tblPrices[Products],0), 0)* tblTelecomUnits[[#This Row],[cv_2022]]/10^6</f>
        <v>0</v>
      </c>
      <c r="R43" s="62" cm="1">
        <f t="array" ref="R43">INDEX(tblPrices[cv_2023], MATCH(tblTelecomUnits[[#This Row],[Products]],tblPrices[Products],0), 0)* tblTelecomUnits[[#This Row],[cv_2023]]/10^6</f>
        <v>0</v>
      </c>
      <c r="S43" s="62" cm="1">
        <f t="array" ref="S43">INDEX(tblPrices[cv_2024], MATCH(tblTelecomUnits[[#This Row],[Products]],tblPrices[Products],0), 0)* tblTelecomUnits[[#This Row],[cv_2024]]/10^6</f>
        <v>0</v>
      </c>
      <c r="T43" s="62" cm="1">
        <f t="array" ref="T43">INDEX(tblPrices[cv_2025], MATCH(tblTelecomUnits[[#This Row],[Products]],tblPrices[Products],0), 0)* tblTelecomUnits[[#This Row],[cv_2025]]/10^6</f>
        <v>0</v>
      </c>
      <c r="U43" s="62" cm="1">
        <f t="array" ref="U43">INDEX(tblPrices[cv_2026], MATCH(tblTelecomUnits[[#This Row],[Products]],tblPrices[Products],0), 0)* tblTelecomUnits[[#This Row],[cv_2026]]/10^6</f>
        <v>0</v>
      </c>
      <c r="V43" s="62" cm="1">
        <f t="array" ref="V43">INDEX(tblPrices[cv_2027], MATCH(tblTelecomUnits[[#This Row],[Products]],tblPrices[Products],0), 0)* tblTelecomUnits[[#This Row],[cv_2027]]/10^6</f>
        <v>0</v>
      </c>
      <c r="W43" s="62" cm="1">
        <f t="array" ref="W43">INDEX(tblPrices[cv_2028], MATCH(tblTelecomUnits[[#This Row],[Products]],tblPrices[Products],0), 0)* tblTelecomUnits[[#This Row],[cv_2028]]/10^6</f>
        <v>0</v>
      </c>
      <c r="X43" s="1">
        <f>VLOOKUP(A43,Products!$A$29:$F$110,6,FALSE)</f>
        <v>100</v>
      </c>
    </row>
    <row r="44" spans="1:24">
      <c r="A44" s="15" t="s">
        <v>179</v>
      </c>
      <c r="B44" s="8">
        <v>2000</v>
      </c>
      <c r="C44" s="8">
        <v>1662.8911414720139</v>
      </c>
      <c r="D44" s="8"/>
      <c r="E44" s="8"/>
      <c r="F44" s="8"/>
      <c r="G44" s="8"/>
      <c r="H44" s="8"/>
      <c r="I44" s="8"/>
      <c r="J44" s="8"/>
      <c r="K44" s="8"/>
      <c r="L44" s="8"/>
      <c r="M44" s="62" cm="1">
        <f t="array" ref="M44">INDEX(tblPrices[cv_2018], MATCH(tblTelecomUnits[[#This Row],[Products]],tblPrices[Products],0), 0)* tblTelecomUnits[[#This Row],[cv_2018]]/10^6</f>
        <v>2.0080936800000004</v>
      </c>
      <c r="N44" s="62" cm="1">
        <f t="array" ref="N44">INDEX(tblPrices[cv_2019], MATCH(tblTelecomUnits[[#This Row],[Products]],tblPrices[Products],0), 0)* tblTelecomUnits[[#This Row],[cv_2019]]/10^6</f>
        <v>1.502658536273072</v>
      </c>
      <c r="O44" s="62" cm="1">
        <f t="array" ref="O44">INDEX(tblPrices[cv_2020], MATCH(tblTelecomUnits[[#This Row],[Products]],tblPrices[Products],0), 0)* tblTelecomUnits[[#This Row],[cv_2020]]/10^6</f>
        <v>0</v>
      </c>
      <c r="P44" s="62" cm="1">
        <f t="array" ref="P44">INDEX(tblPrices[cv_2021], MATCH(tblTelecomUnits[[#This Row],[Products]],tblPrices[Products],0), 0)* tblTelecomUnits[[#This Row],[cv_2021]]/10^6</f>
        <v>0</v>
      </c>
      <c r="Q44" s="62" cm="1">
        <f t="array" ref="Q44">INDEX(tblPrices[cv_2022], MATCH(tblTelecomUnits[[#This Row],[Products]],tblPrices[Products],0), 0)* tblTelecomUnits[[#This Row],[cv_2022]]/10^6</f>
        <v>0</v>
      </c>
      <c r="R44" s="62" cm="1">
        <f t="array" ref="R44">INDEX(tblPrices[cv_2023], MATCH(tblTelecomUnits[[#This Row],[Products]],tblPrices[Products],0), 0)* tblTelecomUnits[[#This Row],[cv_2023]]/10^6</f>
        <v>0</v>
      </c>
      <c r="S44" s="62" cm="1">
        <f t="array" ref="S44">INDEX(tblPrices[cv_2024], MATCH(tblTelecomUnits[[#This Row],[Products]],tblPrices[Products],0), 0)* tblTelecomUnits[[#This Row],[cv_2024]]/10^6</f>
        <v>0</v>
      </c>
      <c r="T44" s="62" cm="1">
        <f t="array" ref="T44">INDEX(tblPrices[cv_2025], MATCH(tblTelecomUnits[[#This Row],[Products]],tblPrices[Products],0), 0)* tblTelecomUnits[[#This Row],[cv_2025]]/10^6</f>
        <v>0</v>
      </c>
      <c r="U44" s="62" cm="1">
        <f t="array" ref="U44">INDEX(tblPrices[cv_2026], MATCH(tblTelecomUnits[[#This Row],[Products]],tblPrices[Products],0), 0)* tblTelecomUnits[[#This Row],[cv_2026]]/10^6</f>
        <v>0</v>
      </c>
      <c r="V44" s="62" cm="1">
        <f t="array" ref="V44">INDEX(tblPrices[cv_2027], MATCH(tblTelecomUnits[[#This Row],[Products]],tblPrices[Products],0), 0)* tblTelecomUnits[[#This Row],[cv_2027]]/10^6</f>
        <v>0</v>
      </c>
      <c r="W44" s="62" cm="1">
        <f t="array" ref="W44">INDEX(tblPrices[cv_2028], MATCH(tblTelecomUnits[[#This Row],[Products]],tblPrices[Products],0), 0)* tblTelecomUnits[[#This Row],[cv_2028]]/10^6</f>
        <v>0</v>
      </c>
      <c r="X44" s="1">
        <f>VLOOKUP(A44,Products!$A$29:$F$110,6,FALSE)</f>
        <v>100</v>
      </c>
    </row>
    <row r="45" spans="1:24">
      <c r="A45" s="15" t="s">
        <v>3</v>
      </c>
      <c r="B45" s="8">
        <v>38316.340000000004</v>
      </c>
      <c r="C45" s="8">
        <v>49463.625</v>
      </c>
      <c r="D45" s="8"/>
      <c r="E45" s="8"/>
      <c r="F45" s="8"/>
      <c r="G45" s="8"/>
      <c r="H45" s="8"/>
      <c r="I45" s="8"/>
      <c r="J45" s="8"/>
      <c r="K45" s="8"/>
      <c r="L45" s="8"/>
      <c r="M45" s="62" cm="1">
        <f t="array" ref="M45">INDEX(tblPrices[cv_2018], MATCH(tblTelecomUnits[[#This Row],[Products]],tblPrices[Products],0), 0)* tblTelecomUnits[[#This Row],[cv_2018]]/10^6</f>
        <v>4.3506989373378797</v>
      </c>
      <c r="N45" s="62" cm="1">
        <f t="array" ref="N45">INDEX(tblPrices[cv_2019], MATCH(tblTelecomUnits[[#This Row],[Products]],tblPrices[Products],0), 0)* tblTelecomUnits[[#This Row],[cv_2019]]/10^6</f>
        <v>4.2039442162337668</v>
      </c>
      <c r="O45" s="62" cm="1">
        <f t="array" ref="O45">INDEX(tblPrices[cv_2020], MATCH(tblTelecomUnits[[#This Row],[Products]],tblPrices[Products],0), 0)* tblTelecomUnits[[#This Row],[cv_2020]]/10^6</f>
        <v>0</v>
      </c>
      <c r="P45" s="62" cm="1">
        <f t="array" ref="P45">INDEX(tblPrices[cv_2021], MATCH(tblTelecomUnits[[#This Row],[Products]],tblPrices[Products],0), 0)* tblTelecomUnits[[#This Row],[cv_2021]]/10^6</f>
        <v>0</v>
      </c>
      <c r="Q45" s="62" cm="1">
        <f t="array" ref="Q45">INDEX(tblPrices[cv_2022], MATCH(tblTelecomUnits[[#This Row],[Products]],tblPrices[Products],0), 0)* tblTelecomUnits[[#This Row],[cv_2022]]/10^6</f>
        <v>0</v>
      </c>
      <c r="R45" s="62" cm="1">
        <f t="array" ref="R45">INDEX(tblPrices[cv_2023], MATCH(tblTelecomUnits[[#This Row],[Products]],tblPrices[Products],0), 0)* tblTelecomUnits[[#This Row],[cv_2023]]/10^6</f>
        <v>0</v>
      </c>
      <c r="S45" s="62" cm="1">
        <f t="array" ref="S45">INDEX(tblPrices[cv_2024], MATCH(tblTelecomUnits[[#This Row],[Products]],tblPrices[Products],0), 0)* tblTelecomUnits[[#This Row],[cv_2024]]/10^6</f>
        <v>0</v>
      </c>
      <c r="T45" s="62" cm="1">
        <f t="array" ref="T45">INDEX(tblPrices[cv_2025], MATCH(tblTelecomUnits[[#This Row],[Products]],tblPrices[Products],0), 0)* tblTelecomUnits[[#This Row],[cv_2025]]/10^6</f>
        <v>0</v>
      </c>
      <c r="U45" s="62" cm="1">
        <f t="array" ref="U45">INDEX(tblPrices[cv_2026], MATCH(tblTelecomUnits[[#This Row],[Products]],tblPrices[Products],0), 0)* tblTelecomUnits[[#This Row],[cv_2026]]/10^6</f>
        <v>0</v>
      </c>
      <c r="V45" s="62" cm="1">
        <f t="array" ref="V45">INDEX(tblPrices[cv_2027], MATCH(tblTelecomUnits[[#This Row],[Products]],tblPrices[Products],0), 0)* tblTelecomUnits[[#This Row],[cv_2027]]/10^6</f>
        <v>0</v>
      </c>
      <c r="W45" s="62" cm="1">
        <f t="array" ref="W45">INDEX(tblPrices[cv_2028], MATCH(tblTelecomUnits[[#This Row],[Products]],tblPrices[Products],0), 0)* tblTelecomUnits[[#This Row],[cv_2028]]/10^6</f>
        <v>0</v>
      </c>
      <c r="X45" s="1">
        <f>VLOOKUP(A45,Products!$A$29:$F$110,6,FALSE)</f>
        <v>100</v>
      </c>
    </row>
    <row r="46" spans="1:24">
      <c r="A46" s="15" t="s">
        <v>180</v>
      </c>
      <c r="B46" s="8">
        <v>0</v>
      </c>
      <c r="C46" s="8">
        <v>0</v>
      </c>
      <c r="D46" s="8"/>
      <c r="E46" s="8"/>
      <c r="F46" s="8"/>
      <c r="G46" s="8"/>
      <c r="H46" s="8"/>
      <c r="I46" s="8"/>
      <c r="J46" s="8"/>
      <c r="K46" s="8"/>
      <c r="L46" s="8"/>
      <c r="M46" s="62" cm="1">
        <f t="array" ref="M46">INDEX(tblPrices[cv_2018], MATCH(tblTelecomUnits[[#This Row],[Products]],tblPrices[Products],0), 0)* tblTelecomUnits[[#This Row],[cv_2018]]/10^6</f>
        <v>0</v>
      </c>
      <c r="N46" s="62" cm="1">
        <f t="array" ref="N46">INDEX(tblPrices[cv_2019], MATCH(tblTelecomUnits[[#This Row],[Products]],tblPrices[Products],0), 0)* tblTelecomUnits[[#This Row],[cv_2019]]/10^6</f>
        <v>0</v>
      </c>
      <c r="O46" s="62" cm="1">
        <f t="array" ref="O46">INDEX(tblPrices[cv_2020], MATCH(tblTelecomUnits[[#This Row],[Products]],tblPrices[Products],0), 0)* tblTelecomUnits[[#This Row],[cv_2020]]/10^6</f>
        <v>0</v>
      </c>
      <c r="P46" s="62" cm="1">
        <f t="array" ref="P46">INDEX(tblPrices[cv_2021], MATCH(tblTelecomUnits[[#This Row],[Products]],tblPrices[Products],0), 0)* tblTelecomUnits[[#This Row],[cv_2021]]/10^6</f>
        <v>0</v>
      </c>
      <c r="Q46" s="62" cm="1">
        <f t="array" ref="Q46">INDEX(tblPrices[cv_2022], MATCH(tblTelecomUnits[[#This Row],[Products]],tblPrices[Products],0), 0)* tblTelecomUnits[[#This Row],[cv_2022]]/10^6</f>
        <v>0</v>
      </c>
      <c r="R46" s="62" cm="1">
        <f t="array" ref="R46">INDEX(tblPrices[cv_2023], MATCH(tblTelecomUnits[[#This Row],[Products]],tblPrices[Products],0), 0)* tblTelecomUnits[[#This Row],[cv_2023]]/10^6</f>
        <v>0</v>
      </c>
      <c r="S46" s="62" cm="1">
        <f t="array" ref="S46">INDEX(tblPrices[cv_2024], MATCH(tblTelecomUnits[[#This Row],[Products]],tblPrices[Products],0), 0)* tblTelecomUnits[[#This Row],[cv_2024]]/10^6</f>
        <v>0</v>
      </c>
      <c r="T46" s="62" cm="1">
        <f t="array" ref="T46">INDEX(tblPrices[cv_2025], MATCH(tblTelecomUnits[[#This Row],[Products]],tblPrices[Products],0), 0)* tblTelecomUnits[[#This Row],[cv_2025]]/10^6</f>
        <v>0</v>
      </c>
      <c r="U46" s="62" cm="1">
        <f t="array" ref="U46">INDEX(tblPrices[cv_2026], MATCH(tblTelecomUnits[[#This Row],[Products]],tblPrices[Products],0), 0)* tblTelecomUnits[[#This Row],[cv_2026]]/10^6</f>
        <v>0</v>
      </c>
      <c r="V46" s="62" cm="1">
        <f t="array" ref="V46">INDEX(tblPrices[cv_2027], MATCH(tblTelecomUnits[[#This Row],[Products]],tblPrices[Products],0), 0)* tblTelecomUnits[[#This Row],[cv_2027]]/10^6</f>
        <v>0</v>
      </c>
      <c r="W46" s="62" cm="1">
        <f t="array" ref="W46">INDEX(tblPrices[cv_2028], MATCH(tblTelecomUnits[[#This Row],[Products]],tblPrices[Products],0), 0)* tblTelecomUnits[[#This Row],[cv_2028]]/10^6</f>
        <v>0</v>
      </c>
      <c r="X46" s="1">
        <f>VLOOKUP(A46,Products!$A$29:$F$110,6,FALSE)</f>
        <v>100</v>
      </c>
    </row>
    <row r="47" spans="1:24">
      <c r="A47" s="15" t="s">
        <v>181</v>
      </c>
      <c r="B47" s="8">
        <v>0</v>
      </c>
      <c r="C47" s="8">
        <v>0</v>
      </c>
      <c r="D47" s="8"/>
      <c r="E47" s="8"/>
      <c r="F47" s="8"/>
      <c r="G47" s="8"/>
      <c r="H47" s="8"/>
      <c r="I47" s="8"/>
      <c r="J47" s="8"/>
      <c r="K47" s="8"/>
      <c r="L47" s="8"/>
      <c r="M47" s="62" cm="1">
        <f t="array" ref="M47">INDEX(tblPrices[cv_2018], MATCH(tblTelecomUnits[[#This Row],[Products]],tblPrices[Products],0), 0)* tblTelecomUnits[[#This Row],[cv_2018]]/10^6</f>
        <v>0</v>
      </c>
      <c r="N47" s="62" cm="1">
        <f t="array" ref="N47">INDEX(tblPrices[cv_2019], MATCH(tblTelecomUnits[[#This Row],[Products]],tblPrices[Products],0), 0)* tblTelecomUnits[[#This Row],[cv_2019]]/10^6</f>
        <v>0</v>
      </c>
      <c r="O47" s="62" cm="1">
        <f t="array" ref="O47">INDEX(tblPrices[cv_2020], MATCH(tblTelecomUnits[[#This Row],[Products]],tblPrices[Products],0), 0)* tblTelecomUnits[[#This Row],[cv_2020]]/10^6</f>
        <v>0</v>
      </c>
      <c r="P47" s="62" cm="1">
        <f t="array" ref="P47">INDEX(tblPrices[cv_2021], MATCH(tblTelecomUnits[[#This Row],[Products]],tblPrices[Products],0), 0)* tblTelecomUnits[[#This Row],[cv_2021]]/10^6</f>
        <v>0</v>
      </c>
      <c r="Q47" s="62" cm="1">
        <f t="array" ref="Q47">INDEX(tblPrices[cv_2022], MATCH(tblTelecomUnits[[#This Row],[Products]],tblPrices[Products],0), 0)* tblTelecomUnits[[#This Row],[cv_2022]]/10^6</f>
        <v>0</v>
      </c>
      <c r="R47" s="62" cm="1">
        <f t="array" ref="R47">INDEX(tblPrices[cv_2023], MATCH(tblTelecomUnits[[#This Row],[Products]],tblPrices[Products],0), 0)* tblTelecomUnits[[#This Row],[cv_2023]]/10^6</f>
        <v>0</v>
      </c>
      <c r="S47" s="62" cm="1">
        <f t="array" ref="S47">INDEX(tblPrices[cv_2024], MATCH(tblTelecomUnits[[#This Row],[Products]],tblPrices[Products],0), 0)* tblTelecomUnits[[#This Row],[cv_2024]]/10^6</f>
        <v>0</v>
      </c>
      <c r="T47" s="62" cm="1">
        <f t="array" ref="T47">INDEX(tblPrices[cv_2025], MATCH(tblTelecomUnits[[#This Row],[Products]],tblPrices[Products],0), 0)* tblTelecomUnits[[#This Row],[cv_2025]]/10^6</f>
        <v>0</v>
      </c>
      <c r="U47" s="62" cm="1">
        <f t="array" ref="U47">INDEX(tblPrices[cv_2026], MATCH(tblTelecomUnits[[#This Row],[Products]],tblPrices[Products],0), 0)* tblTelecomUnits[[#This Row],[cv_2026]]/10^6</f>
        <v>0</v>
      </c>
      <c r="V47" s="62" cm="1">
        <f t="array" ref="V47">INDEX(tblPrices[cv_2027], MATCH(tblTelecomUnits[[#This Row],[Products]],tblPrices[Products],0), 0)* tblTelecomUnits[[#This Row],[cv_2027]]/10^6</f>
        <v>0</v>
      </c>
      <c r="W47" s="62" cm="1">
        <f t="array" ref="W47">INDEX(tblPrices[cv_2028], MATCH(tblTelecomUnits[[#This Row],[Products]],tblPrices[Products],0), 0)* tblTelecomUnits[[#This Row],[cv_2028]]/10^6</f>
        <v>0</v>
      </c>
      <c r="X47" s="1">
        <f>VLOOKUP(A47,Products!$A$29:$F$110,6,FALSE)</f>
        <v>100</v>
      </c>
    </row>
    <row r="48" spans="1:24">
      <c r="A48" s="15" t="s">
        <v>4</v>
      </c>
      <c r="B48" s="8">
        <v>0</v>
      </c>
      <c r="C48" s="8">
        <v>0</v>
      </c>
      <c r="D48" s="8"/>
      <c r="E48" s="8"/>
      <c r="F48" s="8"/>
      <c r="G48" s="8"/>
      <c r="H48" s="8"/>
      <c r="I48" s="8"/>
      <c r="J48" s="8"/>
      <c r="K48" s="8"/>
      <c r="L48" s="8"/>
      <c r="M48" s="62" cm="1">
        <f t="array" ref="M48">INDEX(tblPrices[cv_2018], MATCH(tblTelecomUnits[[#This Row],[Products]],tblPrices[Products],0), 0)* tblTelecomUnits[[#This Row],[cv_2018]]/10^6</f>
        <v>0</v>
      </c>
      <c r="N48" s="62" cm="1">
        <f t="array" ref="N48">INDEX(tblPrices[cv_2019], MATCH(tblTelecomUnits[[#This Row],[Products]],tblPrices[Products],0), 0)* tblTelecomUnits[[#This Row],[cv_2019]]/10^6</f>
        <v>0</v>
      </c>
      <c r="O48" s="62" cm="1">
        <f t="array" ref="O48">INDEX(tblPrices[cv_2020], MATCH(tblTelecomUnits[[#This Row],[Products]],tblPrices[Products],0), 0)* tblTelecomUnits[[#This Row],[cv_2020]]/10^6</f>
        <v>0</v>
      </c>
      <c r="P48" s="62" cm="1">
        <f t="array" ref="P48">INDEX(tblPrices[cv_2021], MATCH(tblTelecomUnits[[#This Row],[Products]],tblPrices[Products],0), 0)* tblTelecomUnits[[#This Row],[cv_2021]]/10^6</f>
        <v>0</v>
      </c>
      <c r="Q48" s="62" cm="1">
        <f t="array" ref="Q48">INDEX(tblPrices[cv_2022], MATCH(tblTelecomUnits[[#This Row],[Products]],tblPrices[Products],0), 0)* tblTelecomUnits[[#This Row],[cv_2022]]/10^6</f>
        <v>0</v>
      </c>
      <c r="R48" s="62" cm="1">
        <f t="array" ref="R48">INDEX(tblPrices[cv_2023], MATCH(tblTelecomUnits[[#This Row],[Products]],tblPrices[Products],0), 0)* tblTelecomUnits[[#This Row],[cv_2023]]/10^6</f>
        <v>0</v>
      </c>
      <c r="S48" s="62" cm="1">
        <f t="array" ref="S48">INDEX(tblPrices[cv_2024], MATCH(tblTelecomUnits[[#This Row],[Products]],tblPrices[Products],0), 0)* tblTelecomUnits[[#This Row],[cv_2024]]/10^6</f>
        <v>0</v>
      </c>
      <c r="T48" s="62" cm="1">
        <f t="array" ref="T48">INDEX(tblPrices[cv_2025], MATCH(tblTelecomUnits[[#This Row],[Products]],tblPrices[Products],0), 0)* tblTelecomUnits[[#This Row],[cv_2025]]/10^6</f>
        <v>0</v>
      </c>
      <c r="U48" s="62" cm="1">
        <f t="array" ref="U48">INDEX(tblPrices[cv_2026], MATCH(tblTelecomUnits[[#This Row],[Products]],tblPrices[Products],0), 0)* tblTelecomUnits[[#This Row],[cv_2026]]/10^6</f>
        <v>0</v>
      </c>
      <c r="V48" s="62" cm="1">
        <f t="array" ref="V48">INDEX(tblPrices[cv_2027], MATCH(tblTelecomUnits[[#This Row],[Products]],tblPrices[Products],0), 0)* tblTelecomUnits[[#This Row],[cv_2027]]/10^6</f>
        <v>0</v>
      </c>
      <c r="W48" s="62" cm="1">
        <f t="array" ref="W48">INDEX(tblPrices[cv_2028], MATCH(tblTelecomUnits[[#This Row],[Products]],tblPrices[Products],0), 0)* tblTelecomUnits[[#This Row],[cv_2028]]/10^6</f>
        <v>0</v>
      </c>
      <c r="X48" s="1">
        <f>VLOOKUP(A48,Products!$A$29:$F$110,6,FALSE)</f>
        <v>100</v>
      </c>
    </row>
    <row r="49" spans="1:24">
      <c r="A49" s="15" t="s">
        <v>43</v>
      </c>
      <c r="B49" s="8">
        <v>0</v>
      </c>
      <c r="C49" s="8">
        <v>0</v>
      </c>
      <c r="D49" s="8"/>
      <c r="E49" s="8"/>
      <c r="F49" s="8"/>
      <c r="G49" s="8"/>
      <c r="H49" s="8"/>
      <c r="I49" s="8"/>
      <c r="J49" s="8"/>
      <c r="K49" s="8"/>
      <c r="L49" s="8"/>
      <c r="M49" s="62" cm="1">
        <f t="array" ref="M49">INDEX(tblPrices[cv_2018], MATCH(tblTelecomUnits[[#This Row],[Products]],tblPrices[Products],0), 0)* tblTelecomUnits[[#This Row],[cv_2018]]/10^6</f>
        <v>0</v>
      </c>
      <c r="N49" s="62" cm="1">
        <f t="array" ref="N49">INDEX(tblPrices[cv_2019], MATCH(tblTelecomUnits[[#This Row],[Products]],tblPrices[Products],0), 0)* tblTelecomUnits[[#This Row],[cv_2019]]/10^6</f>
        <v>0</v>
      </c>
      <c r="O49" s="62" cm="1">
        <f t="array" ref="O49">INDEX(tblPrices[cv_2020], MATCH(tblTelecomUnits[[#This Row],[Products]],tblPrices[Products],0), 0)* tblTelecomUnits[[#This Row],[cv_2020]]/10^6</f>
        <v>0</v>
      </c>
      <c r="P49" s="62" cm="1">
        <f t="array" ref="P49">INDEX(tblPrices[cv_2021], MATCH(tblTelecomUnits[[#This Row],[Products]],tblPrices[Products],0), 0)* tblTelecomUnits[[#This Row],[cv_2021]]/10^6</f>
        <v>0</v>
      </c>
      <c r="Q49" s="62" cm="1">
        <f t="array" ref="Q49">INDEX(tblPrices[cv_2022], MATCH(tblTelecomUnits[[#This Row],[Products]],tblPrices[Products],0), 0)* tblTelecomUnits[[#This Row],[cv_2022]]/10^6</f>
        <v>0</v>
      </c>
      <c r="R49" s="62" cm="1">
        <f t="array" ref="R49">INDEX(tblPrices[cv_2023], MATCH(tblTelecomUnits[[#This Row],[Products]],tblPrices[Products],0), 0)* tblTelecomUnits[[#This Row],[cv_2023]]/10^6</f>
        <v>0</v>
      </c>
      <c r="S49" s="62" cm="1">
        <f t="array" ref="S49">INDEX(tblPrices[cv_2024], MATCH(tblTelecomUnits[[#This Row],[Products]],tblPrices[Products],0), 0)* tblTelecomUnits[[#This Row],[cv_2024]]/10^6</f>
        <v>0</v>
      </c>
      <c r="T49" s="62" cm="1">
        <f t="array" ref="T49">INDEX(tblPrices[cv_2025], MATCH(tblTelecomUnits[[#This Row],[Products]],tblPrices[Products],0), 0)* tblTelecomUnits[[#This Row],[cv_2025]]/10^6</f>
        <v>0</v>
      </c>
      <c r="U49" s="62" cm="1">
        <f t="array" ref="U49">INDEX(tblPrices[cv_2026], MATCH(tblTelecomUnits[[#This Row],[Products]],tblPrices[Products],0), 0)* tblTelecomUnits[[#This Row],[cv_2026]]/10^6</f>
        <v>0</v>
      </c>
      <c r="V49" s="62" cm="1">
        <f t="array" ref="V49">INDEX(tblPrices[cv_2027], MATCH(tblTelecomUnits[[#This Row],[Products]],tblPrices[Products],0), 0)* tblTelecomUnits[[#This Row],[cv_2027]]/10^6</f>
        <v>0</v>
      </c>
      <c r="W49" s="62" cm="1">
        <f t="array" ref="W49">INDEX(tblPrices[cv_2028], MATCH(tblTelecomUnits[[#This Row],[Products]],tblPrices[Products],0), 0)* tblTelecomUnits[[#This Row],[cv_2028]]/10^6</f>
        <v>0</v>
      </c>
      <c r="X49" s="1">
        <f>VLOOKUP(A49,Products!$A$29:$F$110,6,FALSE)</f>
        <v>100</v>
      </c>
    </row>
    <row r="50" spans="1:24">
      <c r="A50" s="15" t="s">
        <v>44</v>
      </c>
      <c r="B50" s="8">
        <v>0</v>
      </c>
      <c r="C50" s="8">
        <v>0</v>
      </c>
      <c r="D50" s="8"/>
      <c r="E50" s="8"/>
      <c r="F50" s="8"/>
      <c r="G50" s="8"/>
      <c r="H50" s="8"/>
      <c r="I50" s="8"/>
      <c r="J50" s="8"/>
      <c r="K50" s="8"/>
      <c r="L50" s="8"/>
      <c r="M50" s="62" cm="1">
        <f t="array" ref="M50">INDEX(tblPrices[cv_2018], MATCH(tblTelecomUnits[[#This Row],[Products]],tblPrices[Products],0), 0)* tblTelecomUnits[[#This Row],[cv_2018]]/10^6</f>
        <v>0</v>
      </c>
      <c r="N50" s="62" cm="1">
        <f t="array" ref="N50">INDEX(tblPrices[cv_2019], MATCH(tblTelecomUnits[[#This Row],[Products]],tblPrices[Products],0), 0)* tblTelecomUnits[[#This Row],[cv_2019]]/10^6</f>
        <v>0</v>
      </c>
      <c r="O50" s="62" cm="1">
        <f t="array" ref="O50">INDEX(tblPrices[cv_2020], MATCH(tblTelecomUnits[[#This Row],[Products]],tblPrices[Products],0), 0)* tblTelecomUnits[[#This Row],[cv_2020]]/10^6</f>
        <v>0</v>
      </c>
      <c r="P50" s="62" cm="1">
        <f t="array" ref="P50">INDEX(tblPrices[cv_2021], MATCH(tblTelecomUnits[[#This Row],[Products]],tblPrices[Products],0), 0)* tblTelecomUnits[[#This Row],[cv_2021]]/10^6</f>
        <v>0</v>
      </c>
      <c r="Q50" s="62" cm="1">
        <f t="array" ref="Q50">INDEX(tblPrices[cv_2022], MATCH(tblTelecomUnits[[#This Row],[Products]],tblPrices[Products],0), 0)* tblTelecomUnits[[#This Row],[cv_2022]]/10^6</f>
        <v>0</v>
      </c>
      <c r="R50" s="62" cm="1">
        <f t="array" ref="R50">INDEX(tblPrices[cv_2023], MATCH(tblTelecomUnits[[#This Row],[Products]],tblPrices[Products],0), 0)* tblTelecomUnits[[#This Row],[cv_2023]]/10^6</f>
        <v>0</v>
      </c>
      <c r="S50" s="62" cm="1">
        <f t="array" ref="S50">INDEX(tblPrices[cv_2024], MATCH(tblTelecomUnits[[#This Row],[Products]],tblPrices[Products],0), 0)* tblTelecomUnits[[#This Row],[cv_2024]]/10^6</f>
        <v>0</v>
      </c>
      <c r="T50" s="62" cm="1">
        <f t="array" ref="T50">INDEX(tblPrices[cv_2025], MATCH(tblTelecomUnits[[#This Row],[Products]],tblPrices[Products],0), 0)* tblTelecomUnits[[#This Row],[cv_2025]]/10^6</f>
        <v>0</v>
      </c>
      <c r="U50" s="62" cm="1">
        <f t="array" ref="U50">INDEX(tblPrices[cv_2026], MATCH(tblTelecomUnits[[#This Row],[Products]],tblPrices[Products],0), 0)* tblTelecomUnits[[#This Row],[cv_2026]]/10^6</f>
        <v>0</v>
      </c>
      <c r="V50" s="62" cm="1">
        <f t="array" ref="V50">INDEX(tblPrices[cv_2027], MATCH(tblTelecomUnits[[#This Row],[Products]],tblPrices[Products],0), 0)* tblTelecomUnits[[#This Row],[cv_2027]]/10^6</f>
        <v>0</v>
      </c>
      <c r="W50" s="62" cm="1">
        <f t="array" ref="W50">INDEX(tblPrices[cv_2028], MATCH(tblTelecomUnits[[#This Row],[Products]],tblPrices[Products],0), 0)* tblTelecomUnits[[#This Row],[cv_2028]]/10^6</f>
        <v>0</v>
      </c>
      <c r="X50" s="1">
        <f>VLOOKUP(A50,Products!$A$29:$F$110,6,FALSE)</f>
        <v>100</v>
      </c>
    </row>
    <row r="51" spans="1:24">
      <c r="A51" s="15" t="s">
        <v>40</v>
      </c>
      <c r="B51" s="8">
        <v>0</v>
      </c>
      <c r="C51" s="8">
        <v>0</v>
      </c>
      <c r="D51" s="8"/>
      <c r="E51" s="8"/>
      <c r="F51" s="8"/>
      <c r="G51" s="8"/>
      <c r="H51" s="8"/>
      <c r="I51" s="8"/>
      <c r="J51" s="8"/>
      <c r="K51" s="8"/>
      <c r="L51" s="8"/>
      <c r="M51" s="62" cm="1">
        <f t="array" ref="M51">INDEX(tblPrices[cv_2018], MATCH(tblTelecomUnits[[#This Row],[Products]],tblPrices[Products],0), 0)* tblTelecomUnits[[#This Row],[cv_2018]]/10^6</f>
        <v>0</v>
      </c>
      <c r="N51" s="62" cm="1">
        <f t="array" ref="N51">INDEX(tblPrices[cv_2019], MATCH(tblTelecomUnits[[#This Row],[Products]],tblPrices[Products],0), 0)* tblTelecomUnits[[#This Row],[cv_2019]]/10^6</f>
        <v>0</v>
      </c>
      <c r="O51" s="62" cm="1">
        <f t="array" ref="O51">INDEX(tblPrices[cv_2020], MATCH(tblTelecomUnits[[#This Row],[Products]],tblPrices[Products],0), 0)* tblTelecomUnits[[#This Row],[cv_2020]]/10^6</f>
        <v>0</v>
      </c>
      <c r="P51" s="62" cm="1">
        <f t="array" ref="P51">INDEX(tblPrices[cv_2021], MATCH(tblTelecomUnits[[#This Row],[Products]],tblPrices[Products],0), 0)* tblTelecomUnits[[#This Row],[cv_2021]]/10^6</f>
        <v>0</v>
      </c>
      <c r="Q51" s="62" cm="1">
        <f t="array" ref="Q51">INDEX(tblPrices[cv_2022], MATCH(tblTelecomUnits[[#This Row],[Products]],tblPrices[Products],0), 0)* tblTelecomUnits[[#This Row],[cv_2022]]/10^6</f>
        <v>0</v>
      </c>
      <c r="R51" s="62" cm="1">
        <f t="array" ref="R51">INDEX(tblPrices[cv_2023], MATCH(tblTelecomUnits[[#This Row],[Products]],tblPrices[Products],0), 0)* tblTelecomUnits[[#This Row],[cv_2023]]/10^6</f>
        <v>0</v>
      </c>
      <c r="S51" s="62" cm="1">
        <f t="array" ref="S51">INDEX(tblPrices[cv_2024], MATCH(tblTelecomUnits[[#This Row],[Products]],tblPrices[Products],0), 0)* tblTelecomUnits[[#This Row],[cv_2024]]/10^6</f>
        <v>0</v>
      </c>
      <c r="T51" s="62" cm="1">
        <f t="array" ref="T51">INDEX(tblPrices[cv_2025], MATCH(tblTelecomUnits[[#This Row],[Products]],tblPrices[Products],0), 0)* tblTelecomUnits[[#This Row],[cv_2025]]/10^6</f>
        <v>0</v>
      </c>
      <c r="U51" s="62" cm="1">
        <f t="array" ref="U51">INDEX(tblPrices[cv_2026], MATCH(tblTelecomUnits[[#This Row],[Products]],tblPrices[Products],0), 0)* tblTelecomUnits[[#This Row],[cv_2026]]/10^6</f>
        <v>0</v>
      </c>
      <c r="V51" s="62" cm="1">
        <f t="array" ref="V51">INDEX(tblPrices[cv_2027], MATCH(tblTelecomUnits[[#This Row],[Products]],tblPrices[Products],0), 0)* tblTelecomUnits[[#This Row],[cv_2027]]/10^6</f>
        <v>0</v>
      </c>
      <c r="W51" s="62" cm="1">
        <f t="array" ref="W51">INDEX(tblPrices[cv_2028], MATCH(tblTelecomUnits[[#This Row],[Products]],tblPrices[Products],0), 0)* tblTelecomUnits[[#This Row],[cv_2028]]/10^6</f>
        <v>0</v>
      </c>
      <c r="X51" s="1">
        <f>VLOOKUP(A51,Products!$A$29:$F$110,6,FALSE)</f>
        <v>100</v>
      </c>
    </row>
    <row r="52" spans="1:24">
      <c r="A52" s="15" t="s">
        <v>5</v>
      </c>
      <c r="B52" s="8">
        <v>0</v>
      </c>
      <c r="C52" s="8">
        <v>0</v>
      </c>
      <c r="D52" s="8"/>
      <c r="E52" s="8"/>
      <c r="F52" s="8"/>
      <c r="G52" s="8"/>
      <c r="H52" s="8"/>
      <c r="I52" s="8"/>
      <c r="J52" s="8"/>
      <c r="K52" s="8"/>
      <c r="L52" s="8"/>
      <c r="M52" s="62" cm="1">
        <f t="array" ref="M52">INDEX(tblPrices[cv_2018], MATCH(tblTelecomUnits[[#This Row],[Products]],tblPrices[Products],0), 0)* tblTelecomUnits[[#This Row],[cv_2018]]/10^6</f>
        <v>0</v>
      </c>
      <c r="N52" s="62" cm="1">
        <f t="array" ref="N52">INDEX(tblPrices[cv_2019], MATCH(tblTelecomUnits[[#This Row],[Products]],tblPrices[Products],0), 0)* tblTelecomUnits[[#This Row],[cv_2019]]/10^6</f>
        <v>0</v>
      </c>
      <c r="O52" s="62" cm="1">
        <f t="array" ref="O52">INDEX(tblPrices[cv_2020], MATCH(tblTelecomUnits[[#This Row],[Products]],tblPrices[Products],0), 0)* tblTelecomUnits[[#This Row],[cv_2020]]/10^6</f>
        <v>0</v>
      </c>
      <c r="P52" s="62" cm="1">
        <f t="array" ref="P52">INDEX(tblPrices[cv_2021], MATCH(tblTelecomUnits[[#This Row],[Products]],tblPrices[Products],0), 0)* tblTelecomUnits[[#This Row],[cv_2021]]/10^6</f>
        <v>0</v>
      </c>
      <c r="Q52" s="62" cm="1">
        <f t="array" ref="Q52">INDEX(tblPrices[cv_2022], MATCH(tblTelecomUnits[[#This Row],[Products]],tblPrices[Products],0), 0)* tblTelecomUnits[[#This Row],[cv_2022]]/10^6</f>
        <v>0</v>
      </c>
      <c r="R52" s="62" cm="1">
        <f t="array" ref="R52">INDEX(tblPrices[cv_2023], MATCH(tblTelecomUnits[[#This Row],[Products]],tblPrices[Products],0), 0)* tblTelecomUnits[[#This Row],[cv_2023]]/10^6</f>
        <v>0</v>
      </c>
      <c r="S52" s="62" cm="1">
        <f t="array" ref="S52">INDEX(tblPrices[cv_2024], MATCH(tblTelecomUnits[[#This Row],[Products]],tblPrices[Products],0), 0)* tblTelecomUnits[[#This Row],[cv_2024]]/10^6</f>
        <v>0</v>
      </c>
      <c r="T52" s="62" cm="1">
        <f t="array" ref="T52">INDEX(tblPrices[cv_2025], MATCH(tblTelecomUnits[[#This Row],[Products]],tblPrices[Products],0), 0)* tblTelecomUnits[[#This Row],[cv_2025]]/10^6</f>
        <v>0</v>
      </c>
      <c r="U52" s="62" cm="1">
        <f t="array" ref="U52">INDEX(tblPrices[cv_2026], MATCH(tblTelecomUnits[[#This Row],[Products]],tblPrices[Products],0), 0)* tblTelecomUnits[[#This Row],[cv_2026]]/10^6</f>
        <v>0</v>
      </c>
      <c r="V52" s="62" cm="1">
        <f t="array" ref="V52">INDEX(tblPrices[cv_2027], MATCH(tblTelecomUnits[[#This Row],[Products]],tblPrices[Products],0), 0)* tblTelecomUnits[[#This Row],[cv_2027]]/10^6</f>
        <v>0</v>
      </c>
      <c r="W52" s="62" cm="1">
        <f t="array" ref="W52">INDEX(tblPrices[cv_2028], MATCH(tblTelecomUnits[[#This Row],[Products]],tblPrices[Products],0), 0)* tblTelecomUnits[[#This Row],[cv_2028]]/10^6</f>
        <v>0</v>
      </c>
      <c r="X52" s="1">
        <f>VLOOKUP(A52,Products!$A$29:$F$110,6,FALSE)</f>
        <v>100</v>
      </c>
    </row>
    <row r="53" spans="1:24">
      <c r="A53" s="15" t="s">
        <v>45</v>
      </c>
      <c r="B53" s="8">
        <v>0</v>
      </c>
      <c r="C53" s="8">
        <v>0</v>
      </c>
      <c r="D53" s="8"/>
      <c r="E53" s="8"/>
      <c r="F53" s="8"/>
      <c r="G53" s="8"/>
      <c r="H53" s="8"/>
      <c r="I53" s="8"/>
      <c r="J53" s="8"/>
      <c r="K53" s="8"/>
      <c r="L53" s="8"/>
      <c r="M53" s="62" cm="1">
        <f t="array" ref="M53">INDEX(tblPrices[cv_2018], MATCH(tblTelecomUnits[[#This Row],[Products]],tblPrices[Products],0), 0)* tblTelecomUnits[[#This Row],[cv_2018]]/10^6</f>
        <v>0</v>
      </c>
      <c r="N53" s="62" cm="1">
        <f t="array" ref="N53">INDEX(tblPrices[cv_2019], MATCH(tblTelecomUnits[[#This Row],[Products]],tblPrices[Products],0), 0)* tblTelecomUnits[[#This Row],[cv_2019]]/10^6</f>
        <v>0</v>
      </c>
      <c r="O53" s="62" cm="1">
        <f t="array" ref="O53">INDEX(tblPrices[cv_2020], MATCH(tblTelecomUnits[[#This Row],[Products]],tblPrices[Products],0), 0)* tblTelecomUnits[[#This Row],[cv_2020]]/10^6</f>
        <v>0</v>
      </c>
      <c r="P53" s="62" cm="1">
        <f t="array" ref="P53">INDEX(tblPrices[cv_2021], MATCH(tblTelecomUnits[[#This Row],[Products]],tblPrices[Products],0), 0)* tblTelecomUnits[[#This Row],[cv_2021]]/10^6</f>
        <v>0</v>
      </c>
      <c r="Q53" s="62" cm="1">
        <f t="array" ref="Q53">INDEX(tblPrices[cv_2022], MATCH(tblTelecomUnits[[#This Row],[Products]],tblPrices[Products],0), 0)* tblTelecomUnits[[#This Row],[cv_2022]]/10^6</f>
        <v>0</v>
      </c>
      <c r="R53" s="62" cm="1">
        <f t="array" ref="R53">INDEX(tblPrices[cv_2023], MATCH(tblTelecomUnits[[#This Row],[Products]],tblPrices[Products],0), 0)* tblTelecomUnits[[#This Row],[cv_2023]]/10^6</f>
        <v>0</v>
      </c>
      <c r="S53" s="62" cm="1">
        <f t="array" ref="S53">INDEX(tblPrices[cv_2024], MATCH(tblTelecomUnits[[#This Row],[Products]],tblPrices[Products],0), 0)* tblTelecomUnits[[#This Row],[cv_2024]]/10^6</f>
        <v>0</v>
      </c>
      <c r="T53" s="62" cm="1">
        <f t="array" ref="T53">INDEX(tblPrices[cv_2025], MATCH(tblTelecomUnits[[#This Row],[Products]],tblPrices[Products],0), 0)* tblTelecomUnits[[#This Row],[cv_2025]]/10^6</f>
        <v>0</v>
      </c>
      <c r="U53" s="62" cm="1">
        <f t="array" ref="U53">INDEX(tblPrices[cv_2026], MATCH(tblTelecomUnits[[#This Row],[Products]],tblPrices[Products],0), 0)* tblTelecomUnits[[#This Row],[cv_2026]]/10^6</f>
        <v>0</v>
      </c>
      <c r="V53" s="62" cm="1">
        <f t="array" ref="V53">INDEX(tblPrices[cv_2027], MATCH(tblTelecomUnits[[#This Row],[Products]],tblPrices[Products],0), 0)* tblTelecomUnits[[#This Row],[cv_2027]]/10^6</f>
        <v>0</v>
      </c>
      <c r="W53" s="62" cm="1">
        <f t="array" ref="W53">INDEX(tblPrices[cv_2028], MATCH(tblTelecomUnits[[#This Row],[Products]],tblPrices[Products],0), 0)* tblTelecomUnits[[#This Row],[cv_2028]]/10^6</f>
        <v>0</v>
      </c>
      <c r="X53" s="1">
        <f>VLOOKUP(A53,Products!$A$29:$F$110,6,FALSE)</f>
        <v>100</v>
      </c>
    </row>
    <row r="54" spans="1:24">
      <c r="A54" s="15" t="s">
        <v>182</v>
      </c>
      <c r="B54" s="8">
        <v>38716</v>
      </c>
      <c r="C54" s="8">
        <v>28569</v>
      </c>
      <c r="D54" s="8"/>
      <c r="E54" s="8"/>
      <c r="F54" s="8"/>
      <c r="G54" s="8"/>
      <c r="H54" s="8"/>
      <c r="I54" s="8"/>
      <c r="J54" s="8"/>
      <c r="K54" s="8"/>
      <c r="L54" s="8"/>
      <c r="M54" s="62" cm="1">
        <f t="array" ref="M54">INDEX(tblPrices[cv_2018], MATCH(tblTelecomUnits[[#This Row],[Products]],tblPrices[Products],0), 0)* tblTelecomUnits[[#This Row],[cv_2018]]/10^6</f>
        <v>81.455872165940619</v>
      </c>
      <c r="N54" s="62" cm="1">
        <f t="array" ref="N54">INDEX(tblPrices[cv_2019], MATCH(tblTelecomUnits[[#This Row],[Products]],tblPrices[Products],0), 0)* tblTelecomUnits[[#This Row],[cv_2019]]/10^6</f>
        <v>42.080093008222939</v>
      </c>
      <c r="O54" s="62" cm="1">
        <f t="array" ref="O54">INDEX(tblPrices[cv_2020], MATCH(tblTelecomUnits[[#This Row],[Products]],tblPrices[Products],0), 0)* tblTelecomUnits[[#This Row],[cv_2020]]/10^6</f>
        <v>0</v>
      </c>
      <c r="P54" s="62" cm="1">
        <f t="array" ref="P54">INDEX(tblPrices[cv_2021], MATCH(tblTelecomUnits[[#This Row],[Products]],tblPrices[Products],0), 0)* tblTelecomUnits[[#This Row],[cv_2021]]/10^6</f>
        <v>0</v>
      </c>
      <c r="Q54" s="62" cm="1">
        <f t="array" ref="Q54">INDEX(tblPrices[cv_2022], MATCH(tblTelecomUnits[[#This Row],[Products]],tblPrices[Products],0), 0)* tblTelecomUnits[[#This Row],[cv_2022]]/10^6</f>
        <v>0</v>
      </c>
      <c r="R54" s="62" cm="1">
        <f t="array" ref="R54">INDEX(tblPrices[cv_2023], MATCH(tblTelecomUnits[[#This Row],[Products]],tblPrices[Products],0), 0)* tblTelecomUnits[[#This Row],[cv_2023]]/10^6</f>
        <v>0</v>
      </c>
      <c r="S54" s="62" cm="1">
        <f t="array" ref="S54">INDEX(tblPrices[cv_2024], MATCH(tblTelecomUnits[[#This Row],[Products]],tblPrices[Products],0), 0)* tblTelecomUnits[[#This Row],[cv_2024]]/10^6</f>
        <v>0</v>
      </c>
      <c r="T54" s="62" cm="1">
        <f t="array" ref="T54">INDEX(tblPrices[cv_2025], MATCH(tblTelecomUnits[[#This Row],[Products]],tblPrices[Products],0), 0)* tblTelecomUnits[[#This Row],[cv_2025]]/10^6</f>
        <v>0</v>
      </c>
      <c r="U54" s="62" cm="1">
        <f t="array" ref="U54">INDEX(tblPrices[cv_2026], MATCH(tblTelecomUnits[[#This Row],[Products]],tblPrices[Products],0), 0)* tblTelecomUnits[[#This Row],[cv_2026]]/10^6</f>
        <v>0</v>
      </c>
      <c r="V54" s="62" cm="1">
        <f t="array" ref="V54">INDEX(tblPrices[cv_2027], MATCH(tblTelecomUnits[[#This Row],[Products]],tblPrices[Products],0), 0)* tblTelecomUnits[[#This Row],[cv_2027]]/10^6</f>
        <v>0</v>
      </c>
      <c r="W54" s="62" cm="1">
        <f t="array" ref="W54">INDEX(tblPrices[cv_2028], MATCH(tblTelecomUnits[[#This Row],[Products]],tblPrices[Products],0), 0)* tblTelecomUnits[[#This Row],[cv_2028]]/10^6</f>
        <v>0</v>
      </c>
      <c r="X54" s="1">
        <f>VLOOKUP(A54,Products!$A$29:$F$110,6,FALSE)</f>
        <v>100</v>
      </c>
    </row>
    <row r="55" spans="1:24">
      <c r="A55" s="15" t="s">
        <v>183</v>
      </c>
      <c r="B55" s="8">
        <v>73797</v>
      </c>
      <c r="C55" s="8">
        <v>44060</v>
      </c>
      <c r="D55" s="8"/>
      <c r="E55" s="8"/>
      <c r="F55" s="8"/>
      <c r="G55" s="8"/>
      <c r="H55" s="8"/>
      <c r="I55" s="8"/>
      <c r="J55" s="8"/>
      <c r="K55" s="8"/>
      <c r="L55" s="8"/>
      <c r="M55" s="62" cm="1">
        <f t="array" ref="M55">INDEX(tblPrices[cv_2018], MATCH(tblTelecomUnits[[#This Row],[Products]],tblPrices[Products],0), 0)* tblTelecomUnits[[#This Row],[cv_2018]]/10^6</f>
        <v>101.21498299999995</v>
      </c>
      <c r="N55" s="62" cm="1">
        <f t="array" ref="N55">INDEX(tblPrices[cv_2019], MATCH(tblTelecomUnits[[#This Row],[Products]],tblPrices[Products],0), 0)* tblTelecomUnits[[#This Row],[cv_2019]]/10^6</f>
        <v>43.970804999999999</v>
      </c>
      <c r="O55" s="62" cm="1">
        <f t="array" ref="O55">INDEX(tblPrices[cv_2020], MATCH(tblTelecomUnits[[#This Row],[Products]],tblPrices[Products],0), 0)* tblTelecomUnits[[#This Row],[cv_2020]]/10^6</f>
        <v>0</v>
      </c>
      <c r="P55" s="62" cm="1">
        <f t="array" ref="P55">INDEX(tblPrices[cv_2021], MATCH(tblTelecomUnits[[#This Row],[Products]],tblPrices[Products],0), 0)* tblTelecomUnits[[#This Row],[cv_2021]]/10^6</f>
        <v>0</v>
      </c>
      <c r="Q55" s="62" cm="1">
        <f t="array" ref="Q55">INDEX(tblPrices[cv_2022], MATCH(tblTelecomUnits[[#This Row],[Products]],tblPrices[Products],0), 0)* tblTelecomUnits[[#This Row],[cv_2022]]/10^6</f>
        <v>0</v>
      </c>
      <c r="R55" s="62" cm="1">
        <f t="array" ref="R55">INDEX(tblPrices[cv_2023], MATCH(tblTelecomUnits[[#This Row],[Products]],tblPrices[Products],0), 0)* tblTelecomUnits[[#This Row],[cv_2023]]/10^6</f>
        <v>0</v>
      </c>
      <c r="S55" s="62" cm="1">
        <f t="array" ref="S55">INDEX(tblPrices[cv_2024], MATCH(tblTelecomUnits[[#This Row],[Products]],tblPrices[Products],0), 0)* tblTelecomUnits[[#This Row],[cv_2024]]/10^6</f>
        <v>0</v>
      </c>
      <c r="T55" s="62" cm="1">
        <f t="array" ref="T55">INDEX(tblPrices[cv_2025], MATCH(tblTelecomUnits[[#This Row],[Products]],tblPrices[Products],0), 0)* tblTelecomUnits[[#This Row],[cv_2025]]/10^6</f>
        <v>0</v>
      </c>
      <c r="U55" s="62" cm="1">
        <f t="array" ref="U55">INDEX(tblPrices[cv_2026], MATCH(tblTelecomUnits[[#This Row],[Products]],tblPrices[Products],0), 0)* tblTelecomUnits[[#This Row],[cv_2026]]/10^6</f>
        <v>0</v>
      </c>
      <c r="V55" s="62" cm="1">
        <f t="array" ref="V55">INDEX(tblPrices[cv_2027], MATCH(tblTelecomUnits[[#This Row],[Products]],tblPrices[Products],0), 0)* tblTelecomUnits[[#This Row],[cv_2027]]/10^6</f>
        <v>0</v>
      </c>
      <c r="W55" s="62" cm="1">
        <f t="array" ref="W55">INDEX(tblPrices[cv_2028], MATCH(tblTelecomUnits[[#This Row],[Products]],tblPrices[Products],0), 0)* tblTelecomUnits[[#This Row],[cv_2028]]/10^6</f>
        <v>0</v>
      </c>
      <c r="X55" s="1">
        <f>VLOOKUP(A55,Products!$A$29:$F$110,6,FALSE)</f>
        <v>100</v>
      </c>
    </row>
    <row r="56" spans="1:24">
      <c r="A56" s="15" t="s">
        <v>6</v>
      </c>
      <c r="B56" s="8">
        <v>119367.33529411763</v>
      </c>
      <c r="C56" s="8">
        <v>244741.95</v>
      </c>
      <c r="D56" s="8"/>
      <c r="E56" s="8"/>
      <c r="F56" s="8"/>
      <c r="G56" s="8"/>
      <c r="H56" s="8"/>
      <c r="I56" s="8"/>
      <c r="J56" s="8"/>
      <c r="K56" s="8"/>
      <c r="L56" s="8"/>
      <c r="M56" s="62" cm="1">
        <f t="array" ref="M56">INDEX(tblPrices[cv_2018], MATCH(tblTelecomUnits[[#This Row],[Products]],tblPrices[Products],0), 0)* tblTelecomUnits[[#This Row],[cv_2018]]/10^6</f>
        <v>99.532400954490555</v>
      </c>
      <c r="N56" s="62" cm="1">
        <f t="array" ref="N56">INDEX(tblPrices[cv_2019], MATCH(tblTelecomUnits[[#This Row],[Products]],tblPrices[Products],0), 0)* tblTelecomUnits[[#This Row],[cv_2019]]/10^6</f>
        <v>129.00034525448382</v>
      </c>
      <c r="O56" s="62" cm="1">
        <f t="array" ref="O56">INDEX(tblPrices[cv_2020], MATCH(tblTelecomUnits[[#This Row],[Products]],tblPrices[Products],0), 0)* tblTelecomUnits[[#This Row],[cv_2020]]/10^6</f>
        <v>0</v>
      </c>
      <c r="P56" s="62" cm="1">
        <f t="array" ref="P56">INDEX(tblPrices[cv_2021], MATCH(tblTelecomUnits[[#This Row],[Products]],tblPrices[Products],0), 0)* tblTelecomUnits[[#This Row],[cv_2021]]/10^6</f>
        <v>0</v>
      </c>
      <c r="Q56" s="62" cm="1">
        <f t="array" ref="Q56">INDEX(tblPrices[cv_2022], MATCH(tblTelecomUnits[[#This Row],[Products]],tblPrices[Products],0), 0)* tblTelecomUnits[[#This Row],[cv_2022]]/10^6</f>
        <v>0</v>
      </c>
      <c r="R56" s="62" cm="1">
        <f t="array" ref="R56">INDEX(tblPrices[cv_2023], MATCH(tblTelecomUnits[[#This Row],[Products]],tblPrices[Products],0), 0)* tblTelecomUnits[[#This Row],[cv_2023]]/10^6</f>
        <v>0</v>
      </c>
      <c r="S56" s="62" cm="1">
        <f t="array" ref="S56">INDEX(tblPrices[cv_2024], MATCH(tblTelecomUnits[[#This Row],[Products]],tblPrices[Products],0), 0)* tblTelecomUnits[[#This Row],[cv_2024]]/10^6</f>
        <v>0</v>
      </c>
      <c r="T56" s="62" cm="1">
        <f t="array" ref="T56">INDEX(tblPrices[cv_2025], MATCH(tblTelecomUnits[[#This Row],[Products]],tblPrices[Products],0), 0)* tblTelecomUnits[[#This Row],[cv_2025]]/10^6</f>
        <v>0</v>
      </c>
      <c r="U56" s="62" cm="1">
        <f t="array" ref="U56">INDEX(tblPrices[cv_2026], MATCH(tblTelecomUnits[[#This Row],[Products]],tblPrices[Products],0), 0)* tblTelecomUnits[[#This Row],[cv_2026]]/10^6</f>
        <v>0</v>
      </c>
      <c r="V56" s="62" cm="1">
        <f t="array" ref="V56">INDEX(tblPrices[cv_2027], MATCH(tblTelecomUnits[[#This Row],[Products]],tblPrices[Products],0), 0)* tblTelecomUnits[[#This Row],[cv_2027]]/10^6</f>
        <v>0</v>
      </c>
      <c r="W56" s="62" cm="1">
        <f t="array" ref="W56">INDEX(tblPrices[cv_2028], MATCH(tblTelecomUnits[[#This Row],[Products]],tblPrices[Products],0), 0)* tblTelecomUnits[[#This Row],[cv_2028]]/10^6</f>
        <v>0</v>
      </c>
      <c r="X56" s="1">
        <f>VLOOKUP(A56,Products!$A$29:$F$110,6,FALSE)</f>
        <v>100</v>
      </c>
    </row>
    <row r="57" spans="1:24">
      <c r="A57" s="15" t="s">
        <v>7</v>
      </c>
      <c r="B57" s="8">
        <v>0</v>
      </c>
      <c r="C57" s="8">
        <v>0</v>
      </c>
      <c r="D57" s="8"/>
      <c r="E57" s="8"/>
      <c r="F57" s="8"/>
      <c r="G57" s="8"/>
      <c r="H57" s="8"/>
      <c r="I57" s="8"/>
      <c r="J57" s="8"/>
      <c r="K57" s="8"/>
      <c r="L57" s="8"/>
      <c r="M57" s="62" cm="1">
        <f t="array" ref="M57">INDEX(tblPrices[cv_2018], MATCH(tblTelecomUnits[[#This Row],[Products]],tblPrices[Products],0), 0)* tblTelecomUnits[[#This Row],[cv_2018]]/10^6</f>
        <v>0</v>
      </c>
      <c r="N57" s="62" cm="1">
        <f t="array" ref="N57">INDEX(tblPrices[cv_2019], MATCH(tblTelecomUnits[[#This Row],[Products]],tblPrices[Products],0), 0)* tblTelecomUnits[[#This Row],[cv_2019]]/10^6</f>
        <v>0</v>
      </c>
      <c r="O57" s="62" cm="1">
        <f t="array" ref="O57">INDEX(tblPrices[cv_2020], MATCH(tblTelecomUnits[[#This Row],[Products]],tblPrices[Products],0), 0)* tblTelecomUnits[[#This Row],[cv_2020]]/10^6</f>
        <v>0</v>
      </c>
      <c r="P57" s="62" cm="1">
        <f t="array" ref="P57">INDEX(tblPrices[cv_2021], MATCH(tblTelecomUnits[[#This Row],[Products]],tblPrices[Products],0), 0)* tblTelecomUnits[[#This Row],[cv_2021]]/10^6</f>
        <v>0</v>
      </c>
      <c r="Q57" s="62" cm="1">
        <f t="array" ref="Q57">INDEX(tblPrices[cv_2022], MATCH(tblTelecomUnits[[#This Row],[Products]],tblPrices[Products],0), 0)* tblTelecomUnits[[#This Row],[cv_2022]]/10^6</f>
        <v>0</v>
      </c>
      <c r="R57" s="62" cm="1">
        <f t="array" ref="R57">INDEX(tblPrices[cv_2023], MATCH(tblTelecomUnits[[#This Row],[Products]],tblPrices[Products],0), 0)* tblTelecomUnits[[#This Row],[cv_2023]]/10^6</f>
        <v>0</v>
      </c>
      <c r="S57" s="62" cm="1">
        <f t="array" ref="S57">INDEX(tblPrices[cv_2024], MATCH(tblTelecomUnits[[#This Row],[Products]],tblPrices[Products],0), 0)* tblTelecomUnits[[#This Row],[cv_2024]]/10^6</f>
        <v>0</v>
      </c>
      <c r="T57" s="62" cm="1">
        <f t="array" ref="T57">INDEX(tblPrices[cv_2025], MATCH(tblTelecomUnits[[#This Row],[Products]],tblPrices[Products],0), 0)* tblTelecomUnits[[#This Row],[cv_2025]]/10^6</f>
        <v>0</v>
      </c>
      <c r="U57" s="62" cm="1">
        <f t="array" ref="U57">INDEX(tblPrices[cv_2026], MATCH(tblTelecomUnits[[#This Row],[Products]],tblPrices[Products],0), 0)* tblTelecomUnits[[#This Row],[cv_2026]]/10^6</f>
        <v>0</v>
      </c>
      <c r="V57" s="62" cm="1">
        <f t="array" ref="V57">INDEX(tblPrices[cv_2027], MATCH(tblTelecomUnits[[#This Row],[Products]],tblPrices[Products],0), 0)* tblTelecomUnits[[#This Row],[cv_2027]]/10^6</f>
        <v>0</v>
      </c>
      <c r="W57" s="62" cm="1">
        <f t="array" ref="W57">INDEX(tblPrices[cv_2028], MATCH(tblTelecomUnits[[#This Row],[Products]],tblPrices[Products],0), 0)* tblTelecomUnits[[#This Row],[cv_2028]]/10^6</f>
        <v>0</v>
      </c>
      <c r="X57" s="1">
        <f>VLOOKUP(A57,Products!$A$29:$F$110,6,FALSE)</f>
        <v>100</v>
      </c>
    </row>
    <row r="58" spans="1:24">
      <c r="A58" s="15" t="s">
        <v>8</v>
      </c>
      <c r="B58" s="8">
        <v>0</v>
      </c>
      <c r="C58" s="8">
        <v>2632.0000000000005</v>
      </c>
      <c r="D58" s="8"/>
      <c r="E58" s="8"/>
      <c r="F58" s="8"/>
      <c r="G58" s="8"/>
      <c r="H58" s="8"/>
      <c r="I58" s="8"/>
      <c r="J58" s="8"/>
      <c r="K58" s="8"/>
      <c r="L58" s="8"/>
      <c r="M58" s="62" cm="1">
        <f t="array" ref="M58">INDEX(tblPrices[cv_2018], MATCH(tblTelecomUnits[[#This Row],[Products]],tblPrices[Products],0), 0)* tblTelecomUnits[[#This Row],[cv_2018]]/10^6</f>
        <v>0</v>
      </c>
      <c r="N58" s="62" cm="1">
        <f t="array" ref="N58">INDEX(tblPrices[cv_2019], MATCH(tblTelecomUnits[[#This Row],[Products]],tblPrices[Products],0), 0)* tblTelecomUnits[[#This Row],[cv_2019]]/10^6</f>
        <v>4.4945220228750795</v>
      </c>
      <c r="O58" s="62" cm="1">
        <f t="array" ref="O58">INDEX(tblPrices[cv_2020], MATCH(tblTelecomUnits[[#This Row],[Products]],tblPrices[Products],0), 0)* tblTelecomUnits[[#This Row],[cv_2020]]/10^6</f>
        <v>0</v>
      </c>
      <c r="P58" s="62" cm="1">
        <f t="array" ref="P58">INDEX(tblPrices[cv_2021], MATCH(tblTelecomUnits[[#This Row],[Products]],tblPrices[Products],0), 0)* tblTelecomUnits[[#This Row],[cv_2021]]/10^6</f>
        <v>0</v>
      </c>
      <c r="Q58" s="62" cm="1">
        <f t="array" ref="Q58">INDEX(tblPrices[cv_2022], MATCH(tblTelecomUnits[[#This Row],[Products]],tblPrices[Products],0), 0)* tblTelecomUnits[[#This Row],[cv_2022]]/10^6</f>
        <v>0</v>
      </c>
      <c r="R58" s="62" cm="1">
        <f t="array" ref="R58">INDEX(tblPrices[cv_2023], MATCH(tblTelecomUnits[[#This Row],[Products]],tblPrices[Products],0), 0)* tblTelecomUnits[[#This Row],[cv_2023]]/10^6</f>
        <v>0</v>
      </c>
      <c r="S58" s="62" cm="1">
        <f t="array" ref="S58">INDEX(tblPrices[cv_2024], MATCH(tblTelecomUnits[[#This Row],[Products]],tblPrices[Products],0), 0)* tblTelecomUnits[[#This Row],[cv_2024]]/10^6</f>
        <v>0</v>
      </c>
      <c r="T58" s="62" cm="1">
        <f t="array" ref="T58">INDEX(tblPrices[cv_2025], MATCH(tblTelecomUnits[[#This Row],[Products]],tblPrices[Products],0), 0)* tblTelecomUnits[[#This Row],[cv_2025]]/10^6</f>
        <v>0</v>
      </c>
      <c r="U58" s="62" cm="1">
        <f t="array" ref="U58">INDEX(tblPrices[cv_2026], MATCH(tblTelecomUnits[[#This Row],[Products]],tblPrices[Products],0), 0)* tblTelecomUnits[[#This Row],[cv_2026]]/10^6</f>
        <v>0</v>
      </c>
      <c r="V58" s="62" cm="1">
        <f t="array" ref="V58">INDEX(tblPrices[cv_2027], MATCH(tblTelecomUnits[[#This Row],[Products]],tblPrices[Products],0), 0)* tblTelecomUnits[[#This Row],[cv_2027]]/10^6</f>
        <v>0</v>
      </c>
      <c r="W58" s="62" cm="1">
        <f t="array" ref="W58">INDEX(tblPrices[cv_2028], MATCH(tblTelecomUnits[[#This Row],[Products]],tblPrices[Products],0), 0)* tblTelecomUnits[[#This Row],[cv_2028]]/10^6</f>
        <v>0</v>
      </c>
      <c r="X58" s="1">
        <f>VLOOKUP(A58,Products!$A$29:$F$110,6,FALSE)</f>
        <v>100</v>
      </c>
    </row>
    <row r="59" spans="1:24">
      <c r="A59" s="15" t="s">
        <v>184</v>
      </c>
      <c r="B59" s="8">
        <v>4840</v>
      </c>
      <c r="C59" s="8">
        <v>17107.2</v>
      </c>
      <c r="D59" s="8"/>
      <c r="E59" s="8"/>
      <c r="F59" s="8"/>
      <c r="G59" s="8"/>
      <c r="H59" s="8"/>
      <c r="I59" s="8"/>
      <c r="J59" s="8"/>
      <c r="K59" s="8"/>
      <c r="L59" s="8"/>
      <c r="M59" s="62" cm="1">
        <f t="array" ref="M59">INDEX(tblPrices[cv_2018], MATCH(tblTelecomUnits[[#This Row],[Products]],tblPrices[Products],0), 0)* tblTelecomUnits[[#This Row],[cv_2018]]/10^6</f>
        <v>15.068293125925926</v>
      </c>
      <c r="N59" s="62" cm="1">
        <f t="array" ref="N59">INDEX(tblPrices[cv_2019], MATCH(tblTelecomUnits[[#This Row],[Products]],tblPrices[Products],0), 0)* tblTelecomUnits[[#This Row],[cv_2019]]/10^6</f>
        <v>38.984400065402241</v>
      </c>
      <c r="O59" s="62" cm="1">
        <f t="array" ref="O59">INDEX(tblPrices[cv_2020], MATCH(tblTelecomUnits[[#This Row],[Products]],tblPrices[Products],0), 0)* tblTelecomUnits[[#This Row],[cv_2020]]/10^6</f>
        <v>0</v>
      </c>
      <c r="P59" s="62" cm="1">
        <f t="array" ref="P59">INDEX(tblPrices[cv_2021], MATCH(tblTelecomUnits[[#This Row],[Products]],tblPrices[Products],0), 0)* tblTelecomUnits[[#This Row],[cv_2021]]/10^6</f>
        <v>0</v>
      </c>
      <c r="Q59" s="62" cm="1">
        <f t="array" ref="Q59">INDEX(tblPrices[cv_2022], MATCH(tblTelecomUnits[[#This Row],[Products]],tblPrices[Products],0), 0)* tblTelecomUnits[[#This Row],[cv_2022]]/10^6</f>
        <v>0</v>
      </c>
      <c r="R59" s="62" cm="1">
        <f t="array" ref="R59">INDEX(tblPrices[cv_2023], MATCH(tblTelecomUnits[[#This Row],[Products]],tblPrices[Products],0), 0)* tblTelecomUnits[[#This Row],[cv_2023]]/10^6</f>
        <v>0</v>
      </c>
      <c r="S59" s="62" cm="1">
        <f t="array" ref="S59">INDEX(tblPrices[cv_2024], MATCH(tblTelecomUnits[[#This Row],[Products]],tblPrices[Products],0), 0)* tblTelecomUnits[[#This Row],[cv_2024]]/10^6</f>
        <v>0</v>
      </c>
      <c r="T59" s="62" cm="1">
        <f t="array" ref="T59">INDEX(tblPrices[cv_2025], MATCH(tblTelecomUnits[[#This Row],[Products]],tblPrices[Products],0), 0)* tblTelecomUnits[[#This Row],[cv_2025]]/10^6</f>
        <v>0</v>
      </c>
      <c r="U59" s="62" cm="1">
        <f t="array" ref="U59">INDEX(tblPrices[cv_2026], MATCH(tblTelecomUnits[[#This Row],[Products]],tblPrices[Products],0), 0)* tblTelecomUnits[[#This Row],[cv_2026]]/10^6</f>
        <v>0</v>
      </c>
      <c r="V59" s="62" cm="1">
        <f t="array" ref="V59">INDEX(tblPrices[cv_2027], MATCH(tblTelecomUnits[[#This Row],[Products]],tblPrices[Products],0), 0)* tblTelecomUnits[[#This Row],[cv_2027]]/10^6</f>
        <v>0</v>
      </c>
      <c r="W59" s="62" cm="1">
        <f t="array" ref="W59">INDEX(tblPrices[cv_2028], MATCH(tblTelecomUnits[[#This Row],[Products]],tblPrices[Products],0), 0)* tblTelecomUnits[[#This Row],[cv_2028]]/10^6</f>
        <v>0</v>
      </c>
      <c r="X59" s="1">
        <f>VLOOKUP(A59,Products!$A$29:$F$110,6,FALSE)</f>
        <v>100</v>
      </c>
    </row>
    <row r="60" spans="1:24">
      <c r="A60" s="16" t="s">
        <v>185</v>
      </c>
      <c r="B60" s="8">
        <v>3240</v>
      </c>
      <c r="C60" s="8">
        <v>4280</v>
      </c>
      <c r="D60" s="8"/>
      <c r="E60" s="8"/>
      <c r="F60" s="8"/>
      <c r="G60" s="8"/>
      <c r="H60" s="8"/>
      <c r="I60" s="8"/>
      <c r="J60" s="8"/>
      <c r="K60" s="8"/>
      <c r="L60" s="8"/>
      <c r="M60" s="62" cm="1">
        <f t="array" ref="M60">INDEX(tblPrices[cv_2018], MATCH(tblTelecomUnits[[#This Row],[Products]],tblPrices[Products],0), 0)* tblTelecomUnits[[#This Row],[cv_2018]]/10^6</f>
        <v>16.005369442637175</v>
      </c>
      <c r="N60" s="62" cm="1">
        <f t="array" ref="N60">INDEX(tblPrices[cv_2019], MATCH(tblTelecomUnits[[#This Row],[Products]],tblPrices[Products],0), 0)* tblTelecomUnits[[#This Row],[cv_2019]]/10^6</f>
        <v>16.486803167484243</v>
      </c>
      <c r="O60" s="62" cm="1">
        <f t="array" ref="O60">INDEX(tblPrices[cv_2020], MATCH(tblTelecomUnits[[#This Row],[Products]],tblPrices[Products],0), 0)* tblTelecomUnits[[#This Row],[cv_2020]]/10^6</f>
        <v>0</v>
      </c>
      <c r="P60" s="62" cm="1">
        <f t="array" ref="P60">INDEX(tblPrices[cv_2021], MATCH(tblTelecomUnits[[#This Row],[Products]],tblPrices[Products],0), 0)* tblTelecomUnits[[#This Row],[cv_2021]]/10^6</f>
        <v>0</v>
      </c>
      <c r="Q60" s="62" cm="1">
        <f t="array" ref="Q60">INDEX(tblPrices[cv_2022], MATCH(tblTelecomUnits[[#This Row],[Products]],tblPrices[Products],0), 0)* tblTelecomUnits[[#This Row],[cv_2022]]/10^6</f>
        <v>0</v>
      </c>
      <c r="R60" s="62" cm="1">
        <f t="array" ref="R60">INDEX(tblPrices[cv_2023], MATCH(tblTelecomUnits[[#This Row],[Products]],tblPrices[Products],0), 0)* tblTelecomUnits[[#This Row],[cv_2023]]/10^6</f>
        <v>0</v>
      </c>
      <c r="S60" s="62" cm="1">
        <f t="array" ref="S60">INDEX(tblPrices[cv_2024], MATCH(tblTelecomUnits[[#This Row],[Products]],tblPrices[Products],0), 0)* tblTelecomUnits[[#This Row],[cv_2024]]/10^6</f>
        <v>0</v>
      </c>
      <c r="T60" s="62" cm="1">
        <f t="array" ref="T60">INDEX(tblPrices[cv_2025], MATCH(tblTelecomUnits[[#This Row],[Products]],tblPrices[Products],0), 0)* tblTelecomUnits[[#This Row],[cv_2025]]/10^6</f>
        <v>0</v>
      </c>
      <c r="U60" s="62" cm="1">
        <f t="array" ref="U60">INDEX(tblPrices[cv_2026], MATCH(tblTelecomUnits[[#This Row],[Products]],tblPrices[Products],0), 0)* tblTelecomUnits[[#This Row],[cv_2026]]/10^6</f>
        <v>0</v>
      </c>
      <c r="V60" s="62" cm="1">
        <f t="array" ref="V60">INDEX(tblPrices[cv_2027], MATCH(tblTelecomUnits[[#This Row],[Products]],tblPrices[Products],0), 0)* tblTelecomUnits[[#This Row],[cv_2027]]/10^6</f>
        <v>0</v>
      </c>
      <c r="W60" s="62" cm="1">
        <f t="array" ref="W60">INDEX(tblPrices[cv_2028], MATCH(tblTelecomUnits[[#This Row],[Products]],tblPrices[Products],0), 0)* tblTelecomUnits[[#This Row],[cv_2028]]/10^6</f>
        <v>0</v>
      </c>
      <c r="X60" s="1">
        <f>VLOOKUP(A60,Products!$A$29:$F$110,6,FALSE)</f>
        <v>100</v>
      </c>
    </row>
    <row r="61" spans="1:24">
      <c r="A61" s="15" t="s">
        <v>186</v>
      </c>
      <c r="B61" s="8">
        <v>0</v>
      </c>
      <c r="C61" s="8">
        <v>0</v>
      </c>
      <c r="D61" s="8"/>
      <c r="E61" s="8"/>
      <c r="F61" s="8"/>
      <c r="G61" s="8"/>
      <c r="H61" s="8"/>
      <c r="I61" s="8"/>
      <c r="J61" s="8"/>
      <c r="K61" s="8"/>
      <c r="L61" s="8"/>
      <c r="M61" s="62" cm="1">
        <f t="array" ref="M61">INDEX(tblPrices[cv_2018], MATCH(tblTelecomUnits[[#This Row],[Products]],tblPrices[Products],0), 0)* tblTelecomUnits[[#This Row],[cv_2018]]/10^6</f>
        <v>0</v>
      </c>
      <c r="N61" s="62" cm="1">
        <f t="array" ref="N61">INDEX(tblPrices[cv_2019], MATCH(tblTelecomUnits[[#This Row],[Products]],tblPrices[Products],0), 0)* tblTelecomUnits[[#This Row],[cv_2019]]/10^6</f>
        <v>0</v>
      </c>
      <c r="O61" s="62" cm="1">
        <f t="array" ref="O61">INDEX(tblPrices[cv_2020], MATCH(tblTelecomUnits[[#This Row],[Products]],tblPrices[Products],0), 0)* tblTelecomUnits[[#This Row],[cv_2020]]/10^6</f>
        <v>0</v>
      </c>
      <c r="P61" s="62" cm="1">
        <f t="array" ref="P61">INDEX(tblPrices[cv_2021], MATCH(tblTelecomUnits[[#This Row],[Products]],tblPrices[Products],0), 0)* tblTelecomUnits[[#This Row],[cv_2021]]/10^6</f>
        <v>0</v>
      </c>
      <c r="Q61" s="62" cm="1">
        <f t="array" ref="Q61">INDEX(tblPrices[cv_2022], MATCH(tblTelecomUnits[[#This Row],[Products]],tblPrices[Products],0), 0)* tblTelecomUnits[[#This Row],[cv_2022]]/10^6</f>
        <v>0</v>
      </c>
      <c r="R61" s="62" cm="1">
        <f t="array" ref="R61">INDEX(tblPrices[cv_2023], MATCH(tblTelecomUnits[[#This Row],[Products]],tblPrices[Products],0), 0)* tblTelecomUnits[[#This Row],[cv_2023]]/10^6</f>
        <v>0</v>
      </c>
      <c r="S61" s="62" cm="1">
        <f t="array" ref="S61">INDEX(tblPrices[cv_2024], MATCH(tblTelecomUnits[[#This Row],[Products]],tblPrices[Products],0), 0)* tblTelecomUnits[[#This Row],[cv_2024]]/10^6</f>
        <v>0</v>
      </c>
      <c r="T61" s="62" cm="1">
        <f t="array" ref="T61">INDEX(tblPrices[cv_2025], MATCH(tblTelecomUnits[[#This Row],[Products]],tblPrices[Products],0), 0)* tblTelecomUnits[[#This Row],[cv_2025]]/10^6</f>
        <v>0</v>
      </c>
      <c r="U61" s="62" cm="1">
        <f t="array" ref="U61">INDEX(tblPrices[cv_2026], MATCH(tblTelecomUnits[[#This Row],[Products]],tblPrices[Products],0), 0)* tblTelecomUnits[[#This Row],[cv_2026]]/10^6</f>
        <v>0</v>
      </c>
      <c r="V61" s="62" cm="1">
        <f t="array" ref="V61">INDEX(tblPrices[cv_2027], MATCH(tblTelecomUnits[[#This Row],[Products]],tblPrices[Products],0), 0)* tblTelecomUnits[[#This Row],[cv_2027]]/10^6</f>
        <v>0</v>
      </c>
      <c r="W61" s="62" cm="1">
        <f t="array" ref="W61">INDEX(tblPrices[cv_2028], MATCH(tblTelecomUnits[[#This Row],[Products]],tblPrices[Products],0), 0)* tblTelecomUnits[[#This Row],[cv_2028]]/10^6</f>
        <v>0</v>
      </c>
      <c r="X61" s="1">
        <f>VLOOKUP(A61,Products!$A$29:$F$110,6,FALSE)</f>
        <v>100</v>
      </c>
    </row>
    <row r="62" spans="1:24">
      <c r="A62" s="15" t="s">
        <v>47</v>
      </c>
      <c r="B62" s="8">
        <v>0</v>
      </c>
      <c r="C62" s="8">
        <v>0</v>
      </c>
      <c r="D62" s="8"/>
      <c r="E62" s="8"/>
      <c r="F62" s="8"/>
      <c r="G62" s="8"/>
      <c r="H62" s="8"/>
      <c r="I62" s="8"/>
      <c r="J62" s="8"/>
      <c r="K62" s="8"/>
      <c r="L62" s="8"/>
      <c r="M62" s="62" cm="1">
        <f t="array" ref="M62">INDEX(tblPrices[cv_2018], MATCH(tblTelecomUnits[[#This Row],[Products]],tblPrices[Products],0), 0)* tblTelecomUnits[[#This Row],[cv_2018]]/10^6</f>
        <v>0</v>
      </c>
      <c r="N62" s="62" cm="1">
        <f t="array" ref="N62">INDEX(tblPrices[cv_2019], MATCH(tblTelecomUnits[[#This Row],[Products]],tblPrices[Products],0), 0)* tblTelecomUnits[[#This Row],[cv_2019]]/10^6</f>
        <v>0</v>
      </c>
      <c r="O62" s="62" cm="1">
        <f t="array" ref="O62">INDEX(tblPrices[cv_2020], MATCH(tblTelecomUnits[[#This Row],[Products]],tblPrices[Products],0), 0)* tblTelecomUnits[[#This Row],[cv_2020]]/10^6</f>
        <v>0</v>
      </c>
      <c r="P62" s="62" cm="1">
        <f t="array" ref="P62">INDEX(tblPrices[cv_2021], MATCH(tblTelecomUnits[[#This Row],[Products]],tblPrices[Products],0), 0)* tblTelecomUnits[[#This Row],[cv_2021]]/10^6</f>
        <v>0</v>
      </c>
      <c r="Q62" s="62" cm="1">
        <f t="array" ref="Q62">INDEX(tblPrices[cv_2022], MATCH(tblTelecomUnits[[#This Row],[Products]],tblPrices[Products],0), 0)* tblTelecomUnits[[#This Row],[cv_2022]]/10^6</f>
        <v>0</v>
      </c>
      <c r="R62" s="62" cm="1">
        <f t="array" ref="R62">INDEX(tblPrices[cv_2023], MATCH(tblTelecomUnits[[#This Row],[Products]],tblPrices[Products],0), 0)* tblTelecomUnits[[#This Row],[cv_2023]]/10^6</f>
        <v>0</v>
      </c>
      <c r="S62" s="62" cm="1">
        <f t="array" ref="S62">INDEX(tblPrices[cv_2024], MATCH(tblTelecomUnits[[#This Row],[Products]],tblPrices[Products],0), 0)* tblTelecomUnits[[#This Row],[cv_2024]]/10^6</f>
        <v>0</v>
      </c>
      <c r="T62" s="62" cm="1">
        <f t="array" ref="T62">INDEX(tblPrices[cv_2025], MATCH(tblTelecomUnits[[#This Row],[Products]],tblPrices[Products],0), 0)* tblTelecomUnits[[#This Row],[cv_2025]]/10^6</f>
        <v>0</v>
      </c>
      <c r="U62" s="62" cm="1">
        <f t="array" ref="U62">INDEX(tblPrices[cv_2026], MATCH(tblTelecomUnits[[#This Row],[Products]],tblPrices[Products],0), 0)* tblTelecomUnits[[#This Row],[cv_2026]]/10^6</f>
        <v>0</v>
      </c>
      <c r="V62" s="62" cm="1">
        <f t="array" ref="V62">INDEX(tblPrices[cv_2027], MATCH(tblTelecomUnits[[#This Row],[Products]],tblPrices[Products],0), 0)* tblTelecomUnits[[#This Row],[cv_2027]]/10^6</f>
        <v>0</v>
      </c>
      <c r="W62" s="62" cm="1">
        <f t="array" ref="W62">INDEX(tblPrices[cv_2028], MATCH(tblTelecomUnits[[#This Row],[Products]],tblPrices[Products],0), 0)* tblTelecomUnits[[#This Row],[cv_2028]]/10^6</f>
        <v>0</v>
      </c>
      <c r="X62" s="1">
        <f>VLOOKUP(A62,Products!$A$29:$F$110,6,FALSE)</f>
        <v>200</v>
      </c>
    </row>
    <row r="63" spans="1:24">
      <c r="A63" s="15" t="s">
        <v>187</v>
      </c>
      <c r="B63" s="8">
        <v>0</v>
      </c>
      <c r="C63" s="8">
        <v>0</v>
      </c>
      <c r="D63" s="8"/>
      <c r="E63" s="8"/>
      <c r="F63" s="8"/>
      <c r="G63" s="8"/>
      <c r="H63" s="8"/>
      <c r="I63" s="8"/>
      <c r="J63" s="8"/>
      <c r="K63" s="8"/>
      <c r="L63" s="8"/>
      <c r="M63" s="62" cm="1">
        <f t="array" ref="M63">INDEX(tblPrices[cv_2018], MATCH(tblTelecomUnits[[#This Row],[Products]],tblPrices[Products],0), 0)* tblTelecomUnits[[#This Row],[cv_2018]]/10^6</f>
        <v>0</v>
      </c>
      <c r="N63" s="62" cm="1">
        <f t="array" ref="N63">INDEX(tblPrices[cv_2019], MATCH(tblTelecomUnits[[#This Row],[Products]],tblPrices[Products],0), 0)* tblTelecomUnits[[#This Row],[cv_2019]]/10^6</f>
        <v>0</v>
      </c>
      <c r="O63" s="62" cm="1">
        <f t="array" ref="O63">INDEX(tblPrices[cv_2020], MATCH(tblTelecomUnits[[#This Row],[Products]],tblPrices[Products],0), 0)* tblTelecomUnits[[#This Row],[cv_2020]]/10^6</f>
        <v>0</v>
      </c>
      <c r="P63" s="62" cm="1">
        <f t="array" ref="P63">INDEX(tblPrices[cv_2021], MATCH(tblTelecomUnits[[#This Row],[Products]],tblPrices[Products],0), 0)* tblTelecomUnits[[#This Row],[cv_2021]]/10^6</f>
        <v>0</v>
      </c>
      <c r="Q63" s="62" cm="1">
        <f t="array" ref="Q63">INDEX(tblPrices[cv_2022], MATCH(tblTelecomUnits[[#This Row],[Products]],tblPrices[Products],0), 0)* tblTelecomUnits[[#This Row],[cv_2022]]/10^6</f>
        <v>0</v>
      </c>
      <c r="R63" s="62" cm="1">
        <f t="array" ref="R63">INDEX(tblPrices[cv_2023], MATCH(tblTelecomUnits[[#This Row],[Products]],tblPrices[Products],0), 0)* tblTelecomUnits[[#This Row],[cv_2023]]/10^6</f>
        <v>0</v>
      </c>
      <c r="S63" s="62" cm="1">
        <f t="array" ref="S63">INDEX(tblPrices[cv_2024], MATCH(tblTelecomUnits[[#This Row],[Products]],tblPrices[Products],0), 0)* tblTelecomUnits[[#This Row],[cv_2024]]/10^6</f>
        <v>0</v>
      </c>
      <c r="T63" s="62" cm="1">
        <f t="array" ref="T63">INDEX(tblPrices[cv_2025], MATCH(tblTelecomUnits[[#This Row],[Products]],tblPrices[Products],0), 0)* tblTelecomUnits[[#This Row],[cv_2025]]/10^6</f>
        <v>0</v>
      </c>
      <c r="U63" s="62" cm="1">
        <f t="array" ref="U63">INDEX(tblPrices[cv_2026], MATCH(tblTelecomUnits[[#This Row],[Products]],tblPrices[Products],0), 0)* tblTelecomUnits[[#This Row],[cv_2026]]/10^6</f>
        <v>0</v>
      </c>
      <c r="V63" s="62" cm="1">
        <f t="array" ref="V63">INDEX(tblPrices[cv_2027], MATCH(tblTelecomUnits[[#This Row],[Products]],tblPrices[Products],0), 0)* tblTelecomUnits[[#This Row],[cv_2027]]/10^6</f>
        <v>0</v>
      </c>
      <c r="W63" s="62" cm="1">
        <f t="array" ref="W63">INDEX(tblPrices[cv_2028], MATCH(tblTelecomUnits[[#This Row],[Products]],tblPrices[Products],0), 0)* tblTelecomUnits[[#This Row],[cv_2028]]/10^6</f>
        <v>0</v>
      </c>
      <c r="X63" s="1">
        <f>VLOOKUP(A63,Products!$A$29:$F$110,6,FALSE)</f>
        <v>200</v>
      </c>
    </row>
    <row r="64" spans="1:24">
      <c r="A64" s="15" t="s">
        <v>41</v>
      </c>
      <c r="B64" s="8">
        <v>0</v>
      </c>
      <c r="C64" s="8">
        <v>0</v>
      </c>
      <c r="D64" s="8"/>
      <c r="E64" s="8"/>
      <c r="F64" s="8"/>
      <c r="G64" s="8"/>
      <c r="H64" s="8"/>
      <c r="I64" s="8"/>
      <c r="J64" s="8"/>
      <c r="K64" s="8"/>
      <c r="L64" s="8"/>
      <c r="M64" s="62" cm="1">
        <f t="array" ref="M64">INDEX(tblPrices[cv_2018], MATCH(tblTelecomUnits[[#This Row],[Products]],tblPrices[Products],0), 0)* tblTelecomUnits[[#This Row],[cv_2018]]/10^6</f>
        <v>0</v>
      </c>
      <c r="N64" s="62" cm="1">
        <f t="array" ref="N64">INDEX(tblPrices[cv_2019], MATCH(tblTelecomUnits[[#This Row],[Products]],tblPrices[Products],0), 0)* tblTelecomUnits[[#This Row],[cv_2019]]/10^6</f>
        <v>0</v>
      </c>
      <c r="O64" s="62" cm="1">
        <f t="array" ref="O64">INDEX(tblPrices[cv_2020], MATCH(tblTelecomUnits[[#This Row],[Products]],tblPrices[Products],0), 0)* tblTelecomUnits[[#This Row],[cv_2020]]/10^6</f>
        <v>0</v>
      </c>
      <c r="P64" s="62" cm="1">
        <f t="array" ref="P64">INDEX(tblPrices[cv_2021], MATCH(tblTelecomUnits[[#This Row],[Products]],tblPrices[Products],0), 0)* tblTelecomUnits[[#This Row],[cv_2021]]/10^6</f>
        <v>0</v>
      </c>
      <c r="Q64" s="62" cm="1">
        <f t="array" ref="Q64">INDEX(tblPrices[cv_2022], MATCH(tblTelecomUnits[[#This Row],[Products]],tblPrices[Products],0), 0)* tblTelecomUnits[[#This Row],[cv_2022]]/10^6</f>
        <v>0</v>
      </c>
      <c r="R64" s="62" cm="1">
        <f t="array" ref="R64">INDEX(tblPrices[cv_2023], MATCH(tblTelecomUnits[[#This Row],[Products]],tblPrices[Products],0), 0)* tblTelecomUnits[[#This Row],[cv_2023]]/10^6</f>
        <v>0</v>
      </c>
      <c r="S64" s="62" cm="1">
        <f t="array" ref="S64">INDEX(tblPrices[cv_2024], MATCH(tblTelecomUnits[[#This Row],[Products]],tblPrices[Products],0), 0)* tblTelecomUnits[[#This Row],[cv_2024]]/10^6</f>
        <v>0</v>
      </c>
      <c r="T64" s="62" cm="1">
        <f t="array" ref="T64">INDEX(tblPrices[cv_2025], MATCH(tblTelecomUnits[[#This Row],[Products]],tblPrices[Products],0), 0)* tblTelecomUnits[[#This Row],[cv_2025]]/10^6</f>
        <v>0</v>
      </c>
      <c r="U64" s="62" cm="1">
        <f t="array" ref="U64">INDEX(tblPrices[cv_2026], MATCH(tblTelecomUnits[[#This Row],[Products]],tblPrices[Products],0), 0)* tblTelecomUnits[[#This Row],[cv_2026]]/10^6</f>
        <v>0</v>
      </c>
      <c r="V64" s="62" cm="1">
        <f t="array" ref="V64">INDEX(tblPrices[cv_2027], MATCH(tblTelecomUnits[[#This Row],[Products]],tblPrices[Products],0), 0)* tblTelecomUnits[[#This Row],[cv_2027]]/10^6</f>
        <v>0</v>
      </c>
      <c r="W64" s="62" cm="1">
        <f t="array" ref="W64">INDEX(tblPrices[cv_2028], MATCH(tblTelecomUnits[[#This Row],[Products]],tblPrices[Products],0), 0)* tblTelecomUnits[[#This Row],[cv_2028]]/10^6</f>
        <v>0</v>
      </c>
      <c r="X64" s="1">
        <f>VLOOKUP(A64,Products!$A$29:$F$110,6,FALSE)</f>
        <v>200</v>
      </c>
    </row>
    <row r="65" spans="1:24">
      <c r="A65" s="15" t="s">
        <v>188</v>
      </c>
      <c r="B65" s="8">
        <v>0</v>
      </c>
      <c r="C65" s="8">
        <v>0</v>
      </c>
      <c r="D65" s="8"/>
      <c r="E65" s="8"/>
      <c r="F65" s="8"/>
      <c r="G65" s="8"/>
      <c r="H65" s="8"/>
      <c r="I65" s="8"/>
      <c r="J65" s="8"/>
      <c r="K65" s="8"/>
      <c r="L65" s="8"/>
      <c r="M65" s="62" cm="1">
        <f t="array" ref="M65">INDEX(tblPrices[cv_2018], MATCH(tblTelecomUnits[[#This Row],[Products]],tblPrices[Products],0), 0)* tblTelecomUnits[[#This Row],[cv_2018]]/10^6</f>
        <v>0</v>
      </c>
      <c r="N65" s="62" cm="1">
        <f t="array" ref="N65">INDEX(tblPrices[cv_2019], MATCH(tblTelecomUnits[[#This Row],[Products]],tblPrices[Products],0), 0)* tblTelecomUnits[[#This Row],[cv_2019]]/10^6</f>
        <v>0</v>
      </c>
      <c r="O65" s="62" cm="1">
        <f t="array" ref="O65">INDEX(tblPrices[cv_2020], MATCH(tblTelecomUnits[[#This Row],[Products]],tblPrices[Products],0), 0)* tblTelecomUnits[[#This Row],[cv_2020]]/10^6</f>
        <v>0</v>
      </c>
      <c r="P65" s="62" cm="1">
        <f t="array" ref="P65">INDEX(tblPrices[cv_2021], MATCH(tblTelecomUnits[[#This Row],[Products]],tblPrices[Products],0), 0)* tblTelecomUnits[[#This Row],[cv_2021]]/10^6</f>
        <v>0</v>
      </c>
      <c r="Q65" s="62" cm="1">
        <f t="array" ref="Q65">INDEX(tblPrices[cv_2022], MATCH(tblTelecomUnits[[#This Row],[Products]],tblPrices[Products],0), 0)* tblTelecomUnits[[#This Row],[cv_2022]]/10^6</f>
        <v>0</v>
      </c>
      <c r="R65" s="62" cm="1">
        <f t="array" ref="R65">INDEX(tblPrices[cv_2023], MATCH(tblTelecomUnits[[#This Row],[Products]],tblPrices[Products],0), 0)* tblTelecomUnits[[#This Row],[cv_2023]]/10^6</f>
        <v>0</v>
      </c>
      <c r="S65" s="62" cm="1">
        <f t="array" ref="S65">INDEX(tblPrices[cv_2024], MATCH(tblTelecomUnits[[#This Row],[Products]],tblPrices[Products],0), 0)* tblTelecomUnits[[#This Row],[cv_2024]]/10^6</f>
        <v>0</v>
      </c>
      <c r="T65" s="62" cm="1">
        <f t="array" ref="T65">INDEX(tblPrices[cv_2025], MATCH(tblTelecomUnits[[#This Row],[Products]],tblPrices[Products],0), 0)* tblTelecomUnits[[#This Row],[cv_2025]]/10^6</f>
        <v>0</v>
      </c>
      <c r="U65" s="62" cm="1">
        <f t="array" ref="U65">INDEX(tblPrices[cv_2026], MATCH(tblTelecomUnits[[#This Row],[Products]],tblPrices[Products],0), 0)* tblTelecomUnits[[#This Row],[cv_2026]]/10^6</f>
        <v>0</v>
      </c>
      <c r="V65" s="62" cm="1">
        <f t="array" ref="V65">INDEX(tblPrices[cv_2027], MATCH(tblTelecomUnits[[#This Row],[Products]],tblPrices[Products],0), 0)* tblTelecomUnits[[#This Row],[cv_2027]]/10^6</f>
        <v>0</v>
      </c>
      <c r="W65" s="62" cm="1">
        <f t="array" ref="W65">INDEX(tblPrices[cv_2028], MATCH(tblTelecomUnits[[#This Row],[Products]],tblPrices[Products],0), 0)* tblTelecomUnits[[#This Row],[cv_2028]]/10^6</f>
        <v>0</v>
      </c>
      <c r="X65" s="1">
        <f>VLOOKUP(A65,Products!$A$29:$F$110,6,FALSE)</f>
        <v>200</v>
      </c>
    </row>
    <row r="66" spans="1:24">
      <c r="A66" s="15" t="s">
        <v>189</v>
      </c>
      <c r="B66" s="8">
        <v>0</v>
      </c>
      <c r="C66" s="8">
        <v>0</v>
      </c>
      <c r="D66" s="8"/>
      <c r="E66" s="8"/>
      <c r="F66" s="8"/>
      <c r="G66" s="8"/>
      <c r="H66" s="8"/>
      <c r="I66" s="8"/>
      <c r="J66" s="8"/>
      <c r="K66" s="8"/>
      <c r="L66" s="8"/>
      <c r="M66" s="62" cm="1">
        <f t="array" ref="M66">INDEX(tblPrices[cv_2018], MATCH(tblTelecomUnits[[#This Row],[Products]],tblPrices[Products],0), 0)* tblTelecomUnits[[#This Row],[cv_2018]]/10^6</f>
        <v>0</v>
      </c>
      <c r="N66" s="62" cm="1">
        <f t="array" ref="N66">INDEX(tblPrices[cv_2019], MATCH(tblTelecomUnits[[#This Row],[Products]],tblPrices[Products],0), 0)* tblTelecomUnits[[#This Row],[cv_2019]]/10^6</f>
        <v>0</v>
      </c>
      <c r="O66" s="62" cm="1">
        <f t="array" ref="O66">INDEX(tblPrices[cv_2020], MATCH(tblTelecomUnits[[#This Row],[Products]],tblPrices[Products],0), 0)* tblTelecomUnits[[#This Row],[cv_2020]]/10^6</f>
        <v>0</v>
      </c>
      <c r="P66" s="62" cm="1">
        <f t="array" ref="P66">INDEX(tblPrices[cv_2021], MATCH(tblTelecomUnits[[#This Row],[Products]],tblPrices[Products],0), 0)* tblTelecomUnits[[#This Row],[cv_2021]]/10^6</f>
        <v>0</v>
      </c>
      <c r="Q66" s="62" cm="1">
        <f t="array" ref="Q66">INDEX(tblPrices[cv_2022], MATCH(tblTelecomUnits[[#This Row],[Products]],tblPrices[Products],0), 0)* tblTelecomUnits[[#This Row],[cv_2022]]/10^6</f>
        <v>0</v>
      </c>
      <c r="R66" s="62" cm="1">
        <f t="array" ref="R66">INDEX(tblPrices[cv_2023], MATCH(tblTelecomUnits[[#This Row],[Products]],tblPrices[Products],0), 0)* tblTelecomUnits[[#This Row],[cv_2023]]/10^6</f>
        <v>0</v>
      </c>
      <c r="S66" s="62" cm="1">
        <f t="array" ref="S66">INDEX(tblPrices[cv_2024], MATCH(tblTelecomUnits[[#This Row],[Products]],tblPrices[Products],0), 0)* tblTelecomUnits[[#This Row],[cv_2024]]/10^6</f>
        <v>0</v>
      </c>
      <c r="T66" s="62" cm="1">
        <f t="array" ref="T66">INDEX(tblPrices[cv_2025], MATCH(tblTelecomUnits[[#This Row],[Products]],tblPrices[Products],0), 0)* tblTelecomUnits[[#This Row],[cv_2025]]/10^6</f>
        <v>0</v>
      </c>
      <c r="U66" s="62" cm="1">
        <f t="array" ref="U66">INDEX(tblPrices[cv_2026], MATCH(tblTelecomUnits[[#This Row],[Products]],tblPrices[Products],0), 0)* tblTelecomUnits[[#This Row],[cv_2026]]/10^6</f>
        <v>0</v>
      </c>
      <c r="V66" s="62" cm="1">
        <f t="array" ref="V66">INDEX(tblPrices[cv_2027], MATCH(tblTelecomUnits[[#This Row],[Products]],tblPrices[Products],0), 0)* tblTelecomUnits[[#This Row],[cv_2027]]/10^6</f>
        <v>0</v>
      </c>
      <c r="W66" s="62" cm="1">
        <f t="array" ref="W66">INDEX(tblPrices[cv_2028], MATCH(tblTelecomUnits[[#This Row],[Products]],tblPrices[Products],0), 0)* tblTelecomUnits[[#This Row],[cv_2028]]/10^6</f>
        <v>0</v>
      </c>
      <c r="X66" s="1">
        <f>VLOOKUP(A66,Products!$A$29:$F$110,6,FALSE)</f>
        <v>200</v>
      </c>
    </row>
    <row r="67" spans="1:24">
      <c r="A67" s="15" t="s">
        <v>9</v>
      </c>
      <c r="B67" s="8">
        <v>0</v>
      </c>
      <c r="C67" s="8">
        <v>0</v>
      </c>
      <c r="D67" s="8"/>
      <c r="E67" s="8"/>
      <c r="F67" s="8"/>
      <c r="G67" s="8"/>
      <c r="H67" s="8"/>
      <c r="I67" s="8"/>
      <c r="J67" s="8"/>
      <c r="K67" s="8"/>
      <c r="L67" s="8"/>
      <c r="M67" s="62" cm="1">
        <f t="array" ref="M67">INDEX(tblPrices[cv_2018], MATCH(tblTelecomUnits[[#This Row],[Products]],tblPrices[Products],0), 0)* tblTelecomUnits[[#This Row],[cv_2018]]/10^6</f>
        <v>0</v>
      </c>
      <c r="N67" s="62" cm="1">
        <f t="array" ref="N67">INDEX(tblPrices[cv_2019], MATCH(tblTelecomUnits[[#This Row],[Products]],tblPrices[Products],0), 0)* tblTelecomUnits[[#This Row],[cv_2019]]/10^6</f>
        <v>0</v>
      </c>
      <c r="O67" s="62" cm="1">
        <f t="array" ref="O67">INDEX(tblPrices[cv_2020], MATCH(tblTelecomUnits[[#This Row],[Products]],tblPrices[Products],0), 0)* tblTelecomUnits[[#This Row],[cv_2020]]/10^6</f>
        <v>0</v>
      </c>
      <c r="P67" s="62" cm="1">
        <f t="array" ref="P67">INDEX(tblPrices[cv_2021], MATCH(tblTelecomUnits[[#This Row],[Products]],tblPrices[Products],0), 0)* tblTelecomUnits[[#This Row],[cv_2021]]/10^6</f>
        <v>0</v>
      </c>
      <c r="Q67" s="62" cm="1">
        <f t="array" ref="Q67">INDEX(tblPrices[cv_2022], MATCH(tblTelecomUnits[[#This Row],[Products]],tblPrices[Products],0), 0)* tblTelecomUnits[[#This Row],[cv_2022]]/10^6</f>
        <v>0</v>
      </c>
      <c r="R67" s="62" cm="1">
        <f t="array" ref="R67">INDEX(tblPrices[cv_2023], MATCH(tblTelecomUnits[[#This Row],[Products]],tblPrices[Products],0), 0)* tblTelecomUnits[[#This Row],[cv_2023]]/10^6</f>
        <v>0</v>
      </c>
      <c r="S67" s="62" cm="1">
        <f t="array" ref="S67">INDEX(tblPrices[cv_2024], MATCH(tblTelecomUnits[[#This Row],[Products]],tblPrices[Products],0), 0)* tblTelecomUnits[[#This Row],[cv_2024]]/10^6</f>
        <v>0</v>
      </c>
      <c r="T67" s="62" cm="1">
        <f t="array" ref="T67">INDEX(tblPrices[cv_2025], MATCH(tblTelecomUnits[[#This Row],[Products]],tblPrices[Products],0), 0)* tblTelecomUnits[[#This Row],[cv_2025]]/10^6</f>
        <v>0</v>
      </c>
      <c r="U67" s="62" cm="1">
        <f t="array" ref="U67">INDEX(tblPrices[cv_2026], MATCH(tblTelecomUnits[[#This Row],[Products]],tblPrices[Products],0), 0)* tblTelecomUnits[[#This Row],[cv_2026]]/10^6</f>
        <v>0</v>
      </c>
      <c r="V67" s="62" cm="1">
        <f t="array" ref="V67">INDEX(tblPrices[cv_2027], MATCH(tblTelecomUnits[[#This Row],[Products]],tblPrices[Products],0), 0)* tblTelecomUnits[[#This Row],[cv_2027]]/10^6</f>
        <v>0</v>
      </c>
      <c r="W67" s="62" cm="1">
        <f t="array" ref="W67">INDEX(tblPrices[cv_2028], MATCH(tblTelecomUnits[[#This Row],[Products]],tblPrices[Products],0), 0)* tblTelecomUnits[[#This Row],[cv_2028]]/10^6</f>
        <v>0</v>
      </c>
      <c r="X67" s="1">
        <f>VLOOKUP(A67,Products!$A$29:$F$110,6,FALSE)</f>
        <v>400</v>
      </c>
    </row>
    <row r="68" spans="1:24">
      <c r="A68" s="15" t="s">
        <v>339</v>
      </c>
      <c r="B68" s="8">
        <v>0</v>
      </c>
      <c r="C68" s="8">
        <v>0</v>
      </c>
      <c r="D68" s="8"/>
      <c r="E68" s="8"/>
      <c r="F68" s="8"/>
      <c r="G68" s="8"/>
      <c r="H68" s="8"/>
      <c r="I68" s="8"/>
      <c r="J68" s="8"/>
      <c r="K68" s="8"/>
      <c r="L68" s="8"/>
      <c r="M68" s="62" cm="1">
        <f t="array" ref="M68">INDEX(tblPrices[cv_2018], MATCH(tblTelecomUnits[[#This Row],[Products]],tblPrices[Products],0), 0)* tblTelecomUnits[[#This Row],[cv_2018]]/10^6</f>
        <v>0</v>
      </c>
      <c r="N68" s="62" cm="1">
        <f t="array" ref="N68">INDEX(tblPrices[cv_2019], MATCH(tblTelecomUnits[[#This Row],[Products]],tblPrices[Products],0), 0)* tblTelecomUnits[[#This Row],[cv_2019]]/10^6</f>
        <v>0</v>
      </c>
      <c r="O68" s="62" cm="1">
        <f t="array" ref="O68">INDEX(tblPrices[cv_2020], MATCH(tblTelecomUnits[[#This Row],[Products]],tblPrices[Products],0), 0)* tblTelecomUnits[[#This Row],[cv_2020]]/10^6</f>
        <v>0</v>
      </c>
      <c r="P68" s="62" cm="1">
        <f t="array" ref="P68">INDEX(tblPrices[cv_2021], MATCH(tblTelecomUnits[[#This Row],[Products]],tblPrices[Products],0), 0)* tblTelecomUnits[[#This Row],[cv_2021]]/10^6</f>
        <v>0</v>
      </c>
      <c r="Q68" s="62" cm="1">
        <f t="array" ref="Q68">INDEX(tblPrices[cv_2022], MATCH(tblTelecomUnits[[#This Row],[Products]],tblPrices[Products],0), 0)* tblTelecomUnits[[#This Row],[cv_2022]]/10^6</f>
        <v>0</v>
      </c>
      <c r="R68" s="62" cm="1">
        <f t="array" ref="R68">INDEX(tblPrices[cv_2023], MATCH(tblTelecomUnits[[#This Row],[Products]],tblPrices[Products],0), 0)* tblTelecomUnits[[#This Row],[cv_2023]]/10^6</f>
        <v>0</v>
      </c>
      <c r="S68" s="62" cm="1">
        <f t="array" ref="S68">INDEX(tblPrices[cv_2024], MATCH(tblTelecomUnits[[#This Row],[Products]],tblPrices[Products],0), 0)* tblTelecomUnits[[#This Row],[cv_2024]]/10^6</f>
        <v>0</v>
      </c>
      <c r="T68" s="62" cm="1">
        <f t="array" ref="T68">INDEX(tblPrices[cv_2025], MATCH(tblTelecomUnits[[#This Row],[Products]],tblPrices[Products],0), 0)* tblTelecomUnits[[#This Row],[cv_2025]]/10^6</f>
        <v>0</v>
      </c>
      <c r="U68" s="62" cm="1">
        <f t="array" ref="U68">INDEX(tblPrices[cv_2026], MATCH(tblTelecomUnits[[#This Row],[Products]],tblPrices[Products],0), 0)* tblTelecomUnits[[#This Row],[cv_2026]]/10^6</f>
        <v>0</v>
      </c>
      <c r="V68" s="62" cm="1">
        <f t="array" ref="V68">INDEX(tblPrices[cv_2027], MATCH(tblTelecomUnits[[#This Row],[Products]],tblPrices[Products],0), 0)* tblTelecomUnits[[#This Row],[cv_2027]]/10^6</f>
        <v>0</v>
      </c>
      <c r="W68" s="62" cm="1">
        <f t="array" ref="W68">INDEX(tblPrices[cv_2028], MATCH(tblTelecomUnits[[#This Row],[Products]],tblPrices[Products],0), 0)* tblTelecomUnits[[#This Row],[cv_2028]]/10^6</f>
        <v>0</v>
      </c>
      <c r="X68" s="1">
        <f>VLOOKUP(A68,Products!$A$29:$F$110,6,FALSE)</f>
        <v>400</v>
      </c>
    </row>
    <row r="69" spans="1:24">
      <c r="A69" s="15" t="s">
        <v>11</v>
      </c>
      <c r="B69" s="8">
        <v>0</v>
      </c>
      <c r="C69" s="8">
        <v>0</v>
      </c>
      <c r="D69" s="8"/>
      <c r="E69" s="8"/>
      <c r="F69" s="8"/>
      <c r="G69" s="8"/>
      <c r="H69" s="8"/>
      <c r="I69" s="8"/>
      <c r="J69" s="8"/>
      <c r="K69" s="8"/>
      <c r="L69" s="8"/>
      <c r="M69" s="62" cm="1">
        <f t="array" ref="M69">INDEX(tblPrices[cv_2018], MATCH(tblTelecomUnits[[#This Row],[Products]],tblPrices[Products],0), 0)* tblTelecomUnits[[#This Row],[cv_2018]]/10^6</f>
        <v>0</v>
      </c>
      <c r="N69" s="62" cm="1">
        <f t="array" ref="N69">INDEX(tblPrices[cv_2019], MATCH(tblTelecomUnits[[#This Row],[Products]],tblPrices[Products],0), 0)* tblTelecomUnits[[#This Row],[cv_2019]]/10^6</f>
        <v>0</v>
      </c>
      <c r="O69" s="62" cm="1">
        <f t="array" ref="O69">INDEX(tblPrices[cv_2020], MATCH(tblTelecomUnits[[#This Row],[Products]],tblPrices[Products],0), 0)* tblTelecomUnits[[#This Row],[cv_2020]]/10^6</f>
        <v>0</v>
      </c>
      <c r="P69" s="62" cm="1">
        <f t="array" ref="P69">INDEX(tblPrices[cv_2021], MATCH(tblTelecomUnits[[#This Row],[Products]],tblPrices[Products],0), 0)* tblTelecomUnits[[#This Row],[cv_2021]]/10^6</f>
        <v>0</v>
      </c>
      <c r="Q69" s="62" cm="1">
        <f t="array" ref="Q69">INDEX(tblPrices[cv_2022], MATCH(tblTelecomUnits[[#This Row],[Products]],tblPrices[Products],0), 0)* tblTelecomUnits[[#This Row],[cv_2022]]/10^6</f>
        <v>0</v>
      </c>
      <c r="R69" s="62" cm="1">
        <f t="array" ref="R69">INDEX(tblPrices[cv_2023], MATCH(tblTelecomUnits[[#This Row],[Products]],tblPrices[Products],0), 0)* tblTelecomUnits[[#This Row],[cv_2023]]/10^6</f>
        <v>0</v>
      </c>
      <c r="S69" s="62" cm="1">
        <f t="array" ref="S69">INDEX(tblPrices[cv_2024], MATCH(tblTelecomUnits[[#This Row],[Products]],tblPrices[Products],0), 0)* tblTelecomUnits[[#This Row],[cv_2024]]/10^6</f>
        <v>0</v>
      </c>
      <c r="T69" s="62" cm="1">
        <f t="array" ref="T69">INDEX(tblPrices[cv_2025], MATCH(tblTelecomUnits[[#This Row],[Products]],tblPrices[Products],0), 0)* tblTelecomUnits[[#This Row],[cv_2025]]/10^6</f>
        <v>0</v>
      </c>
      <c r="U69" s="62" cm="1">
        <f t="array" ref="U69">INDEX(tblPrices[cv_2026], MATCH(tblTelecomUnits[[#This Row],[Products]],tblPrices[Products],0), 0)* tblTelecomUnits[[#This Row],[cv_2026]]/10^6</f>
        <v>0</v>
      </c>
      <c r="V69" s="62" cm="1">
        <f t="array" ref="V69">INDEX(tblPrices[cv_2027], MATCH(tblTelecomUnits[[#This Row],[Products]],tblPrices[Products],0), 0)* tblTelecomUnits[[#This Row],[cv_2027]]/10^6</f>
        <v>0</v>
      </c>
      <c r="W69" s="62" cm="1">
        <f t="array" ref="W69">INDEX(tblPrices[cv_2028], MATCH(tblTelecomUnits[[#This Row],[Products]],tblPrices[Products],0), 0)* tblTelecomUnits[[#This Row],[cv_2028]]/10^6</f>
        <v>0</v>
      </c>
      <c r="X69" s="1">
        <f>VLOOKUP(A69,Products!$A$29:$F$110,6,FALSE)</f>
        <v>400</v>
      </c>
    </row>
    <row r="70" spans="1:24">
      <c r="A70" s="15" t="s">
        <v>10</v>
      </c>
      <c r="B70" s="8">
        <v>0</v>
      </c>
      <c r="C70" s="8">
        <v>0</v>
      </c>
      <c r="D70" s="8"/>
      <c r="E70" s="8"/>
      <c r="F70" s="8"/>
      <c r="G70" s="8"/>
      <c r="H70" s="8"/>
      <c r="I70" s="8"/>
      <c r="J70" s="8"/>
      <c r="K70" s="8"/>
      <c r="L70" s="8"/>
      <c r="M70" s="62" cm="1">
        <f t="array" ref="M70">INDEX(tblPrices[cv_2018], MATCH(tblTelecomUnits[[#This Row],[Products]],tblPrices[Products],0), 0)* tblTelecomUnits[[#This Row],[cv_2018]]/10^6</f>
        <v>0</v>
      </c>
      <c r="N70" s="62" cm="1">
        <f t="array" ref="N70">INDEX(tblPrices[cv_2019], MATCH(tblTelecomUnits[[#This Row],[Products]],tblPrices[Products],0), 0)* tblTelecomUnits[[#This Row],[cv_2019]]/10^6</f>
        <v>0</v>
      </c>
      <c r="O70" s="62" cm="1">
        <f t="array" ref="O70">INDEX(tblPrices[cv_2020], MATCH(tblTelecomUnits[[#This Row],[Products]],tblPrices[Products],0), 0)* tblTelecomUnits[[#This Row],[cv_2020]]/10^6</f>
        <v>0</v>
      </c>
      <c r="P70" s="62" cm="1">
        <f t="array" ref="P70">INDEX(tblPrices[cv_2021], MATCH(tblTelecomUnits[[#This Row],[Products]],tblPrices[Products],0), 0)* tblTelecomUnits[[#This Row],[cv_2021]]/10^6</f>
        <v>0</v>
      </c>
      <c r="Q70" s="62" cm="1">
        <f t="array" ref="Q70">INDEX(tblPrices[cv_2022], MATCH(tblTelecomUnits[[#This Row],[Products]],tblPrices[Products],0), 0)* tblTelecomUnits[[#This Row],[cv_2022]]/10^6</f>
        <v>0</v>
      </c>
      <c r="R70" s="62" cm="1">
        <f t="array" ref="R70">INDEX(tblPrices[cv_2023], MATCH(tblTelecomUnits[[#This Row],[Products]],tblPrices[Products],0), 0)* tblTelecomUnits[[#This Row],[cv_2023]]/10^6</f>
        <v>0</v>
      </c>
      <c r="S70" s="62" cm="1">
        <f t="array" ref="S70">INDEX(tblPrices[cv_2024], MATCH(tblTelecomUnits[[#This Row],[Products]],tblPrices[Products],0), 0)* tblTelecomUnits[[#This Row],[cv_2024]]/10^6</f>
        <v>0</v>
      </c>
      <c r="T70" s="62" cm="1">
        <f t="array" ref="T70">INDEX(tblPrices[cv_2025], MATCH(tblTelecomUnits[[#This Row],[Products]],tblPrices[Products],0), 0)* tblTelecomUnits[[#This Row],[cv_2025]]/10^6</f>
        <v>0</v>
      </c>
      <c r="U70" s="62" cm="1">
        <f t="array" ref="U70">INDEX(tblPrices[cv_2026], MATCH(tblTelecomUnits[[#This Row],[Products]],tblPrices[Products],0), 0)* tblTelecomUnits[[#This Row],[cv_2026]]/10^6</f>
        <v>0</v>
      </c>
      <c r="V70" s="62" cm="1">
        <f t="array" ref="V70">INDEX(tblPrices[cv_2027], MATCH(tblTelecomUnits[[#This Row],[Products]],tblPrices[Products],0), 0)* tblTelecomUnits[[#This Row],[cv_2027]]/10^6</f>
        <v>0</v>
      </c>
      <c r="W70" s="62" cm="1">
        <f t="array" ref="W70">INDEX(tblPrices[cv_2028], MATCH(tblTelecomUnits[[#This Row],[Products]],tblPrices[Products],0), 0)* tblTelecomUnits[[#This Row],[cv_2028]]/10^6</f>
        <v>0</v>
      </c>
      <c r="X70" s="1">
        <f>VLOOKUP(A70,Products!$A$29:$F$110,6,FALSE)</f>
        <v>400</v>
      </c>
    </row>
    <row r="71" spans="1:24">
      <c r="A71" s="15" t="s">
        <v>42</v>
      </c>
      <c r="B71" s="8">
        <v>0</v>
      </c>
      <c r="C71" s="8">
        <v>0</v>
      </c>
      <c r="D71" s="8"/>
      <c r="E71" s="8"/>
      <c r="F71" s="8"/>
      <c r="G71" s="8"/>
      <c r="H71" s="8"/>
      <c r="I71" s="8"/>
      <c r="J71" s="8"/>
      <c r="K71" s="8"/>
      <c r="L71" s="8"/>
      <c r="M71" s="62" cm="1">
        <f t="array" ref="M71">INDEX(tblPrices[cv_2018], MATCH(tblTelecomUnits[[#This Row],[Products]],tblPrices[Products],0), 0)* tblTelecomUnits[[#This Row],[cv_2018]]/10^6</f>
        <v>0</v>
      </c>
      <c r="N71" s="62" cm="1">
        <f t="array" ref="N71">INDEX(tblPrices[cv_2019], MATCH(tblTelecomUnits[[#This Row],[Products]],tblPrices[Products],0), 0)* tblTelecomUnits[[#This Row],[cv_2019]]/10^6</f>
        <v>0</v>
      </c>
      <c r="O71" s="62" cm="1">
        <f t="array" ref="O71">INDEX(tblPrices[cv_2020], MATCH(tblTelecomUnits[[#This Row],[Products]],tblPrices[Products],0), 0)* tblTelecomUnits[[#This Row],[cv_2020]]/10^6</f>
        <v>0</v>
      </c>
      <c r="P71" s="62" cm="1">
        <f t="array" ref="P71">INDEX(tblPrices[cv_2021], MATCH(tblTelecomUnits[[#This Row],[Products]],tblPrices[Products],0), 0)* tblTelecomUnits[[#This Row],[cv_2021]]/10^6</f>
        <v>0</v>
      </c>
      <c r="Q71" s="62" cm="1">
        <f t="array" ref="Q71">INDEX(tblPrices[cv_2022], MATCH(tblTelecomUnits[[#This Row],[Products]],tblPrices[Products],0), 0)* tblTelecomUnits[[#This Row],[cv_2022]]/10^6</f>
        <v>0</v>
      </c>
      <c r="R71" s="62" cm="1">
        <f t="array" ref="R71">INDEX(tblPrices[cv_2023], MATCH(tblTelecomUnits[[#This Row],[Products]],tblPrices[Products],0), 0)* tblTelecomUnits[[#This Row],[cv_2023]]/10^6</f>
        <v>0</v>
      </c>
      <c r="S71" s="62" cm="1">
        <f t="array" ref="S71">INDEX(tblPrices[cv_2024], MATCH(tblTelecomUnits[[#This Row],[Products]],tblPrices[Products],0), 0)* tblTelecomUnits[[#This Row],[cv_2024]]/10^6</f>
        <v>0</v>
      </c>
      <c r="T71" s="62" cm="1">
        <f t="array" ref="T71">INDEX(tblPrices[cv_2025], MATCH(tblTelecomUnits[[#This Row],[Products]],tblPrices[Products],0), 0)* tblTelecomUnits[[#This Row],[cv_2025]]/10^6</f>
        <v>0</v>
      </c>
      <c r="U71" s="62" cm="1">
        <f t="array" ref="U71">INDEX(tblPrices[cv_2026], MATCH(tblTelecomUnits[[#This Row],[Products]],tblPrices[Products],0), 0)* tblTelecomUnits[[#This Row],[cv_2026]]/10^6</f>
        <v>0</v>
      </c>
      <c r="V71" s="62" cm="1">
        <f t="array" ref="V71">INDEX(tblPrices[cv_2027], MATCH(tblTelecomUnits[[#This Row],[Products]],tblPrices[Products],0), 0)* tblTelecomUnits[[#This Row],[cv_2027]]/10^6</f>
        <v>0</v>
      </c>
      <c r="W71" s="62" cm="1">
        <f t="array" ref="W71">INDEX(tblPrices[cv_2028], MATCH(tblTelecomUnits[[#This Row],[Products]],tblPrices[Products],0), 0)* tblTelecomUnits[[#This Row],[cv_2028]]/10^6</f>
        <v>0</v>
      </c>
      <c r="X71" s="1">
        <f>VLOOKUP(A71,Products!$A$29:$F$110,6,FALSE)</f>
        <v>400</v>
      </c>
    </row>
    <row r="72" spans="1:24">
      <c r="A72" s="15" t="s">
        <v>12</v>
      </c>
      <c r="B72" s="8">
        <v>900</v>
      </c>
      <c r="C72" s="8">
        <v>1454.101098901099</v>
      </c>
      <c r="D72" s="8"/>
      <c r="E72" s="8"/>
      <c r="F72" s="8"/>
      <c r="G72" s="8"/>
      <c r="H72" s="8"/>
      <c r="I72" s="8"/>
      <c r="J72" s="8"/>
      <c r="K72" s="8"/>
      <c r="L72" s="8"/>
      <c r="M72" s="62" cm="1">
        <f t="array" ref="M72">INDEX(tblPrices[cv_2018], MATCH(tblTelecomUnits[[#This Row],[Products]],tblPrices[Products],0), 0)* tblTelecomUnits[[#This Row],[cv_2018]]/10^6</f>
        <v>7.2</v>
      </c>
      <c r="N72" s="62" cm="1">
        <f t="array" ref="N72">INDEX(tblPrices[cv_2019], MATCH(tblTelecomUnits[[#This Row],[Products]],tblPrices[Products],0), 0)* tblTelecomUnits[[#This Row],[cv_2019]]/10^6</f>
        <v>9.6139243104000016</v>
      </c>
      <c r="O72" s="62" cm="1">
        <f t="array" ref="O72">INDEX(tblPrices[cv_2020], MATCH(tblTelecomUnits[[#This Row],[Products]],tblPrices[Products],0), 0)* tblTelecomUnits[[#This Row],[cv_2020]]/10^6</f>
        <v>0</v>
      </c>
      <c r="P72" s="62" cm="1">
        <f t="array" ref="P72">INDEX(tblPrices[cv_2021], MATCH(tblTelecomUnits[[#This Row],[Products]],tblPrices[Products],0), 0)* tblTelecomUnits[[#This Row],[cv_2021]]/10^6</f>
        <v>0</v>
      </c>
      <c r="Q72" s="62" cm="1">
        <f t="array" ref="Q72">INDEX(tblPrices[cv_2022], MATCH(tblTelecomUnits[[#This Row],[Products]],tblPrices[Products],0), 0)* tblTelecomUnits[[#This Row],[cv_2022]]/10^6</f>
        <v>0</v>
      </c>
      <c r="R72" s="62" cm="1">
        <f t="array" ref="R72">INDEX(tblPrices[cv_2023], MATCH(tblTelecomUnits[[#This Row],[Products]],tblPrices[Products],0), 0)* tblTelecomUnits[[#This Row],[cv_2023]]/10^6</f>
        <v>0</v>
      </c>
      <c r="S72" s="62" cm="1">
        <f t="array" ref="S72">INDEX(tblPrices[cv_2024], MATCH(tblTelecomUnits[[#This Row],[Products]],tblPrices[Products],0), 0)* tblTelecomUnits[[#This Row],[cv_2024]]/10^6</f>
        <v>0</v>
      </c>
      <c r="T72" s="62" cm="1">
        <f t="array" ref="T72">INDEX(tblPrices[cv_2025], MATCH(tblTelecomUnits[[#This Row],[Products]],tblPrices[Products],0), 0)* tblTelecomUnits[[#This Row],[cv_2025]]/10^6</f>
        <v>0</v>
      </c>
      <c r="U72" s="62" cm="1">
        <f t="array" ref="U72">INDEX(tblPrices[cv_2026], MATCH(tblTelecomUnits[[#This Row],[Products]],tblPrices[Products],0), 0)* tblTelecomUnits[[#This Row],[cv_2026]]/10^6</f>
        <v>0</v>
      </c>
      <c r="V72" s="62" cm="1">
        <f t="array" ref="V72">INDEX(tblPrices[cv_2027], MATCH(tblTelecomUnits[[#This Row],[Products]],tblPrices[Products],0), 0)* tblTelecomUnits[[#This Row],[cv_2027]]/10^6</f>
        <v>0</v>
      </c>
      <c r="W72" s="62" cm="1">
        <f t="array" ref="W72">INDEX(tblPrices[cv_2028], MATCH(tblTelecomUnits[[#This Row],[Products]],tblPrices[Products],0), 0)* tblTelecomUnits[[#This Row],[cv_2028]]/10^6</f>
        <v>0</v>
      </c>
      <c r="X72" s="1">
        <f>VLOOKUP(A72,Products!$A$29:$F$110,6,FALSE)</f>
        <v>400</v>
      </c>
    </row>
    <row r="73" spans="1:24">
      <c r="A73" s="15" t="s">
        <v>190</v>
      </c>
      <c r="B73" s="8">
        <v>0</v>
      </c>
      <c r="C73" s="8">
        <v>0</v>
      </c>
      <c r="D73" s="8"/>
      <c r="E73" s="8"/>
      <c r="F73" s="8"/>
      <c r="G73" s="8"/>
      <c r="H73" s="8"/>
      <c r="I73" s="8"/>
      <c r="J73" s="8"/>
      <c r="K73" s="8"/>
      <c r="L73" s="8"/>
      <c r="M73" s="62" cm="1">
        <f t="array" ref="M73">INDEX(tblPrices[cv_2018], MATCH(tblTelecomUnits[[#This Row],[Products]],tblPrices[Products],0), 0)* tblTelecomUnits[[#This Row],[cv_2018]]/10^6</f>
        <v>0</v>
      </c>
      <c r="N73" s="62" cm="1">
        <f t="array" ref="N73">INDEX(tblPrices[cv_2019], MATCH(tblTelecomUnits[[#This Row],[Products]],tblPrices[Products],0), 0)* tblTelecomUnits[[#This Row],[cv_2019]]/10^6</f>
        <v>0</v>
      </c>
      <c r="O73" s="62" cm="1">
        <f t="array" ref="O73">INDEX(tblPrices[cv_2020], MATCH(tblTelecomUnits[[#This Row],[Products]],tblPrices[Products],0), 0)* tblTelecomUnits[[#This Row],[cv_2020]]/10^6</f>
        <v>0</v>
      </c>
      <c r="P73" s="62" cm="1">
        <f t="array" ref="P73">INDEX(tblPrices[cv_2021], MATCH(tblTelecomUnits[[#This Row],[Products]],tblPrices[Products],0), 0)* tblTelecomUnits[[#This Row],[cv_2021]]/10^6</f>
        <v>0</v>
      </c>
      <c r="Q73" s="62" cm="1">
        <f t="array" ref="Q73">INDEX(tblPrices[cv_2022], MATCH(tblTelecomUnits[[#This Row],[Products]],tblPrices[Products],0), 0)* tblTelecomUnits[[#This Row],[cv_2022]]/10^6</f>
        <v>0</v>
      </c>
      <c r="R73" s="62" cm="1">
        <f t="array" ref="R73">INDEX(tblPrices[cv_2023], MATCH(tblTelecomUnits[[#This Row],[Products]],tblPrices[Products],0), 0)* tblTelecomUnits[[#This Row],[cv_2023]]/10^6</f>
        <v>0</v>
      </c>
      <c r="S73" s="62" cm="1">
        <f t="array" ref="S73">INDEX(tblPrices[cv_2024], MATCH(tblTelecomUnits[[#This Row],[Products]],tblPrices[Products],0), 0)* tblTelecomUnits[[#This Row],[cv_2024]]/10^6</f>
        <v>0</v>
      </c>
      <c r="T73" s="62" cm="1">
        <f t="array" ref="T73">INDEX(tblPrices[cv_2025], MATCH(tblTelecomUnits[[#This Row],[Products]],tblPrices[Products],0), 0)* tblTelecomUnits[[#This Row],[cv_2025]]/10^6</f>
        <v>0</v>
      </c>
      <c r="U73" s="62" cm="1">
        <f t="array" ref="U73">INDEX(tblPrices[cv_2026], MATCH(tblTelecomUnits[[#This Row],[Products]],tblPrices[Products],0), 0)* tblTelecomUnits[[#This Row],[cv_2026]]/10^6</f>
        <v>0</v>
      </c>
      <c r="V73" s="62" cm="1">
        <f t="array" ref="V73">INDEX(tblPrices[cv_2027], MATCH(tblTelecomUnits[[#This Row],[Products]],tblPrices[Products],0), 0)* tblTelecomUnits[[#This Row],[cv_2027]]/10^6</f>
        <v>0</v>
      </c>
      <c r="W73" s="62" cm="1">
        <f t="array" ref="W73">INDEX(tblPrices[cv_2028], MATCH(tblTelecomUnits[[#This Row],[Products]],tblPrices[Products],0), 0)* tblTelecomUnits[[#This Row],[cv_2028]]/10^6</f>
        <v>0</v>
      </c>
      <c r="X73" s="1">
        <f>VLOOKUP(A73,Products!$A$29:$F$110,6,FALSE)</f>
        <v>400</v>
      </c>
    </row>
    <row r="74" spans="1:24">
      <c r="A74" s="15" t="s">
        <v>48</v>
      </c>
      <c r="B74" s="8">
        <v>0</v>
      </c>
      <c r="C74" s="8">
        <v>0</v>
      </c>
      <c r="D74" s="8"/>
      <c r="E74" s="8"/>
      <c r="F74" s="8"/>
      <c r="G74" s="8"/>
      <c r="H74" s="8"/>
      <c r="I74" s="8"/>
      <c r="J74" s="8"/>
      <c r="K74" s="8"/>
      <c r="L74" s="8"/>
      <c r="M74" s="62" cm="1">
        <f t="array" ref="M74">INDEX(tblPrices[cv_2018], MATCH(tblTelecomUnits[[#This Row],[Products]],tblPrices[Products],0), 0)* tblTelecomUnits[[#This Row],[cv_2018]]/10^6</f>
        <v>0</v>
      </c>
      <c r="N74" s="62" cm="1">
        <f t="array" ref="N74">INDEX(tblPrices[cv_2019], MATCH(tblTelecomUnits[[#This Row],[Products]],tblPrices[Products],0), 0)* tblTelecomUnits[[#This Row],[cv_2019]]/10^6</f>
        <v>0</v>
      </c>
      <c r="O74" s="62" cm="1">
        <f t="array" ref="O74">INDEX(tblPrices[cv_2020], MATCH(tblTelecomUnits[[#This Row],[Products]],tblPrices[Products],0), 0)* tblTelecomUnits[[#This Row],[cv_2020]]/10^6</f>
        <v>0</v>
      </c>
      <c r="P74" s="62" cm="1">
        <f t="array" ref="P74">INDEX(tblPrices[cv_2021], MATCH(tblTelecomUnits[[#This Row],[Products]],tblPrices[Products],0), 0)* tblTelecomUnits[[#This Row],[cv_2021]]/10^6</f>
        <v>0</v>
      </c>
      <c r="Q74" s="62" cm="1">
        <f t="array" ref="Q74">INDEX(tblPrices[cv_2022], MATCH(tblTelecomUnits[[#This Row],[Products]],tblPrices[Products],0), 0)* tblTelecomUnits[[#This Row],[cv_2022]]/10^6</f>
        <v>0</v>
      </c>
      <c r="R74" s="62" cm="1">
        <f t="array" ref="R74">INDEX(tblPrices[cv_2023], MATCH(tblTelecomUnits[[#This Row],[Products]],tblPrices[Products],0), 0)* tblTelecomUnits[[#This Row],[cv_2023]]/10^6</f>
        <v>0</v>
      </c>
      <c r="S74" s="62" cm="1">
        <f t="array" ref="S74">INDEX(tblPrices[cv_2024], MATCH(tblTelecomUnits[[#This Row],[Products]],tblPrices[Products],0), 0)* tblTelecomUnits[[#This Row],[cv_2024]]/10^6</f>
        <v>0</v>
      </c>
      <c r="T74" s="62" cm="1">
        <f t="array" ref="T74">INDEX(tblPrices[cv_2025], MATCH(tblTelecomUnits[[#This Row],[Products]],tblPrices[Products],0), 0)* tblTelecomUnits[[#This Row],[cv_2025]]/10^6</f>
        <v>0</v>
      </c>
      <c r="U74" s="62" cm="1">
        <f t="array" ref="U74">INDEX(tblPrices[cv_2026], MATCH(tblTelecomUnits[[#This Row],[Products]],tblPrices[Products],0), 0)* tblTelecomUnits[[#This Row],[cv_2026]]/10^6</f>
        <v>0</v>
      </c>
      <c r="V74" s="62" cm="1">
        <f t="array" ref="V74">INDEX(tblPrices[cv_2027], MATCH(tblTelecomUnits[[#This Row],[Products]],tblPrices[Products],0), 0)* tblTelecomUnits[[#This Row],[cv_2027]]/10^6</f>
        <v>0</v>
      </c>
      <c r="W74" s="62" cm="1">
        <f t="array" ref="W74">INDEX(tblPrices[cv_2028], MATCH(tblTelecomUnits[[#This Row],[Products]],tblPrices[Products],0), 0)* tblTelecomUnits[[#This Row],[cv_2028]]/10^6</f>
        <v>0</v>
      </c>
      <c r="X74" s="1">
        <f>VLOOKUP(A74,Products!$A$29:$F$110,6,FALSE)</f>
        <v>800</v>
      </c>
    </row>
    <row r="75" spans="1:24">
      <c r="A75" s="15" t="s">
        <v>13</v>
      </c>
      <c r="B75" s="8">
        <v>0</v>
      </c>
      <c r="C75" s="8">
        <v>0</v>
      </c>
      <c r="D75" s="8"/>
      <c r="E75" s="8"/>
      <c r="F75" s="8"/>
      <c r="G75" s="8"/>
      <c r="H75" s="8"/>
      <c r="I75" s="8"/>
      <c r="J75" s="8"/>
      <c r="K75" s="8"/>
      <c r="L75" s="8"/>
      <c r="M75" s="62" cm="1">
        <f t="array" ref="M75">INDEX(tblPrices[cv_2018], MATCH(tblTelecomUnits[[#This Row],[Products]],tblPrices[Products],0), 0)* tblTelecomUnits[[#This Row],[cv_2018]]/10^6</f>
        <v>0</v>
      </c>
      <c r="N75" s="62" cm="1">
        <f t="array" ref="N75">INDEX(tblPrices[cv_2019], MATCH(tblTelecomUnits[[#This Row],[Products]],tblPrices[Products],0), 0)* tblTelecomUnits[[#This Row],[cv_2019]]/10^6</f>
        <v>0</v>
      </c>
      <c r="O75" s="62" cm="1">
        <f t="array" ref="O75">INDEX(tblPrices[cv_2020], MATCH(tblTelecomUnits[[#This Row],[Products]],tblPrices[Products],0), 0)* tblTelecomUnits[[#This Row],[cv_2020]]/10^6</f>
        <v>0</v>
      </c>
      <c r="P75" s="62" cm="1">
        <f t="array" ref="P75">INDEX(tblPrices[cv_2021], MATCH(tblTelecomUnits[[#This Row],[Products]],tblPrices[Products],0), 0)* tblTelecomUnits[[#This Row],[cv_2021]]/10^6</f>
        <v>0</v>
      </c>
      <c r="Q75" s="62" cm="1">
        <f t="array" ref="Q75">INDEX(tblPrices[cv_2022], MATCH(tblTelecomUnits[[#This Row],[Products]],tblPrices[Products],0), 0)* tblTelecomUnits[[#This Row],[cv_2022]]/10^6</f>
        <v>0</v>
      </c>
      <c r="R75" s="62" cm="1">
        <f t="array" ref="R75">INDEX(tblPrices[cv_2023], MATCH(tblTelecomUnits[[#This Row],[Products]],tblPrices[Products],0), 0)* tblTelecomUnits[[#This Row],[cv_2023]]/10^6</f>
        <v>0</v>
      </c>
      <c r="S75" s="62" cm="1">
        <f t="array" ref="S75">INDEX(tblPrices[cv_2024], MATCH(tblTelecomUnits[[#This Row],[Products]],tblPrices[Products],0), 0)* tblTelecomUnits[[#This Row],[cv_2024]]/10^6</f>
        <v>0</v>
      </c>
      <c r="T75" s="62" cm="1">
        <f t="array" ref="T75">INDEX(tblPrices[cv_2025], MATCH(tblTelecomUnits[[#This Row],[Products]],tblPrices[Products],0), 0)* tblTelecomUnits[[#This Row],[cv_2025]]/10^6</f>
        <v>0</v>
      </c>
      <c r="U75" s="62" cm="1">
        <f t="array" ref="U75">INDEX(tblPrices[cv_2026], MATCH(tblTelecomUnits[[#This Row],[Products]],tblPrices[Products],0), 0)* tblTelecomUnits[[#This Row],[cv_2026]]/10^6</f>
        <v>0</v>
      </c>
      <c r="V75" s="62" cm="1">
        <f t="array" ref="V75">INDEX(tblPrices[cv_2027], MATCH(tblTelecomUnits[[#This Row],[Products]],tblPrices[Products],0), 0)* tblTelecomUnits[[#This Row],[cv_2027]]/10^6</f>
        <v>0</v>
      </c>
      <c r="W75" s="62" cm="1">
        <f t="array" ref="W75">INDEX(tblPrices[cv_2028], MATCH(tblTelecomUnits[[#This Row],[Products]],tblPrices[Products],0), 0)* tblTelecomUnits[[#This Row],[cv_2028]]/10^6</f>
        <v>0</v>
      </c>
      <c r="X75" s="1">
        <f>VLOOKUP(A75,Products!$A$29:$F$110,6,FALSE)</f>
        <v>800</v>
      </c>
    </row>
    <row r="76" spans="1:24">
      <c r="A76" s="15" t="s">
        <v>14</v>
      </c>
      <c r="B76" s="8">
        <v>0</v>
      </c>
      <c r="C76" s="8">
        <v>0</v>
      </c>
      <c r="D76" s="8"/>
      <c r="E76" s="8"/>
      <c r="F76" s="8"/>
      <c r="G76" s="8"/>
      <c r="H76" s="8"/>
      <c r="I76" s="8"/>
      <c r="J76" s="8"/>
      <c r="K76" s="8"/>
      <c r="L76" s="8"/>
      <c r="M76" s="62" cm="1">
        <f t="array" ref="M76">INDEX(tblPrices[cv_2018], MATCH(tblTelecomUnits[[#This Row],[Products]],tblPrices[Products],0), 0)* tblTelecomUnits[[#This Row],[cv_2018]]/10^6</f>
        <v>0</v>
      </c>
      <c r="N76" s="62" cm="1">
        <f t="array" ref="N76">INDEX(tblPrices[cv_2019], MATCH(tblTelecomUnits[[#This Row],[Products]],tblPrices[Products],0), 0)* tblTelecomUnits[[#This Row],[cv_2019]]/10^6</f>
        <v>0</v>
      </c>
      <c r="O76" s="62" cm="1">
        <f t="array" ref="O76">INDEX(tblPrices[cv_2020], MATCH(tblTelecomUnits[[#This Row],[Products]],tblPrices[Products],0), 0)* tblTelecomUnits[[#This Row],[cv_2020]]/10^6</f>
        <v>0</v>
      </c>
      <c r="P76" s="62" cm="1">
        <f t="array" ref="P76">INDEX(tblPrices[cv_2021], MATCH(tblTelecomUnits[[#This Row],[Products]],tblPrices[Products],0), 0)* tblTelecomUnits[[#This Row],[cv_2021]]/10^6</f>
        <v>0</v>
      </c>
      <c r="Q76" s="62" cm="1">
        <f t="array" ref="Q76">INDEX(tblPrices[cv_2022], MATCH(tblTelecomUnits[[#This Row],[Products]],tblPrices[Products],0), 0)* tblTelecomUnits[[#This Row],[cv_2022]]/10^6</f>
        <v>0</v>
      </c>
      <c r="R76" s="62" cm="1">
        <f t="array" ref="R76">INDEX(tblPrices[cv_2023], MATCH(tblTelecomUnits[[#This Row],[Products]],tblPrices[Products],0), 0)* tblTelecomUnits[[#This Row],[cv_2023]]/10^6</f>
        <v>0</v>
      </c>
      <c r="S76" s="62" cm="1">
        <f t="array" ref="S76">INDEX(tblPrices[cv_2024], MATCH(tblTelecomUnits[[#This Row],[Products]],tblPrices[Products],0), 0)* tblTelecomUnits[[#This Row],[cv_2024]]/10^6</f>
        <v>0</v>
      </c>
      <c r="T76" s="62" cm="1">
        <f t="array" ref="T76">INDEX(tblPrices[cv_2025], MATCH(tblTelecomUnits[[#This Row],[Products]],tblPrices[Products],0), 0)* tblTelecomUnits[[#This Row],[cv_2025]]/10^6</f>
        <v>0</v>
      </c>
      <c r="U76" s="62" cm="1">
        <f t="array" ref="U76">INDEX(tblPrices[cv_2026], MATCH(tblTelecomUnits[[#This Row],[Products]],tblPrices[Products],0), 0)* tblTelecomUnits[[#This Row],[cv_2026]]/10^6</f>
        <v>0</v>
      </c>
      <c r="V76" s="62" cm="1">
        <f t="array" ref="V76">INDEX(tblPrices[cv_2027], MATCH(tblTelecomUnits[[#This Row],[Products]],tblPrices[Products],0), 0)* tblTelecomUnits[[#This Row],[cv_2027]]/10^6</f>
        <v>0</v>
      </c>
      <c r="W76" s="62" cm="1">
        <f t="array" ref="W76">INDEX(tblPrices[cv_2028], MATCH(tblTelecomUnits[[#This Row],[Products]],tblPrices[Products],0), 0)* tblTelecomUnits[[#This Row],[cv_2028]]/10^6</f>
        <v>0</v>
      </c>
      <c r="X76" s="1">
        <f>VLOOKUP(A76,Products!$A$29:$F$110,6,FALSE)</f>
        <v>800</v>
      </c>
    </row>
    <row r="77" spans="1:24">
      <c r="A77" s="15" t="s">
        <v>15</v>
      </c>
      <c r="B77" s="8">
        <v>0</v>
      </c>
      <c r="C77" s="8">
        <v>0</v>
      </c>
      <c r="D77" s="8"/>
      <c r="E77" s="8"/>
      <c r="F77" s="8"/>
      <c r="G77" s="8"/>
      <c r="H77" s="8"/>
      <c r="I77" s="8"/>
      <c r="J77" s="8"/>
      <c r="K77" s="8"/>
      <c r="L77" s="8"/>
      <c r="M77" s="62" cm="1">
        <f t="array" ref="M77">INDEX(tblPrices[cv_2018], MATCH(tblTelecomUnits[[#This Row],[Products]],tblPrices[Products],0), 0)* tblTelecomUnits[[#This Row],[cv_2018]]/10^6</f>
        <v>0</v>
      </c>
      <c r="N77" s="62" cm="1">
        <f t="array" ref="N77">INDEX(tblPrices[cv_2019], MATCH(tblTelecomUnits[[#This Row],[Products]],tblPrices[Products],0), 0)* tblTelecomUnits[[#This Row],[cv_2019]]/10^6</f>
        <v>0</v>
      </c>
      <c r="O77" s="62" cm="1">
        <f t="array" ref="O77">INDEX(tblPrices[cv_2020], MATCH(tblTelecomUnits[[#This Row],[Products]],tblPrices[Products],0), 0)* tblTelecomUnits[[#This Row],[cv_2020]]/10^6</f>
        <v>0</v>
      </c>
      <c r="P77" s="62" cm="1">
        <f t="array" ref="P77">INDEX(tblPrices[cv_2021], MATCH(tblTelecomUnits[[#This Row],[Products]],tblPrices[Products],0), 0)* tblTelecomUnits[[#This Row],[cv_2021]]/10^6</f>
        <v>0</v>
      </c>
      <c r="Q77" s="62" cm="1">
        <f t="array" ref="Q77">INDEX(tblPrices[cv_2022], MATCH(tblTelecomUnits[[#This Row],[Products]],tblPrices[Products],0), 0)* tblTelecomUnits[[#This Row],[cv_2022]]/10^6</f>
        <v>0</v>
      </c>
      <c r="R77" s="62" cm="1">
        <f t="array" ref="R77">INDEX(tblPrices[cv_2023], MATCH(tblTelecomUnits[[#This Row],[Products]],tblPrices[Products],0), 0)* tblTelecomUnits[[#This Row],[cv_2023]]/10^6</f>
        <v>0</v>
      </c>
      <c r="S77" s="62" cm="1">
        <f t="array" ref="S77">INDEX(tblPrices[cv_2024], MATCH(tblTelecomUnits[[#This Row],[Products]],tblPrices[Products],0), 0)* tblTelecomUnits[[#This Row],[cv_2024]]/10^6</f>
        <v>0</v>
      </c>
      <c r="T77" s="62" cm="1">
        <f t="array" ref="T77">INDEX(tblPrices[cv_2025], MATCH(tblTelecomUnits[[#This Row],[Products]],tblPrices[Products],0), 0)* tblTelecomUnits[[#This Row],[cv_2025]]/10^6</f>
        <v>0</v>
      </c>
      <c r="U77" s="62" cm="1">
        <f t="array" ref="U77">INDEX(tblPrices[cv_2026], MATCH(tblTelecomUnits[[#This Row],[Products]],tblPrices[Products],0), 0)* tblTelecomUnits[[#This Row],[cv_2026]]/10^6</f>
        <v>0</v>
      </c>
      <c r="V77" s="62" cm="1">
        <f t="array" ref="V77">INDEX(tblPrices[cv_2027], MATCH(tblTelecomUnits[[#This Row],[Products]],tblPrices[Products],0), 0)* tblTelecomUnits[[#This Row],[cv_2027]]/10^6</f>
        <v>0</v>
      </c>
      <c r="W77" s="62" cm="1">
        <f t="array" ref="W77">INDEX(tblPrices[cv_2028], MATCH(tblTelecomUnits[[#This Row],[Products]],tblPrices[Products],0), 0)* tblTelecomUnits[[#This Row],[cv_2028]]/10^6</f>
        <v>0</v>
      </c>
      <c r="X77" s="1">
        <f>VLOOKUP(A77,Products!$A$29:$F$110,6,FALSE)</f>
        <v>800</v>
      </c>
    </row>
    <row r="78" spans="1:24">
      <c r="A78" s="15" t="s">
        <v>16</v>
      </c>
      <c r="B78" s="8">
        <v>0</v>
      </c>
      <c r="C78" s="8">
        <v>0</v>
      </c>
      <c r="D78" s="8"/>
      <c r="E78" s="8"/>
      <c r="F78" s="8"/>
      <c r="G78" s="8"/>
      <c r="H78" s="8"/>
      <c r="I78" s="8"/>
      <c r="J78" s="8"/>
      <c r="K78" s="8"/>
      <c r="L78" s="8"/>
      <c r="M78" s="62" cm="1">
        <f t="array" ref="M78">INDEX(tblPrices[cv_2018], MATCH(tblTelecomUnits[[#This Row],[Products]],tblPrices[Products],0), 0)* tblTelecomUnits[[#This Row],[cv_2018]]/10^6</f>
        <v>0</v>
      </c>
      <c r="N78" s="62" cm="1">
        <f t="array" ref="N78">INDEX(tblPrices[cv_2019], MATCH(tblTelecomUnits[[#This Row],[Products]],tblPrices[Products],0), 0)* tblTelecomUnits[[#This Row],[cv_2019]]/10^6</f>
        <v>0</v>
      </c>
      <c r="O78" s="62" cm="1">
        <f t="array" ref="O78">INDEX(tblPrices[cv_2020], MATCH(tblTelecomUnits[[#This Row],[Products]],tblPrices[Products],0), 0)* tblTelecomUnits[[#This Row],[cv_2020]]/10^6</f>
        <v>0</v>
      </c>
      <c r="P78" s="62" cm="1">
        <f t="array" ref="P78">INDEX(tblPrices[cv_2021], MATCH(tblTelecomUnits[[#This Row],[Products]],tblPrices[Products],0), 0)* tblTelecomUnits[[#This Row],[cv_2021]]/10^6</f>
        <v>0</v>
      </c>
      <c r="Q78" s="62" cm="1">
        <f t="array" ref="Q78">INDEX(tblPrices[cv_2022], MATCH(tblTelecomUnits[[#This Row],[Products]],tblPrices[Products],0), 0)* tblTelecomUnits[[#This Row],[cv_2022]]/10^6</f>
        <v>0</v>
      </c>
      <c r="R78" s="62" cm="1">
        <f t="array" ref="R78">INDEX(tblPrices[cv_2023], MATCH(tblTelecomUnits[[#This Row],[Products]],tblPrices[Products],0), 0)* tblTelecomUnits[[#This Row],[cv_2023]]/10^6</f>
        <v>0</v>
      </c>
      <c r="S78" s="62" cm="1">
        <f t="array" ref="S78">INDEX(tblPrices[cv_2024], MATCH(tblTelecomUnits[[#This Row],[Products]],tblPrices[Products],0), 0)* tblTelecomUnits[[#This Row],[cv_2024]]/10^6</f>
        <v>0</v>
      </c>
      <c r="T78" s="62" cm="1">
        <f t="array" ref="T78">INDEX(tblPrices[cv_2025], MATCH(tblTelecomUnits[[#This Row],[Products]],tblPrices[Products],0), 0)* tblTelecomUnits[[#This Row],[cv_2025]]/10^6</f>
        <v>0</v>
      </c>
      <c r="U78" s="62" cm="1">
        <f t="array" ref="U78">INDEX(tblPrices[cv_2026], MATCH(tblTelecomUnits[[#This Row],[Products]],tblPrices[Products],0), 0)* tblTelecomUnits[[#This Row],[cv_2026]]/10^6</f>
        <v>0</v>
      </c>
      <c r="V78" s="62" cm="1">
        <f t="array" ref="V78">INDEX(tblPrices[cv_2027], MATCH(tblTelecomUnits[[#This Row],[Products]],tblPrices[Products],0), 0)* tblTelecomUnits[[#This Row],[cv_2027]]/10^6</f>
        <v>0</v>
      </c>
      <c r="W78" s="62" cm="1">
        <f t="array" ref="W78">INDEX(tblPrices[cv_2028], MATCH(tblTelecomUnits[[#This Row],[Products]],tblPrices[Products],0), 0)* tblTelecomUnits[[#This Row],[cv_2028]]/10^6</f>
        <v>0</v>
      </c>
      <c r="X78" s="1">
        <f>VLOOKUP(A78,Products!$A$29:$F$110,6,FALSE)</f>
        <v>800</v>
      </c>
    </row>
    <row r="79" spans="1:24">
      <c r="A79" s="15" t="s">
        <v>17</v>
      </c>
      <c r="B79" s="8">
        <v>0</v>
      </c>
      <c r="C79" s="8">
        <v>0</v>
      </c>
      <c r="D79" s="8"/>
      <c r="E79" s="8"/>
      <c r="F79" s="8"/>
      <c r="G79" s="8"/>
      <c r="H79" s="8"/>
      <c r="I79" s="8"/>
      <c r="J79" s="8"/>
      <c r="K79" s="8"/>
      <c r="L79" s="8"/>
      <c r="M79" s="62" cm="1">
        <f t="array" ref="M79">INDEX(tblPrices[cv_2018], MATCH(tblTelecomUnits[[#This Row],[Products]],tblPrices[Products],0), 0)* tblTelecomUnits[[#This Row],[cv_2018]]/10^6</f>
        <v>0</v>
      </c>
      <c r="N79" s="62" cm="1">
        <f t="array" ref="N79">INDEX(tblPrices[cv_2019], MATCH(tblTelecomUnits[[#This Row],[Products]],tblPrices[Products],0), 0)* tblTelecomUnits[[#This Row],[cv_2019]]/10^6</f>
        <v>0</v>
      </c>
      <c r="O79" s="62" cm="1">
        <f t="array" ref="O79">INDEX(tblPrices[cv_2020], MATCH(tblTelecomUnits[[#This Row],[Products]],tblPrices[Products],0), 0)* tblTelecomUnits[[#This Row],[cv_2020]]/10^6</f>
        <v>0</v>
      </c>
      <c r="P79" s="62" cm="1">
        <f t="array" ref="P79">INDEX(tblPrices[cv_2021], MATCH(tblTelecomUnits[[#This Row],[Products]],tblPrices[Products],0), 0)* tblTelecomUnits[[#This Row],[cv_2021]]/10^6</f>
        <v>0</v>
      </c>
      <c r="Q79" s="62" cm="1">
        <f t="array" ref="Q79">INDEX(tblPrices[cv_2022], MATCH(tblTelecomUnits[[#This Row],[Products]],tblPrices[Products],0), 0)* tblTelecomUnits[[#This Row],[cv_2022]]/10^6</f>
        <v>0</v>
      </c>
      <c r="R79" s="62" cm="1">
        <f t="array" ref="R79">INDEX(tblPrices[cv_2023], MATCH(tblTelecomUnits[[#This Row],[Products]],tblPrices[Products],0), 0)* tblTelecomUnits[[#This Row],[cv_2023]]/10^6</f>
        <v>0</v>
      </c>
      <c r="S79" s="62" cm="1">
        <f t="array" ref="S79">INDEX(tblPrices[cv_2024], MATCH(tblTelecomUnits[[#This Row],[Products]],tblPrices[Products],0), 0)* tblTelecomUnits[[#This Row],[cv_2024]]/10^6</f>
        <v>0</v>
      </c>
      <c r="T79" s="62" cm="1">
        <f t="array" ref="T79">INDEX(tblPrices[cv_2025], MATCH(tblTelecomUnits[[#This Row],[Products]],tblPrices[Products],0), 0)* tblTelecomUnits[[#This Row],[cv_2025]]/10^6</f>
        <v>0</v>
      </c>
      <c r="U79" s="62" cm="1">
        <f t="array" ref="U79">INDEX(tblPrices[cv_2026], MATCH(tblTelecomUnits[[#This Row],[Products]],tblPrices[Products],0), 0)* tblTelecomUnits[[#This Row],[cv_2026]]/10^6</f>
        <v>0</v>
      </c>
      <c r="V79" s="62" cm="1">
        <f t="array" ref="V79">INDEX(tblPrices[cv_2027], MATCH(tblTelecomUnits[[#This Row],[Products]],tblPrices[Products],0), 0)* tblTelecomUnits[[#This Row],[cv_2027]]/10^6</f>
        <v>0</v>
      </c>
      <c r="W79" s="62" cm="1">
        <f t="array" ref="W79">INDEX(tblPrices[cv_2028], MATCH(tblTelecomUnits[[#This Row],[Products]],tblPrices[Products],0), 0)* tblTelecomUnits[[#This Row],[cv_2028]]/10^6</f>
        <v>0</v>
      </c>
      <c r="X79" s="1">
        <f>VLOOKUP(A79,Products!$A$29:$F$110,6,FALSE)</f>
        <v>800</v>
      </c>
    </row>
    <row r="80" spans="1:24">
      <c r="A80" s="15" t="s">
        <v>18</v>
      </c>
      <c r="B80" s="8">
        <v>0</v>
      </c>
      <c r="C80" s="8">
        <v>0</v>
      </c>
      <c r="D80" s="8"/>
      <c r="E80" s="8"/>
      <c r="F80" s="8"/>
      <c r="G80" s="8"/>
      <c r="H80" s="8"/>
      <c r="I80" s="8"/>
      <c r="J80" s="8"/>
      <c r="K80" s="8"/>
      <c r="L80" s="8"/>
      <c r="M80" s="62" cm="1">
        <f t="array" ref="M80">INDEX(tblPrices[cv_2018], MATCH(tblTelecomUnits[[#This Row],[Products]],tblPrices[Products],0), 0)* tblTelecomUnits[[#This Row],[cv_2018]]/10^6</f>
        <v>0</v>
      </c>
      <c r="N80" s="62" cm="1">
        <f t="array" ref="N80">INDEX(tblPrices[cv_2019], MATCH(tblTelecomUnits[[#This Row],[Products]],tblPrices[Products],0), 0)* tblTelecomUnits[[#This Row],[cv_2019]]/10^6</f>
        <v>0</v>
      </c>
      <c r="O80" s="62" cm="1">
        <f t="array" ref="O80">INDEX(tblPrices[cv_2020], MATCH(tblTelecomUnits[[#This Row],[Products]],tblPrices[Products],0), 0)* tblTelecomUnits[[#This Row],[cv_2020]]/10^6</f>
        <v>0</v>
      </c>
      <c r="P80" s="62" cm="1">
        <f t="array" ref="P80">INDEX(tblPrices[cv_2021], MATCH(tblTelecomUnits[[#This Row],[Products]],tblPrices[Products],0), 0)* tblTelecomUnits[[#This Row],[cv_2021]]/10^6</f>
        <v>0</v>
      </c>
      <c r="Q80" s="62" cm="1">
        <f t="array" ref="Q80">INDEX(tblPrices[cv_2022], MATCH(tblTelecomUnits[[#This Row],[Products]],tblPrices[Products],0), 0)* tblTelecomUnits[[#This Row],[cv_2022]]/10^6</f>
        <v>0</v>
      </c>
      <c r="R80" s="62" cm="1">
        <f t="array" ref="R80">INDEX(tblPrices[cv_2023], MATCH(tblTelecomUnits[[#This Row],[Products]],tblPrices[Products],0), 0)* tblTelecomUnits[[#This Row],[cv_2023]]/10^6</f>
        <v>0</v>
      </c>
      <c r="S80" s="62" cm="1">
        <f t="array" ref="S80">INDEX(tblPrices[cv_2024], MATCH(tblTelecomUnits[[#This Row],[Products]],tblPrices[Products],0), 0)* tblTelecomUnits[[#This Row],[cv_2024]]/10^6</f>
        <v>0</v>
      </c>
      <c r="T80" s="62" cm="1">
        <f t="array" ref="T80">INDEX(tblPrices[cv_2025], MATCH(tblTelecomUnits[[#This Row],[Products]],tblPrices[Products],0), 0)* tblTelecomUnits[[#This Row],[cv_2025]]/10^6</f>
        <v>0</v>
      </c>
      <c r="U80" s="62" cm="1">
        <f t="array" ref="U80">INDEX(tblPrices[cv_2026], MATCH(tblTelecomUnits[[#This Row],[Products]],tblPrices[Products],0), 0)* tblTelecomUnits[[#This Row],[cv_2026]]/10^6</f>
        <v>0</v>
      </c>
      <c r="V80" s="62" cm="1">
        <f t="array" ref="V80">INDEX(tblPrices[cv_2027], MATCH(tblTelecomUnits[[#This Row],[Products]],tblPrices[Products],0), 0)* tblTelecomUnits[[#This Row],[cv_2027]]/10^6</f>
        <v>0</v>
      </c>
      <c r="W80" s="62" cm="1">
        <f t="array" ref="W80">INDEX(tblPrices[cv_2028], MATCH(tblTelecomUnits[[#This Row],[Products]],tblPrices[Products],0), 0)* tblTelecomUnits[[#This Row],[cv_2028]]/10^6</f>
        <v>0</v>
      </c>
      <c r="X80" s="1">
        <f>VLOOKUP(A80,Products!$A$29:$F$110,6,FALSE)</f>
        <v>1600</v>
      </c>
    </row>
    <row r="81" spans="1:24">
      <c r="A81" s="15" t="s">
        <v>19</v>
      </c>
      <c r="B81" s="8">
        <v>0</v>
      </c>
      <c r="C81" s="8">
        <v>0</v>
      </c>
      <c r="D81" s="8"/>
      <c r="E81" s="8"/>
      <c r="F81" s="8"/>
      <c r="G81" s="8"/>
      <c r="H81" s="8"/>
      <c r="I81" s="8"/>
      <c r="J81" s="8"/>
      <c r="K81" s="8"/>
      <c r="L81" s="8"/>
      <c r="M81" s="62" cm="1">
        <f t="array" ref="M81">INDEX(tblPrices[cv_2018], MATCH(tblTelecomUnits[[#This Row],[Products]],tblPrices[Products],0), 0)* tblTelecomUnits[[#This Row],[cv_2018]]/10^6</f>
        <v>0</v>
      </c>
      <c r="N81" s="62" cm="1">
        <f t="array" ref="N81">INDEX(tblPrices[cv_2019], MATCH(tblTelecomUnits[[#This Row],[Products]],tblPrices[Products],0), 0)* tblTelecomUnits[[#This Row],[cv_2019]]/10^6</f>
        <v>0</v>
      </c>
      <c r="O81" s="62" cm="1">
        <f t="array" ref="O81">INDEX(tblPrices[cv_2020], MATCH(tblTelecomUnits[[#This Row],[Products]],tblPrices[Products],0), 0)* tblTelecomUnits[[#This Row],[cv_2020]]/10^6</f>
        <v>0</v>
      </c>
      <c r="P81" s="62" cm="1">
        <f t="array" ref="P81">INDEX(tblPrices[cv_2021], MATCH(tblTelecomUnits[[#This Row],[Products]],tblPrices[Products],0), 0)* tblTelecomUnits[[#This Row],[cv_2021]]/10^6</f>
        <v>0</v>
      </c>
      <c r="Q81" s="62" cm="1">
        <f t="array" ref="Q81">INDEX(tblPrices[cv_2022], MATCH(tblTelecomUnits[[#This Row],[Products]],tblPrices[Products],0), 0)* tblTelecomUnits[[#This Row],[cv_2022]]/10^6</f>
        <v>0</v>
      </c>
      <c r="R81" s="62" cm="1">
        <f t="array" ref="R81">INDEX(tblPrices[cv_2023], MATCH(tblTelecomUnits[[#This Row],[Products]],tblPrices[Products],0), 0)* tblTelecomUnits[[#This Row],[cv_2023]]/10^6</f>
        <v>0</v>
      </c>
      <c r="S81" s="62" cm="1">
        <f t="array" ref="S81">INDEX(tblPrices[cv_2024], MATCH(tblTelecomUnits[[#This Row],[Products]],tblPrices[Products],0), 0)* tblTelecomUnits[[#This Row],[cv_2024]]/10^6</f>
        <v>0</v>
      </c>
      <c r="T81" s="62" cm="1">
        <f t="array" ref="T81">INDEX(tblPrices[cv_2025], MATCH(tblTelecomUnits[[#This Row],[Products]],tblPrices[Products],0), 0)* tblTelecomUnits[[#This Row],[cv_2025]]/10^6</f>
        <v>0</v>
      </c>
      <c r="U81" s="62" cm="1">
        <f t="array" ref="U81">INDEX(tblPrices[cv_2026], MATCH(tblTelecomUnits[[#This Row],[Products]],tblPrices[Products],0), 0)* tblTelecomUnits[[#This Row],[cv_2026]]/10^6</f>
        <v>0</v>
      </c>
      <c r="V81" s="62" cm="1">
        <f t="array" ref="V81">INDEX(tblPrices[cv_2027], MATCH(tblTelecomUnits[[#This Row],[Products]],tblPrices[Products],0), 0)* tblTelecomUnits[[#This Row],[cv_2027]]/10^6</f>
        <v>0</v>
      </c>
      <c r="W81" s="62" cm="1">
        <f t="array" ref="W81">INDEX(tblPrices[cv_2028], MATCH(tblTelecomUnits[[#This Row],[Products]],tblPrices[Products],0), 0)* tblTelecomUnits[[#This Row],[cv_2028]]/10^6</f>
        <v>0</v>
      </c>
      <c r="X81" s="1">
        <f>VLOOKUP(A81,Products!$A$29:$F$110,6,FALSE)</f>
        <v>1600</v>
      </c>
    </row>
    <row r="82" spans="1:24">
      <c r="A82" s="15" t="s">
        <v>20</v>
      </c>
      <c r="B82" s="8">
        <v>0</v>
      </c>
      <c r="C82" s="8">
        <v>0</v>
      </c>
      <c r="D82" s="8"/>
      <c r="E82" s="8"/>
      <c r="F82" s="8"/>
      <c r="G82" s="8"/>
      <c r="H82" s="8"/>
      <c r="I82" s="8"/>
      <c r="J82" s="8"/>
      <c r="K82" s="8"/>
      <c r="L82" s="8"/>
      <c r="M82" s="62" cm="1">
        <f t="array" ref="M82">INDEX(tblPrices[cv_2018], MATCH(tblTelecomUnits[[#This Row],[Products]],tblPrices[Products],0), 0)* tblTelecomUnits[[#This Row],[cv_2018]]/10^6</f>
        <v>0</v>
      </c>
      <c r="N82" s="62" cm="1">
        <f t="array" ref="N82">INDEX(tblPrices[cv_2019], MATCH(tblTelecomUnits[[#This Row],[Products]],tblPrices[Products],0), 0)* tblTelecomUnits[[#This Row],[cv_2019]]/10^6</f>
        <v>0</v>
      </c>
      <c r="O82" s="62" cm="1">
        <f t="array" ref="O82">INDEX(tblPrices[cv_2020], MATCH(tblTelecomUnits[[#This Row],[Products]],tblPrices[Products],0), 0)* tblTelecomUnits[[#This Row],[cv_2020]]/10^6</f>
        <v>0</v>
      </c>
      <c r="P82" s="62" cm="1">
        <f t="array" ref="P82">INDEX(tblPrices[cv_2021], MATCH(tblTelecomUnits[[#This Row],[Products]],tblPrices[Products],0), 0)* tblTelecomUnits[[#This Row],[cv_2021]]/10^6</f>
        <v>0</v>
      </c>
      <c r="Q82" s="62" cm="1">
        <f t="array" ref="Q82">INDEX(tblPrices[cv_2022], MATCH(tblTelecomUnits[[#This Row],[Products]],tblPrices[Products],0), 0)* tblTelecomUnits[[#This Row],[cv_2022]]/10^6</f>
        <v>0</v>
      </c>
      <c r="R82" s="62" cm="1">
        <f t="array" ref="R82">INDEX(tblPrices[cv_2023], MATCH(tblTelecomUnits[[#This Row],[Products]],tblPrices[Products],0), 0)* tblTelecomUnits[[#This Row],[cv_2023]]/10^6</f>
        <v>0</v>
      </c>
      <c r="S82" s="62" cm="1">
        <f t="array" ref="S82">INDEX(tblPrices[cv_2024], MATCH(tblTelecomUnits[[#This Row],[Products]],tblPrices[Products],0), 0)* tblTelecomUnits[[#This Row],[cv_2024]]/10^6</f>
        <v>0</v>
      </c>
      <c r="T82" s="62" cm="1">
        <f t="array" ref="T82">INDEX(tblPrices[cv_2025], MATCH(tblTelecomUnits[[#This Row],[Products]],tblPrices[Products],0), 0)* tblTelecomUnits[[#This Row],[cv_2025]]/10^6</f>
        <v>0</v>
      </c>
      <c r="U82" s="62" cm="1">
        <f t="array" ref="U82">INDEX(tblPrices[cv_2026], MATCH(tblTelecomUnits[[#This Row],[Products]],tblPrices[Products],0), 0)* tblTelecomUnits[[#This Row],[cv_2026]]/10^6</f>
        <v>0</v>
      </c>
      <c r="V82" s="62" cm="1">
        <f t="array" ref="V82">INDEX(tblPrices[cv_2027], MATCH(tblTelecomUnits[[#This Row],[Products]],tblPrices[Products],0), 0)* tblTelecomUnits[[#This Row],[cv_2027]]/10^6</f>
        <v>0</v>
      </c>
      <c r="W82" s="62" cm="1">
        <f t="array" ref="W82">INDEX(tblPrices[cv_2028], MATCH(tblTelecomUnits[[#This Row],[Products]],tblPrices[Products],0), 0)* tblTelecomUnits[[#This Row],[cv_2028]]/10^6</f>
        <v>0</v>
      </c>
      <c r="X82" s="1">
        <f>VLOOKUP(A82,Products!$A$29:$F$110,6,FALSE)</f>
        <v>1600</v>
      </c>
    </row>
    <row r="83" spans="1:24">
      <c r="A83" s="15" t="s">
        <v>49</v>
      </c>
      <c r="B83" s="8">
        <v>0</v>
      </c>
      <c r="C83" s="8">
        <v>0</v>
      </c>
      <c r="D83" s="8"/>
      <c r="E83" s="8"/>
      <c r="F83" s="8"/>
      <c r="G83" s="8"/>
      <c r="H83" s="8"/>
      <c r="I83" s="8"/>
      <c r="J83" s="8"/>
      <c r="K83" s="8"/>
      <c r="L83" s="8"/>
      <c r="M83" s="62" cm="1">
        <f t="array" ref="M83">INDEX(tblPrices[cv_2018], MATCH(tblTelecomUnits[[#This Row],[Products]],tblPrices[Products],0), 0)* tblTelecomUnits[[#This Row],[cv_2018]]/10^6</f>
        <v>0</v>
      </c>
      <c r="N83" s="62" cm="1">
        <f t="array" ref="N83">INDEX(tblPrices[cv_2019], MATCH(tblTelecomUnits[[#This Row],[Products]],tblPrices[Products],0), 0)* tblTelecomUnits[[#This Row],[cv_2019]]/10^6</f>
        <v>0</v>
      </c>
      <c r="O83" s="62" cm="1">
        <f t="array" ref="O83">INDEX(tblPrices[cv_2020], MATCH(tblTelecomUnits[[#This Row],[Products]],tblPrices[Products],0), 0)* tblTelecomUnits[[#This Row],[cv_2020]]/10^6</f>
        <v>0</v>
      </c>
      <c r="P83" s="62" cm="1">
        <f t="array" ref="P83">INDEX(tblPrices[cv_2021], MATCH(tblTelecomUnits[[#This Row],[Products]],tblPrices[Products],0), 0)* tblTelecomUnits[[#This Row],[cv_2021]]/10^6</f>
        <v>0</v>
      </c>
      <c r="Q83" s="62" cm="1">
        <f t="array" ref="Q83">INDEX(tblPrices[cv_2022], MATCH(tblTelecomUnits[[#This Row],[Products]],tblPrices[Products],0), 0)* tblTelecomUnits[[#This Row],[cv_2022]]/10^6</f>
        <v>0</v>
      </c>
      <c r="R83" s="62" cm="1">
        <f t="array" ref="R83">INDEX(tblPrices[cv_2023], MATCH(tblTelecomUnits[[#This Row],[Products]],tblPrices[Products],0), 0)* tblTelecomUnits[[#This Row],[cv_2023]]/10^6</f>
        <v>0</v>
      </c>
      <c r="S83" s="62" cm="1">
        <f t="array" ref="S83">INDEX(tblPrices[cv_2024], MATCH(tblTelecomUnits[[#This Row],[Products]],tblPrices[Products],0), 0)* tblTelecomUnits[[#This Row],[cv_2024]]/10^6</f>
        <v>0</v>
      </c>
      <c r="T83" s="62" cm="1">
        <f t="array" ref="T83">INDEX(tblPrices[cv_2025], MATCH(tblTelecomUnits[[#This Row],[Products]],tblPrices[Products],0), 0)* tblTelecomUnits[[#This Row],[cv_2025]]/10^6</f>
        <v>0</v>
      </c>
      <c r="U83" s="62" cm="1">
        <f t="array" ref="U83">INDEX(tblPrices[cv_2026], MATCH(tblTelecomUnits[[#This Row],[Products]],tblPrices[Products],0), 0)* tblTelecomUnits[[#This Row],[cv_2026]]/10^6</f>
        <v>0</v>
      </c>
      <c r="V83" s="62" cm="1">
        <f t="array" ref="V83">INDEX(tblPrices[cv_2027], MATCH(tblTelecomUnits[[#This Row],[Products]],tblPrices[Products],0), 0)* tblTelecomUnits[[#This Row],[cv_2027]]/10^6</f>
        <v>0</v>
      </c>
      <c r="W83" s="62" cm="1">
        <f t="array" ref="W83">INDEX(tblPrices[cv_2028], MATCH(tblTelecomUnits[[#This Row],[Products]],tblPrices[Products],0), 0)* tblTelecomUnits[[#This Row],[cv_2028]]/10^6</f>
        <v>0</v>
      </c>
      <c r="X83" s="1">
        <f>VLOOKUP(A83,Products!$A$29:$F$110,6,FALSE)</f>
        <v>1600</v>
      </c>
    </row>
    <row r="84" spans="1:24">
      <c r="A84" s="15" t="s">
        <v>191</v>
      </c>
      <c r="B84" s="8">
        <v>0</v>
      </c>
      <c r="C84" s="8">
        <v>0</v>
      </c>
      <c r="D84" s="8"/>
      <c r="E84" s="8"/>
      <c r="F84" s="8"/>
      <c r="G84" s="8"/>
      <c r="H84" s="8"/>
      <c r="I84" s="8"/>
      <c r="J84" s="8"/>
      <c r="K84" s="8"/>
      <c r="L84" s="8"/>
      <c r="M84" s="62" cm="1">
        <f t="array" ref="M84">INDEX(tblPrices[cv_2018], MATCH(tblTelecomUnits[[#This Row],[Products]],tblPrices[Products],0), 0)* tblTelecomUnits[[#This Row],[cv_2018]]/10^6</f>
        <v>0</v>
      </c>
      <c r="N84" s="62" cm="1">
        <f t="array" ref="N84">INDEX(tblPrices[cv_2019], MATCH(tblTelecomUnits[[#This Row],[Products]],tblPrices[Products],0), 0)* tblTelecomUnits[[#This Row],[cv_2019]]/10^6</f>
        <v>0</v>
      </c>
      <c r="O84" s="62" cm="1">
        <f t="array" ref="O84">INDEX(tblPrices[cv_2020], MATCH(tblTelecomUnits[[#This Row],[Products]],tblPrices[Products],0), 0)* tblTelecomUnits[[#This Row],[cv_2020]]/10^6</f>
        <v>0</v>
      </c>
      <c r="P84" s="62" cm="1">
        <f t="array" ref="P84">INDEX(tblPrices[cv_2021], MATCH(tblTelecomUnits[[#This Row],[Products]],tblPrices[Products],0), 0)* tblTelecomUnits[[#This Row],[cv_2021]]/10^6</f>
        <v>0</v>
      </c>
      <c r="Q84" s="62" cm="1">
        <f t="array" ref="Q84">INDEX(tblPrices[cv_2022], MATCH(tblTelecomUnits[[#This Row],[Products]],tblPrices[Products],0), 0)* tblTelecomUnits[[#This Row],[cv_2022]]/10^6</f>
        <v>0</v>
      </c>
      <c r="R84" s="62" cm="1">
        <f t="array" ref="R84">INDEX(tblPrices[cv_2023], MATCH(tblTelecomUnits[[#This Row],[Products]],tblPrices[Products],0), 0)* tblTelecomUnits[[#This Row],[cv_2023]]/10^6</f>
        <v>0</v>
      </c>
      <c r="S84" s="62" cm="1">
        <f t="array" ref="S84">INDEX(tblPrices[cv_2024], MATCH(tblTelecomUnits[[#This Row],[Products]],tblPrices[Products],0), 0)* tblTelecomUnits[[#This Row],[cv_2024]]/10^6</f>
        <v>0</v>
      </c>
      <c r="T84" s="62" cm="1">
        <f t="array" ref="T84">INDEX(tblPrices[cv_2025], MATCH(tblTelecomUnits[[#This Row],[Products]],tblPrices[Products],0), 0)* tblTelecomUnits[[#This Row],[cv_2025]]/10^6</f>
        <v>0</v>
      </c>
      <c r="U84" s="62" cm="1">
        <f t="array" ref="U84">INDEX(tblPrices[cv_2026], MATCH(tblTelecomUnits[[#This Row],[Products]],tblPrices[Products],0), 0)* tblTelecomUnits[[#This Row],[cv_2026]]/10^6</f>
        <v>0</v>
      </c>
      <c r="V84" s="62" cm="1">
        <f t="array" ref="V84">INDEX(tblPrices[cv_2027], MATCH(tblTelecomUnits[[#This Row],[Products]],tblPrices[Products],0), 0)* tblTelecomUnits[[#This Row],[cv_2027]]/10^6</f>
        <v>0</v>
      </c>
      <c r="W84" s="62" cm="1">
        <f t="array" ref="W84">INDEX(tblPrices[cv_2028], MATCH(tblTelecomUnits[[#This Row],[Products]],tblPrices[Products],0), 0)* tblTelecomUnits[[#This Row],[cv_2028]]/10^6</f>
        <v>0</v>
      </c>
      <c r="X84" s="1">
        <f>VLOOKUP(A84,Products!$A$29:$F$110,6,FALSE)</f>
        <v>1600</v>
      </c>
    </row>
    <row r="85" spans="1:24">
      <c r="A85" s="15" t="s">
        <v>192</v>
      </c>
      <c r="B85" s="8">
        <v>0</v>
      </c>
      <c r="C85" s="8">
        <v>0</v>
      </c>
      <c r="D85" s="8"/>
      <c r="E85" s="8"/>
      <c r="F85" s="8"/>
      <c r="G85" s="8"/>
      <c r="H85" s="8"/>
      <c r="I85" s="8"/>
      <c r="J85" s="8"/>
      <c r="K85" s="8"/>
      <c r="L85" s="8"/>
      <c r="M85" s="62" cm="1">
        <f t="array" ref="M85">INDEX(tblPrices[cv_2018], MATCH(tblTelecomUnits[[#This Row],[Products]],tblPrices[Products],0), 0)* tblTelecomUnits[[#This Row],[cv_2018]]/10^6</f>
        <v>0</v>
      </c>
      <c r="N85" s="62" cm="1">
        <f t="array" ref="N85">INDEX(tblPrices[cv_2019], MATCH(tblTelecomUnits[[#This Row],[Products]],tblPrices[Products],0), 0)* tblTelecomUnits[[#This Row],[cv_2019]]/10^6</f>
        <v>0</v>
      </c>
      <c r="O85" s="62" cm="1">
        <f t="array" ref="O85">INDEX(tblPrices[cv_2020], MATCH(tblTelecomUnits[[#This Row],[Products]],tblPrices[Products],0), 0)* tblTelecomUnits[[#This Row],[cv_2020]]/10^6</f>
        <v>0</v>
      </c>
      <c r="P85" s="62" cm="1">
        <f t="array" ref="P85">INDEX(tblPrices[cv_2021], MATCH(tblTelecomUnits[[#This Row],[Products]],tblPrices[Products],0), 0)* tblTelecomUnits[[#This Row],[cv_2021]]/10^6</f>
        <v>0</v>
      </c>
      <c r="Q85" s="62" cm="1">
        <f t="array" ref="Q85">INDEX(tblPrices[cv_2022], MATCH(tblTelecomUnits[[#This Row],[Products]],tblPrices[Products],0), 0)* tblTelecomUnits[[#This Row],[cv_2022]]/10^6</f>
        <v>0</v>
      </c>
      <c r="R85" s="62" cm="1">
        <f t="array" ref="R85">INDEX(tblPrices[cv_2023], MATCH(tblTelecomUnits[[#This Row],[Products]],tblPrices[Products],0), 0)* tblTelecomUnits[[#This Row],[cv_2023]]/10^6</f>
        <v>0</v>
      </c>
      <c r="S85" s="62" cm="1">
        <f t="array" ref="S85">INDEX(tblPrices[cv_2024], MATCH(tblTelecomUnits[[#This Row],[Products]],tblPrices[Products],0), 0)* tblTelecomUnits[[#This Row],[cv_2024]]/10^6</f>
        <v>0</v>
      </c>
      <c r="T85" s="62" cm="1">
        <f t="array" ref="T85">INDEX(tblPrices[cv_2025], MATCH(tblTelecomUnits[[#This Row],[Products]],tblPrices[Products],0), 0)* tblTelecomUnits[[#This Row],[cv_2025]]/10^6</f>
        <v>0</v>
      </c>
      <c r="U85" s="62" cm="1">
        <f t="array" ref="U85">INDEX(tblPrices[cv_2026], MATCH(tblTelecomUnits[[#This Row],[Products]],tblPrices[Products],0), 0)* tblTelecomUnits[[#This Row],[cv_2026]]/10^6</f>
        <v>0</v>
      </c>
      <c r="V85" s="62" cm="1">
        <f t="array" ref="V85">INDEX(tblPrices[cv_2027], MATCH(tblTelecomUnits[[#This Row],[Products]],tblPrices[Products],0), 0)* tblTelecomUnits[[#This Row],[cv_2027]]/10^6</f>
        <v>0</v>
      </c>
      <c r="W85" s="62" cm="1">
        <f t="array" ref="W85">INDEX(tblPrices[cv_2028], MATCH(tblTelecomUnits[[#This Row],[Products]],tblPrices[Products],0), 0)* tblTelecomUnits[[#This Row],[cv_2028]]/10^6</f>
        <v>0</v>
      </c>
      <c r="X85" s="1">
        <f>VLOOKUP(A85,Products!$A$29:$F$110,6,FALSE)</f>
        <v>3200</v>
      </c>
    </row>
    <row r="86" spans="1:24">
      <c r="A86" s="15" t="s">
        <v>193</v>
      </c>
      <c r="B86" s="8">
        <v>0</v>
      </c>
      <c r="C86" s="8">
        <v>0</v>
      </c>
      <c r="D86" s="8"/>
      <c r="E86" s="8"/>
      <c r="F86" s="8"/>
      <c r="G86" s="8"/>
      <c r="H86" s="8"/>
      <c r="I86" s="8"/>
      <c r="J86" s="8"/>
      <c r="K86" s="8"/>
      <c r="L86" s="8"/>
      <c r="M86" s="62" cm="1">
        <f t="array" ref="M86">INDEX(tblPrices[cv_2018], MATCH(tblTelecomUnits[[#This Row],[Products]],tblPrices[Products],0), 0)* tblTelecomUnits[[#This Row],[cv_2018]]/10^6</f>
        <v>0</v>
      </c>
      <c r="N86" s="62" cm="1">
        <f t="array" ref="N86">INDEX(tblPrices[cv_2019], MATCH(tblTelecomUnits[[#This Row],[Products]],tblPrices[Products],0), 0)* tblTelecomUnits[[#This Row],[cv_2019]]/10^6</f>
        <v>0</v>
      </c>
      <c r="O86" s="62" cm="1">
        <f t="array" ref="O86">INDEX(tblPrices[cv_2020], MATCH(tblTelecomUnits[[#This Row],[Products]],tblPrices[Products],0), 0)* tblTelecomUnits[[#This Row],[cv_2020]]/10^6</f>
        <v>0</v>
      </c>
      <c r="P86" s="62" cm="1">
        <f t="array" ref="P86">INDEX(tblPrices[cv_2021], MATCH(tblTelecomUnits[[#This Row],[Products]],tblPrices[Products],0), 0)* tblTelecomUnits[[#This Row],[cv_2021]]/10^6</f>
        <v>0</v>
      </c>
      <c r="Q86" s="62" cm="1">
        <f t="array" ref="Q86">INDEX(tblPrices[cv_2022], MATCH(tblTelecomUnits[[#This Row],[Products]],tblPrices[Products],0), 0)* tblTelecomUnits[[#This Row],[cv_2022]]/10^6</f>
        <v>0</v>
      </c>
      <c r="R86" s="62" cm="1">
        <f t="array" ref="R86">INDEX(tblPrices[cv_2023], MATCH(tblTelecomUnits[[#This Row],[Products]],tblPrices[Products],0), 0)* tblTelecomUnits[[#This Row],[cv_2023]]/10^6</f>
        <v>0</v>
      </c>
      <c r="S86" s="62" cm="1">
        <f t="array" ref="S86">INDEX(tblPrices[cv_2024], MATCH(tblTelecomUnits[[#This Row],[Products]],tblPrices[Products],0), 0)* tblTelecomUnits[[#This Row],[cv_2024]]/10^6</f>
        <v>0</v>
      </c>
      <c r="T86" s="62" cm="1">
        <f t="array" ref="T86">INDEX(tblPrices[cv_2025], MATCH(tblTelecomUnits[[#This Row],[Products]],tblPrices[Products],0), 0)* tblTelecomUnits[[#This Row],[cv_2025]]/10^6</f>
        <v>0</v>
      </c>
      <c r="U86" s="62" cm="1">
        <f t="array" ref="U86">INDEX(tblPrices[cv_2026], MATCH(tblTelecomUnits[[#This Row],[Products]],tblPrices[Products],0), 0)* tblTelecomUnits[[#This Row],[cv_2026]]/10^6</f>
        <v>0</v>
      </c>
      <c r="V86" s="62" cm="1">
        <f t="array" ref="V86">INDEX(tblPrices[cv_2027], MATCH(tblTelecomUnits[[#This Row],[Products]],tblPrices[Products],0), 0)* tblTelecomUnits[[#This Row],[cv_2027]]/10^6</f>
        <v>0</v>
      </c>
      <c r="W86" s="62" cm="1">
        <f t="array" ref="W86">INDEX(tblPrices[cv_2028], MATCH(tblTelecomUnits[[#This Row],[Products]],tblPrices[Products],0), 0)* tblTelecomUnits[[#This Row],[cv_2028]]/10^6</f>
        <v>0</v>
      </c>
      <c r="X86" s="1">
        <f>VLOOKUP(A86,Products!$A$29:$F$110,6,FALSE)</f>
        <v>3200</v>
      </c>
    </row>
    <row r="87" spans="1:24">
      <c r="A87" s="15" t="s">
        <v>194</v>
      </c>
      <c r="B87" s="8">
        <v>0</v>
      </c>
      <c r="C87" s="8">
        <v>0</v>
      </c>
      <c r="D87" s="8"/>
      <c r="E87" s="8"/>
      <c r="F87" s="8"/>
      <c r="G87" s="8"/>
      <c r="H87" s="8"/>
      <c r="I87" s="8"/>
      <c r="J87" s="8"/>
      <c r="K87" s="8"/>
      <c r="L87" s="8"/>
      <c r="M87" s="62" cm="1">
        <f t="array" ref="M87">INDEX(tblPrices[cv_2018], MATCH(tblTelecomUnits[[#This Row],[Products]],tblPrices[Products],0), 0)* tblTelecomUnits[[#This Row],[cv_2018]]/10^6</f>
        <v>0</v>
      </c>
      <c r="N87" s="62" cm="1">
        <f t="array" ref="N87">INDEX(tblPrices[cv_2019], MATCH(tblTelecomUnits[[#This Row],[Products]],tblPrices[Products],0), 0)* tblTelecomUnits[[#This Row],[cv_2019]]/10^6</f>
        <v>0</v>
      </c>
      <c r="O87" s="62" cm="1">
        <f t="array" ref="O87">INDEX(tblPrices[cv_2020], MATCH(tblTelecomUnits[[#This Row],[Products]],tblPrices[Products],0), 0)* tblTelecomUnits[[#This Row],[cv_2020]]/10^6</f>
        <v>0</v>
      </c>
      <c r="P87" s="62" cm="1">
        <f t="array" ref="P87">INDEX(tblPrices[cv_2021], MATCH(tblTelecomUnits[[#This Row],[Products]],tblPrices[Products],0), 0)* tblTelecomUnits[[#This Row],[cv_2021]]/10^6</f>
        <v>0</v>
      </c>
      <c r="Q87" s="62" cm="1">
        <f t="array" ref="Q87">INDEX(tblPrices[cv_2022], MATCH(tblTelecomUnits[[#This Row],[Products]],tblPrices[Products],0), 0)* tblTelecomUnits[[#This Row],[cv_2022]]/10^6</f>
        <v>0</v>
      </c>
      <c r="R87" s="62" cm="1">
        <f t="array" ref="R87">INDEX(tblPrices[cv_2023], MATCH(tblTelecomUnits[[#This Row],[Products]],tblPrices[Products],0), 0)* tblTelecomUnits[[#This Row],[cv_2023]]/10^6</f>
        <v>0</v>
      </c>
      <c r="S87" s="62" cm="1">
        <f t="array" ref="S87">INDEX(tblPrices[cv_2024], MATCH(tblTelecomUnits[[#This Row],[Products]],tblPrices[Products],0), 0)* tblTelecomUnits[[#This Row],[cv_2024]]/10^6</f>
        <v>0</v>
      </c>
      <c r="T87" s="62" cm="1">
        <f t="array" ref="T87">INDEX(tblPrices[cv_2025], MATCH(tblTelecomUnits[[#This Row],[Products]],tblPrices[Products],0), 0)* tblTelecomUnits[[#This Row],[cv_2025]]/10^6</f>
        <v>0</v>
      </c>
      <c r="U87" s="62" cm="1">
        <f t="array" ref="U87">INDEX(tblPrices[cv_2026], MATCH(tblTelecomUnits[[#This Row],[Products]],tblPrices[Products],0), 0)* tblTelecomUnits[[#This Row],[cv_2026]]/10^6</f>
        <v>0</v>
      </c>
      <c r="V87" s="62" cm="1">
        <f t="array" ref="V87">INDEX(tblPrices[cv_2027], MATCH(tblTelecomUnits[[#This Row],[Products]],tblPrices[Products],0), 0)* tblTelecomUnits[[#This Row],[cv_2027]]/10^6</f>
        <v>0</v>
      </c>
      <c r="W87" s="62" cm="1">
        <f t="array" ref="W87">INDEX(tblPrices[cv_2028], MATCH(tblTelecomUnits[[#This Row],[Products]],tblPrices[Products],0), 0)* tblTelecomUnits[[#This Row],[cv_2028]]/10^6</f>
        <v>0</v>
      </c>
      <c r="X87" s="1">
        <f>VLOOKUP(A87,Products!$A$29:$F$110,6,FALSE)</f>
        <v>3200</v>
      </c>
    </row>
    <row r="88" spans="1:24">
      <c r="A88" s="15" t="s">
        <v>195</v>
      </c>
      <c r="B88" s="8">
        <v>0</v>
      </c>
      <c r="C88" s="8">
        <v>0</v>
      </c>
      <c r="D88" s="8"/>
      <c r="E88" s="8"/>
      <c r="F88" s="8"/>
      <c r="G88" s="8"/>
      <c r="H88" s="8"/>
      <c r="I88" s="8"/>
      <c r="J88" s="8"/>
      <c r="K88" s="8"/>
      <c r="L88" s="8"/>
      <c r="M88" s="62" cm="1">
        <f t="array" ref="M88">INDEX(tblPrices[cv_2018], MATCH(tblTelecomUnits[[#This Row],[Products]],tblPrices[Products],0), 0)* tblTelecomUnits[[#This Row],[cv_2018]]/10^6</f>
        <v>0</v>
      </c>
      <c r="N88" s="62" cm="1">
        <f t="array" ref="N88">INDEX(tblPrices[cv_2019], MATCH(tblTelecomUnits[[#This Row],[Products]],tblPrices[Products],0), 0)* tblTelecomUnits[[#This Row],[cv_2019]]/10^6</f>
        <v>0</v>
      </c>
      <c r="O88" s="62" cm="1">
        <f t="array" ref="O88">INDEX(tblPrices[cv_2020], MATCH(tblTelecomUnits[[#This Row],[Products]],tblPrices[Products],0), 0)* tblTelecomUnits[[#This Row],[cv_2020]]/10^6</f>
        <v>0</v>
      </c>
      <c r="P88" s="62" cm="1">
        <f t="array" ref="P88">INDEX(tblPrices[cv_2021], MATCH(tblTelecomUnits[[#This Row],[Products]],tblPrices[Products],0), 0)* tblTelecomUnits[[#This Row],[cv_2021]]/10^6</f>
        <v>0</v>
      </c>
      <c r="Q88" s="62" cm="1">
        <f t="array" ref="Q88">INDEX(tblPrices[cv_2022], MATCH(tblTelecomUnits[[#This Row],[Products]],tblPrices[Products],0), 0)* tblTelecomUnits[[#This Row],[cv_2022]]/10^6</f>
        <v>0</v>
      </c>
      <c r="R88" s="62" cm="1">
        <f t="array" ref="R88">INDEX(tblPrices[cv_2023], MATCH(tblTelecomUnits[[#This Row],[Products]],tblPrices[Products],0), 0)* tblTelecomUnits[[#This Row],[cv_2023]]/10^6</f>
        <v>0</v>
      </c>
      <c r="S88" s="62" cm="1">
        <f t="array" ref="S88">INDEX(tblPrices[cv_2024], MATCH(tblTelecomUnits[[#This Row],[Products]],tblPrices[Products],0), 0)* tblTelecomUnits[[#This Row],[cv_2024]]/10^6</f>
        <v>0</v>
      </c>
      <c r="T88" s="62" cm="1">
        <f t="array" ref="T88">INDEX(tblPrices[cv_2025], MATCH(tblTelecomUnits[[#This Row],[Products]],tblPrices[Products],0), 0)* tblTelecomUnits[[#This Row],[cv_2025]]/10^6</f>
        <v>0</v>
      </c>
      <c r="U88" s="62" cm="1">
        <f t="array" ref="U88">INDEX(tblPrices[cv_2026], MATCH(tblTelecomUnits[[#This Row],[Products]],tblPrices[Products],0), 0)* tblTelecomUnits[[#This Row],[cv_2026]]/10^6</f>
        <v>0</v>
      </c>
      <c r="V88" s="62" cm="1">
        <f t="array" ref="V88">INDEX(tblPrices[cv_2027], MATCH(tblTelecomUnits[[#This Row],[Products]],tblPrices[Products],0), 0)* tblTelecomUnits[[#This Row],[cv_2027]]/10^6</f>
        <v>0</v>
      </c>
      <c r="W88" s="62" cm="1">
        <f t="array" ref="W88">INDEX(tblPrices[cv_2028], MATCH(tblTelecomUnits[[#This Row],[Products]],tblPrices[Products],0), 0)* tblTelecomUnits[[#This Row],[cv_2028]]/10^6</f>
        <v>0</v>
      </c>
      <c r="X88" s="1">
        <f>VLOOKUP(A88,Products!$A$29:$F$110,6,FALSE)</f>
        <v>3200</v>
      </c>
    </row>
    <row r="89" spans="1:24">
      <c r="A89" s="113" t="s">
        <v>196</v>
      </c>
      <c r="B89" s="73">
        <v>0</v>
      </c>
      <c r="C89" s="73">
        <v>0</v>
      </c>
      <c r="D89" s="73"/>
      <c r="E89" s="73"/>
      <c r="F89" s="73"/>
      <c r="G89" s="73"/>
      <c r="H89" s="73"/>
      <c r="I89" s="73"/>
      <c r="J89" s="73"/>
      <c r="K89" s="73"/>
      <c r="L89" s="73"/>
      <c r="M89" s="115" cm="1">
        <f t="array" ref="M89">INDEX(tblPrices[cv_2018], MATCH(tblTelecomUnits[[#This Row],[Products]],tblPrices[Products],0), 0)* tblTelecomUnits[[#This Row],[cv_2018]]/10^6</f>
        <v>0</v>
      </c>
      <c r="N89" s="115" cm="1">
        <f t="array" ref="N89">INDEX(tblPrices[cv_2019], MATCH(tblTelecomUnits[[#This Row],[Products]],tblPrices[Products],0), 0)* tblTelecomUnits[[#This Row],[cv_2019]]/10^6</f>
        <v>0</v>
      </c>
      <c r="O89" s="115" cm="1">
        <f t="array" ref="O89">INDEX(tblPrices[cv_2020], MATCH(tblTelecomUnits[[#This Row],[Products]],tblPrices[Products],0), 0)* tblTelecomUnits[[#This Row],[cv_2020]]/10^6</f>
        <v>0</v>
      </c>
      <c r="P89" s="115" cm="1">
        <f t="array" ref="P89">INDEX(tblPrices[cv_2021], MATCH(tblTelecomUnits[[#This Row],[Products]],tblPrices[Products],0), 0)* tblTelecomUnits[[#This Row],[cv_2021]]/10^6</f>
        <v>0</v>
      </c>
      <c r="Q89" s="115" cm="1">
        <f t="array" ref="Q89">INDEX(tblPrices[cv_2022], MATCH(tblTelecomUnits[[#This Row],[Products]],tblPrices[Products],0), 0)* tblTelecomUnits[[#This Row],[cv_2022]]/10^6</f>
        <v>0</v>
      </c>
      <c r="R89" s="115" cm="1">
        <f t="array" ref="R89">INDEX(tblPrices[cv_2023], MATCH(tblTelecomUnits[[#This Row],[Products]],tblPrices[Products],0), 0)* tblTelecomUnits[[#This Row],[cv_2023]]/10^6</f>
        <v>0</v>
      </c>
      <c r="S89" s="115" cm="1">
        <f t="array" ref="S89">INDEX(tblPrices[cv_2024], MATCH(tblTelecomUnits[[#This Row],[Products]],tblPrices[Products],0), 0)* tblTelecomUnits[[#This Row],[cv_2024]]/10^6</f>
        <v>0</v>
      </c>
      <c r="T89" s="115" cm="1">
        <f t="array" ref="T89">INDEX(tblPrices[cv_2025], MATCH(tblTelecomUnits[[#This Row],[Products]],tblPrices[Products],0), 0)* tblTelecomUnits[[#This Row],[cv_2025]]/10^6</f>
        <v>0</v>
      </c>
      <c r="U89" s="115" cm="1">
        <f t="array" ref="U89">INDEX(tblPrices[cv_2026], MATCH(tblTelecomUnits[[#This Row],[Products]],tblPrices[Products],0), 0)* tblTelecomUnits[[#This Row],[cv_2026]]/10^6</f>
        <v>0</v>
      </c>
      <c r="V89" s="115" cm="1">
        <f t="array" ref="V89">INDEX(tblPrices[cv_2027], MATCH(tblTelecomUnits[[#This Row],[Products]],tblPrices[Products],0), 0)* tblTelecomUnits[[#This Row],[cv_2027]]/10^6</f>
        <v>0</v>
      </c>
      <c r="W89" s="115" cm="1">
        <f t="array" ref="W89">INDEX(tblPrices[cv_2028], MATCH(tblTelecomUnits[[#This Row],[Products]],tblPrices[Products],0), 0)* tblTelecomUnits[[#This Row],[cv_2028]]/10^6</f>
        <v>0</v>
      </c>
      <c r="X89" s="4">
        <f>VLOOKUP(A89,Products!$A$29:$F$110,6,FALSE)</f>
        <v>3200</v>
      </c>
    </row>
    <row r="90" spans="1:24">
      <c r="A90" s="15" t="s">
        <v>197</v>
      </c>
      <c r="B90" s="8">
        <v>273966.09999999998</v>
      </c>
      <c r="C90" s="8">
        <v>301441.07543568406</v>
      </c>
      <c r="D90" s="8"/>
      <c r="E90" s="8"/>
      <c r="F90" s="8"/>
      <c r="G90" s="8"/>
      <c r="H90" s="8"/>
      <c r="I90" s="8"/>
      <c r="J90" s="8"/>
      <c r="K90" s="8"/>
      <c r="L90" s="8"/>
      <c r="M90" s="62" cm="1">
        <f t="array" ref="M90">INDEX(tblPrices[cv_2018], MATCH(tblTelecomUnits[[#This Row],[Products]],tblPrices[Products],0), 0)* tblTelecomUnits[[#This Row],[cv_2018]]/10^6</f>
        <v>53.332211339518842</v>
      </c>
      <c r="N90" s="62" cm="1">
        <f t="array" ref="N90">INDEX(tblPrices[cv_2019], MATCH(tblTelecomUnits[[#This Row],[Products]],tblPrices[Products],0), 0)* tblTelecomUnits[[#This Row],[cv_2019]]/10^6</f>
        <v>59.585450851542539</v>
      </c>
      <c r="O90" s="62" cm="1">
        <f t="array" ref="O90">INDEX(tblPrices[cv_2020], MATCH(tblTelecomUnits[[#This Row],[Products]],tblPrices[Products],0), 0)* tblTelecomUnits[[#This Row],[cv_2020]]/10^6</f>
        <v>0</v>
      </c>
      <c r="P90" s="62" cm="1">
        <f t="array" ref="P90">INDEX(tblPrices[cv_2021], MATCH(tblTelecomUnits[[#This Row],[Products]],tblPrices[Products],0), 0)* tblTelecomUnits[[#This Row],[cv_2021]]/10^6</f>
        <v>0</v>
      </c>
      <c r="Q90" s="62" cm="1">
        <f t="array" ref="Q90">INDEX(tblPrices[cv_2022], MATCH(tblTelecomUnits[[#This Row],[Products]],tblPrices[Products],0), 0)* tblTelecomUnits[[#This Row],[cv_2022]]/10^6</f>
        <v>0</v>
      </c>
      <c r="R90" s="62" cm="1">
        <f t="array" ref="R90">INDEX(tblPrices[cv_2023], MATCH(tblTelecomUnits[[#This Row],[Products]],tblPrices[Products],0), 0)* tblTelecomUnits[[#This Row],[cv_2023]]/10^6</f>
        <v>0</v>
      </c>
      <c r="S90" s="62" cm="1">
        <f t="array" ref="S90">INDEX(tblPrices[cv_2024], MATCH(tblTelecomUnits[[#This Row],[Products]],tblPrices[Products],0), 0)* tblTelecomUnits[[#This Row],[cv_2024]]/10^6</f>
        <v>0</v>
      </c>
      <c r="T90" s="62" cm="1">
        <f t="array" ref="T90">INDEX(tblPrices[cv_2025], MATCH(tblTelecomUnits[[#This Row],[Products]],tblPrices[Products],0), 0)* tblTelecomUnits[[#This Row],[cv_2025]]/10^6</f>
        <v>0</v>
      </c>
      <c r="U90" s="62" cm="1">
        <f t="array" ref="U90">INDEX(tblPrices[cv_2026], MATCH(tblTelecomUnits[[#This Row],[Products]],tblPrices[Products],0), 0)* tblTelecomUnits[[#This Row],[cv_2026]]/10^6</f>
        <v>0</v>
      </c>
      <c r="V90" s="62" cm="1">
        <f t="array" ref="V90">INDEX(tblPrices[cv_2027], MATCH(tblTelecomUnits[[#This Row],[Products]],tblPrices[Products],0), 0)* tblTelecomUnits[[#This Row],[cv_2027]]/10^6</f>
        <v>0</v>
      </c>
      <c r="W90" s="62" cm="1">
        <f t="array" ref="W90">INDEX(tblPrices[cv_2028], MATCH(tblTelecomUnits[[#This Row],[Products]],tblPrices[Products],0), 0)* tblTelecomUnits[[#This Row],[cv_2028]]/10^6</f>
        <v>0</v>
      </c>
      <c r="X90" s="1">
        <f>VLOOKUP(A90,Products!$A$29:$F$110,6,FALSE)</f>
        <v>10</v>
      </c>
    </row>
    <row r="91" spans="1:24">
      <c r="A91" s="15" t="s">
        <v>198</v>
      </c>
      <c r="B91" s="8">
        <v>31409.279999999999</v>
      </c>
      <c r="C91" s="8">
        <v>26020.019999999997</v>
      </c>
      <c r="D91" s="8"/>
      <c r="E91" s="8"/>
      <c r="F91" s="8"/>
      <c r="G91" s="8"/>
      <c r="H91" s="8"/>
      <c r="I91" s="8"/>
      <c r="J91" s="8"/>
      <c r="K91" s="8"/>
      <c r="L91" s="8"/>
      <c r="M91" s="62" cm="1">
        <f t="array" ref="M91">INDEX(tblPrices[cv_2018], MATCH(tblTelecomUnits[[#This Row],[Products]],tblPrices[Products],0), 0)* tblTelecomUnits[[#This Row],[cv_2018]]/10^6</f>
        <v>7.0984972799999992</v>
      </c>
      <c r="N91" s="62" cm="1">
        <f t="array" ref="N91">INDEX(tblPrices[cv_2019], MATCH(tblTelecomUnits[[#This Row],[Products]],tblPrices[Products],0), 0)* tblTelecomUnits[[#This Row],[cv_2019]]/10^6</f>
        <v>4.6008760199999985</v>
      </c>
      <c r="O91" s="62" cm="1">
        <f t="array" ref="O91">INDEX(tblPrices[cv_2020], MATCH(tblTelecomUnits[[#This Row],[Products]],tblPrices[Products],0), 0)* tblTelecomUnits[[#This Row],[cv_2020]]/10^6</f>
        <v>0</v>
      </c>
      <c r="P91" s="62" cm="1">
        <f t="array" ref="P91">INDEX(tblPrices[cv_2021], MATCH(tblTelecomUnits[[#This Row],[Products]],tblPrices[Products],0), 0)* tblTelecomUnits[[#This Row],[cv_2021]]/10^6</f>
        <v>0</v>
      </c>
      <c r="Q91" s="62" cm="1">
        <f t="array" ref="Q91">INDEX(tblPrices[cv_2022], MATCH(tblTelecomUnits[[#This Row],[Products]],tblPrices[Products],0), 0)* tblTelecomUnits[[#This Row],[cv_2022]]/10^6</f>
        <v>0</v>
      </c>
      <c r="R91" s="62" cm="1">
        <f t="array" ref="R91">INDEX(tblPrices[cv_2023], MATCH(tblTelecomUnits[[#This Row],[Products]],tblPrices[Products],0), 0)* tblTelecomUnits[[#This Row],[cv_2023]]/10^6</f>
        <v>0</v>
      </c>
      <c r="S91" s="62" cm="1">
        <f t="array" ref="S91">INDEX(tblPrices[cv_2024], MATCH(tblTelecomUnits[[#This Row],[Products]],tblPrices[Products],0), 0)* tblTelecomUnits[[#This Row],[cv_2024]]/10^6</f>
        <v>0</v>
      </c>
      <c r="T91" s="62" cm="1">
        <f t="array" ref="T91">INDEX(tblPrices[cv_2025], MATCH(tblTelecomUnits[[#This Row],[Products]],tblPrices[Products],0), 0)* tblTelecomUnits[[#This Row],[cv_2025]]/10^6</f>
        <v>0</v>
      </c>
      <c r="U91" s="62" cm="1">
        <f t="array" ref="U91">INDEX(tblPrices[cv_2026], MATCH(tblTelecomUnits[[#This Row],[Products]],tblPrices[Products],0), 0)* tblTelecomUnits[[#This Row],[cv_2026]]/10^6</f>
        <v>0</v>
      </c>
      <c r="V91" s="62" cm="1">
        <f t="array" ref="V91">INDEX(tblPrices[cv_2027], MATCH(tblTelecomUnits[[#This Row],[Products]],tblPrices[Products],0), 0)* tblTelecomUnits[[#This Row],[cv_2027]]/10^6</f>
        <v>0</v>
      </c>
      <c r="W91" s="62" cm="1">
        <f t="array" ref="W91">INDEX(tblPrices[cv_2028], MATCH(tblTelecomUnits[[#This Row],[Products]],tblPrices[Products],0), 0)* tblTelecomUnits[[#This Row],[cv_2028]]/10^6</f>
        <v>0</v>
      </c>
      <c r="X91" s="1">
        <f>VLOOKUP(A91,Products!$A$29:$F$110,6,FALSE)</f>
        <v>2.5</v>
      </c>
    </row>
    <row r="92" spans="1:24">
      <c r="A92" s="15" t="s">
        <v>21</v>
      </c>
      <c r="B92" s="8">
        <v>305633.75</v>
      </c>
      <c r="C92" s="8">
        <v>395190.16385946772</v>
      </c>
      <c r="D92" s="8"/>
      <c r="E92" s="8"/>
      <c r="F92" s="8"/>
      <c r="G92" s="8"/>
      <c r="H92" s="8"/>
      <c r="I92" s="8"/>
      <c r="J92" s="8"/>
      <c r="K92" s="8"/>
      <c r="L92" s="8"/>
      <c r="M92" s="62" cm="1">
        <f t="array" ref="M92">INDEX(tblPrices[cv_2018], MATCH(tblTelecomUnits[[#This Row],[Products]],tblPrices[Products],0), 0)* tblTelecomUnits[[#This Row],[cv_2018]]/10^6</f>
        <v>146.421245662833</v>
      </c>
      <c r="N92" s="62" cm="1">
        <f t="array" ref="N92">INDEX(tblPrices[cv_2019], MATCH(tblTelecomUnits[[#This Row],[Products]],tblPrices[Products],0), 0)* tblTelecomUnits[[#This Row],[cv_2019]]/10^6</f>
        <v>154.76865999199723</v>
      </c>
      <c r="O92" s="62" cm="1">
        <f t="array" ref="O92">INDEX(tblPrices[cv_2020], MATCH(tblTelecomUnits[[#This Row],[Products]],tblPrices[Products],0), 0)* tblTelecomUnits[[#This Row],[cv_2020]]/10^6</f>
        <v>0</v>
      </c>
      <c r="P92" s="62" cm="1">
        <f t="array" ref="P92">INDEX(tblPrices[cv_2021], MATCH(tblTelecomUnits[[#This Row],[Products]],tblPrices[Products],0), 0)* tblTelecomUnits[[#This Row],[cv_2021]]/10^6</f>
        <v>0</v>
      </c>
      <c r="Q92" s="62" cm="1">
        <f t="array" ref="Q92">INDEX(tblPrices[cv_2022], MATCH(tblTelecomUnits[[#This Row],[Products]],tblPrices[Products],0), 0)* tblTelecomUnits[[#This Row],[cv_2022]]/10^6</f>
        <v>0</v>
      </c>
      <c r="R92" s="62" cm="1">
        <f t="array" ref="R92">INDEX(tblPrices[cv_2023], MATCH(tblTelecomUnits[[#This Row],[Products]],tblPrices[Products],0), 0)* tblTelecomUnits[[#This Row],[cv_2023]]/10^6</f>
        <v>0</v>
      </c>
      <c r="S92" s="62" cm="1">
        <f t="array" ref="S92">INDEX(tblPrices[cv_2024], MATCH(tblTelecomUnits[[#This Row],[Products]],tblPrices[Products],0), 0)* tblTelecomUnits[[#This Row],[cv_2024]]/10^6</f>
        <v>0</v>
      </c>
      <c r="T92" s="62" cm="1">
        <f t="array" ref="T92">INDEX(tblPrices[cv_2025], MATCH(tblTelecomUnits[[#This Row],[Products]],tblPrices[Products],0), 0)* tblTelecomUnits[[#This Row],[cv_2025]]/10^6</f>
        <v>0</v>
      </c>
      <c r="U92" s="62" cm="1">
        <f t="array" ref="U92">INDEX(tblPrices[cv_2026], MATCH(tblTelecomUnits[[#This Row],[Products]],tblPrices[Products],0), 0)* tblTelecomUnits[[#This Row],[cv_2026]]/10^6</f>
        <v>0</v>
      </c>
      <c r="V92" s="62" cm="1">
        <f t="array" ref="V92">INDEX(tblPrices[cv_2027], MATCH(tblTelecomUnits[[#This Row],[Products]],tblPrices[Products],0), 0)* tblTelecomUnits[[#This Row],[cv_2027]]/10^6</f>
        <v>0</v>
      </c>
      <c r="W92" s="62" cm="1">
        <f t="array" ref="W92">INDEX(tblPrices[cv_2028], MATCH(tblTelecomUnits[[#This Row],[Products]],tblPrices[Products],0), 0)* tblTelecomUnits[[#This Row],[cv_2028]]/10^6</f>
        <v>0</v>
      </c>
      <c r="X92" s="1">
        <f>VLOOKUP(A92,Products!$A$29:$F$110,6,FALSE)</f>
        <v>10</v>
      </c>
    </row>
    <row r="93" spans="1:24">
      <c r="A93" s="15" t="s">
        <v>22</v>
      </c>
      <c r="B93" s="8">
        <v>0</v>
      </c>
      <c r="C93" s="8">
        <v>0</v>
      </c>
      <c r="D93" s="8"/>
      <c r="E93" s="8"/>
      <c r="F93" s="8"/>
      <c r="G93" s="8"/>
      <c r="H93" s="8"/>
      <c r="I93" s="8"/>
      <c r="J93" s="8"/>
      <c r="K93" s="8"/>
      <c r="L93" s="8"/>
      <c r="M93" s="62" cm="1">
        <f t="array" ref="M93">INDEX(tblPrices[cv_2018], MATCH(tblTelecomUnits[[#This Row],[Products]],tblPrices[Products],0), 0)* tblTelecomUnits[[#This Row],[cv_2018]]/10^6</f>
        <v>0</v>
      </c>
      <c r="N93" s="62" cm="1">
        <f t="array" ref="N93">INDEX(tblPrices[cv_2019], MATCH(tblTelecomUnits[[#This Row],[Products]],tblPrices[Products],0), 0)* tblTelecomUnits[[#This Row],[cv_2019]]/10^6</f>
        <v>0</v>
      </c>
      <c r="O93" s="62" cm="1">
        <f t="array" ref="O93">INDEX(tblPrices[cv_2020], MATCH(tblTelecomUnits[[#This Row],[Products]],tblPrices[Products],0), 0)* tblTelecomUnits[[#This Row],[cv_2020]]/10^6</f>
        <v>0</v>
      </c>
      <c r="P93" s="62" cm="1">
        <f t="array" ref="P93">INDEX(tblPrices[cv_2021], MATCH(tblTelecomUnits[[#This Row],[Products]],tblPrices[Products],0), 0)* tblTelecomUnits[[#This Row],[cv_2021]]/10^6</f>
        <v>0</v>
      </c>
      <c r="Q93" s="62" cm="1">
        <f t="array" ref="Q93">INDEX(tblPrices[cv_2022], MATCH(tblTelecomUnits[[#This Row],[Products]],tblPrices[Products],0), 0)* tblTelecomUnits[[#This Row],[cv_2022]]/10^6</f>
        <v>0</v>
      </c>
      <c r="R93" s="62" cm="1">
        <f t="array" ref="R93">INDEX(tblPrices[cv_2023], MATCH(tblTelecomUnits[[#This Row],[Products]],tblPrices[Products],0), 0)* tblTelecomUnits[[#This Row],[cv_2023]]/10^6</f>
        <v>0</v>
      </c>
      <c r="S93" s="62" cm="1">
        <f t="array" ref="S93">INDEX(tblPrices[cv_2024], MATCH(tblTelecomUnits[[#This Row],[Products]],tblPrices[Products],0), 0)* tblTelecomUnits[[#This Row],[cv_2024]]/10^6</f>
        <v>0</v>
      </c>
      <c r="T93" s="62" cm="1">
        <f t="array" ref="T93">INDEX(tblPrices[cv_2025], MATCH(tblTelecomUnits[[#This Row],[Products]],tblPrices[Products],0), 0)* tblTelecomUnits[[#This Row],[cv_2025]]/10^6</f>
        <v>0</v>
      </c>
      <c r="U93" s="62" cm="1">
        <f t="array" ref="U93">INDEX(tblPrices[cv_2026], MATCH(tblTelecomUnits[[#This Row],[Products]],tblPrices[Products],0), 0)* tblTelecomUnits[[#This Row],[cv_2026]]/10^6</f>
        <v>0</v>
      </c>
      <c r="V93" s="62" cm="1">
        <f t="array" ref="V93">INDEX(tblPrices[cv_2027], MATCH(tblTelecomUnits[[#This Row],[Products]],tblPrices[Products],0), 0)* tblTelecomUnits[[#This Row],[cv_2027]]/10^6</f>
        <v>0</v>
      </c>
      <c r="W93" s="62" cm="1">
        <f t="array" ref="W93">INDEX(tblPrices[cv_2028], MATCH(tblTelecomUnits[[#This Row],[Products]],tblPrices[Products],0), 0)* tblTelecomUnits[[#This Row],[cv_2028]]/10^6</f>
        <v>0</v>
      </c>
      <c r="X93" s="1">
        <f>VLOOKUP(A93,Products!$A$29:$F$110,6,FALSE)</f>
        <v>40</v>
      </c>
    </row>
    <row r="94" spans="1:24">
      <c r="A94" s="15" t="s">
        <v>23</v>
      </c>
      <c r="B94" s="8">
        <v>180694.97647058824</v>
      </c>
      <c r="C94" s="8">
        <v>166575.23782608699</v>
      </c>
      <c r="D94" s="8"/>
      <c r="E94" s="8"/>
      <c r="F94" s="8"/>
      <c r="G94" s="8"/>
      <c r="H94" s="8"/>
      <c r="I94" s="8"/>
      <c r="J94" s="8"/>
      <c r="K94" s="8"/>
      <c r="L94" s="8"/>
      <c r="M94" s="62" cm="1">
        <f t="array" ref="M94">INDEX(tblPrices[cv_2018], MATCH(tblTelecomUnits[[#This Row],[Products]],tblPrices[Products],0), 0)* tblTelecomUnits[[#This Row],[cv_2018]]/10^6</f>
        <v>1445.559811764706</v>
      </c>
      <c r="N94" s="62" cm="1">
        <f t="array" ref="N94">INDEX(tblPrices[cv_2019], MATCH(tblTelecomUnits[[#This Row],[Products]],tblPrices[Products],0), 0)* tblTelecomUnits[[#This Row],[cv_2019]]/10^6</f>
        <v>1066.0815220869567</v>
      </c>
      <c r="O94" s="62" cm="1">
        <f t="array" ref="O94">INDEX(tblPrices[cv_2020], MATCH(tblTelecomUnits[[#This Row],[Products]],tblPrices[Products],0), 0)* tblTelecomUnits[[#This Row],[cv_2020]]/10^6</f>
        <v>0</v>
      </c>
      <c r="P94" s="62" cm="1">
        <f t="array" ref="P94">INDEX(tblPrices[cv_2021], MATCH(tblTelecomUnits[[#This Row],[Products]],tblPrices[Products],0), 0)* tblTelecomUnits[[#This Row],[cv_2021]]/10^6</f>
        <v>0</v>
      </c>
      <c r="Q94" s="62" cm="1">
        <f t="array" ref="Q94">INDEX(tblPrices[cv_2022], MATCH(tblTelecomUnits[[#This Row],[Products]],tblPrices[Products],0), 0)* tblTelecomUnits[[#This Row],[cv_2022]]/10^6</f>
        <v>0</v>
      </c>
      <c r="R94" s="62" cm="1">
        <f t="array" ref="R94">INDEX(tblPrices[cv_2023], MATCH(tblTelecomUnits[[#This Row],[Products]],tblPrices[Products],0), 0)* tblTelecomUnits[[#This Row],[cv_2023]]/10^6</f>
        <v>0</v>
      </c>
      <c r="S94" s="62" cm="1">
        <f t="array" ref="S94">INDEX(tblPrices[cv_2024], MATCH(tblTelecomUnits[[#This Row],[Products]],tblPrices[Products],0), 0)* tblTelecomUnits[[#This Row],[cv_2024]]/10^6</f>
        <v>0</v>
      </c>
      <c r="T94" s="62" cm="1">
        <f t="array" ref="T94">INDEX(tblPrices[cv_2025], MATCH(tblTelecomUnits[[#This Row],[Products]],tblPrices[Products],0), 0)* tblTelecomUnits[[#This Row],[cv_2025]]/10^6</f>
        <v>0</v>
      </c>
      <c r="U94" s="62" cm="1">
        <f t="array" ref="U94">INDEX(tblPrices[cv_2026], MATCH(tblTelecomUnits[[#This Row],[Products]],tblPrices[Products],0), 0)* tblTelecomUnits[[#This Row],[cv_2026]]/10^6</f>
        <v>0</v>
      </c>
      <c r="V94" s="62" cm="1">
        <f t="array" ref="V94">INDEX(tblPrices[cv_2027], MATCH(tblTelecomUnits[[#This Row],[Products]],tblPrices[Products],0), 0)* tblTelecomUnits[[#This Row],[cv_2027]]/10^6</f>
        <v>0</v>
      </c>
      <c r="W94" s="62" cm="1">
        <f t="array" ref="W94">INDEX(tblPrices[cv_2028], MATCH(tblTelecomUnits[[#This Row],[Products]],tblPrices[Products],0), 0)* tblTelecomUnits[[#This Row],[cv_2028]]/10^6</f>
        <v>0</v>
      </c>
      <c r="X94" s="1">
        <f>VLOOKUP(A94,Products!$A$29:$F$110,6,FALSE)</f>
        <v>100</v>
      </c>
    </row>
    <row r="95" spans="1:24">
      <c r="A95" s="15" t="s">
        <v>24</v>
      </c>
      <c r="B95" s="8">
        <v>0</v>
      </c>
      <c r="C95" s="8">
        <v>0</v>
      </c>
      <c r="D95" s="8"/>
      <c r="E95" s="8"/>
      <c r="F95" s="8"/>
      <c r="G95" s="8"/>
      <c r="H95" s="8"/>
      <c r="I95" s="8"/>
      <c r="J95" s="8"/>
      <c r="K95" s="8"/>
      <c r="L95" s="8"/>
      <c r="M95" s="62" cm="1">
        <f t="array" ref="M95">INDEX(tblPrices[cv_2018], MATCH(tblTelecomUnits[[#This Row],[Products]],tblPrices[Products],0), 0)* tblTelecomUnits[[#This Row],[cv_2018]]/10^6</f>
        <v>0</v>
      </c>
      <c r="N95" s="62" cm="1">
        <f t="array" ref="N95">INDEX(tblPrices[cv_2019], MATCH(tblTelecomUnits[[#This Row],[Products]],tblPrices[Products],0), 0)* tblTelecomUnits[[#This Row],[cv_2019]]/10^6</f>
        <v>0</v>
      </c>
      <c r="O95" s="62" cm="1">
        <f t="array" ref="O95">INDEX(tblPrices[cv_2020], MATCH(tblTelecomUnits[[#This Row],[Products]],tblPrices[Products],0), 0)* tblTelecomUnits[[#This Row],[cv_2020]]/10^6</f>
        <v>0</v>
      </c>
      <c r="P95" s="62" cm="1">
        <f t="array" ref="P95">INDEX(tblPrices[cv_2021], MATCH(tblTelecomUnits[[#This Row],[Products]],tblPrices[Products],0), 0)* tblTelecomUnits[[#This Row],[cv_2021]]/10^6</f>
        <v>0</v>
      </c>
      <c r="Q95" s="62" cm="1">
        <f t="array" ref="Q95">INDEX(tblPrices[cv_2022], MATCH(tblTelecomUnits[[#This Row],[Products]],tblPrices[Products],0), 0)* tblTelecomUnits[[#This Row],[cv_2022]]/10^6</f>
        <v>0</v>
      </c>
      <c r="R95" s="62" cm="1">
        <f t="array" ref="R95">INDEX(tblPrices[cv_2023], MATCH(tblTelecomUnits[[#This Row],[Products]],tblPrices[Products],0), 0)* tblTelecomUnits[[#This Row],[cv_2023]]/10^6</f>
        <v>0</v>
      </c>
      <c r="S95" s="62" cm="1">
        <f t="array" ref="S95">INDEX(tblPrices[cv_2024], MATCH(tblTelecomUnits[[#This Row],[Products]],tblPrices[Products],0), 0)* tblTelecomUnits[[#This Row],[cv_2024]]/10^6</f>
        <v>0</v>
      </c>
      <c r="T95" s="62" cm="1">
        <f t="array" ref="T95">INDEX(tblPrices[cv_2025], MATCH(tblTelecomUnits[[#This Row],[Products]],tblPrices[Products],0), 0)* tblTelecomUnits[[#This Row],[cv_2025]]/10^6</f>
        <v>0</v>
      </c>
      <c r="U95" s="62" cm="1">
        <f t="array" ref="U95">INDEX(tblPrices[cv_2026], MATCH(tblTelecomUnits[[#This Row],[Products]],tblPrices[Products],0), 0)* tblTelecomUnits[[#This Row],[cv_2026]]/10^6</f>
        <v>0</v>
      </c>
      <c r="V95" s="62" cm="1">
        <f t="array" ref="V95">INDEX(tblPrices[cv_2027], MATCH(tblTelecomUnits[[#This Row],[Products]],tblPrices[Products],0), 0)* tblTelecomUnits[[#This Row],[cv_2027]]/10^6</f>
        <v>0</v>
      </c>
      <c r="W95" s="62" cm="1">
        <f t="array" ref="W95">INDEX(tblPrices[cv_2028], MATCH(tblTelecomUnits[[#This Row],[Products]],tblPrices[Products],0), 0)* tblTelecomUnits[[#This Row],[cv_2028]]/10^6</f>
        <v>0</v>
      </c>
      <c r="X95" s="1">
        <f>VLOOKUP(A95,Products!$A$29:$F$110,6,FALSE)</f>
        <v>100</v>
      </c>
    </row>
    <row r="96" spans="1:24">
      <c r="A96" s="15" t="s">
        <v>25</v>
      </c>
      <c r="B96" s="8">
        <v>26923.416538865546</v>
      </c>
      <c r="C96" s="8">
        <v>58973.715130434794</v>
      </c>
      <c r="D96" s="8"/>
      <c r="E96" s="8"/>
      <c r="F96" s="8"/>
      <c r="G96" s="8"/>
      <c r="H96" s="8"/>
      <c r="I96" s="8"/>
      <c r="J96" s="8"/>
      <c r="K96" s="8"/>
      <c r="L96" s="8"/>
      <c r="M96" s="62" cm="1">
        <f t="array" ref="M96">INDEX(tblPrices[cv_2018], MATCH(tblTelecomUnits[[#This Row],[Products]],tblPrices[Products],0), 0)* tblTelecomUnits[[#This Row],[cv_2018]]/10^6</f>
        <v>148.0787909637605</v>
      </c>
      <c r="N96" s="62" cm="1">
        <f t="array" ref="N96">INDEX(tblPrices[cv_2019], MATCH(tblTelecomUnits[[#This Row],[Products]],tblPrices[Products],0), 0)* tblTelecomUnits[[#This Row],[cv_2019]]/10^6</f>
        <v>259.48434657391311</v>
      </c>
      <c r="O96" s="62" cm="1">
        <f t="array" ref="O96">INDEX(tblPrices[cv_2020], MATCH(tblTelecomUnits[[#This Row],[Products]],tblPrices[Products],0), 0)* tblTelecomUnits[[#This Row],[cv_2020]]/10^6</f>
        <v>0</v>
      </c>
      <c r="P96" s="62" cm="1">
        <f t="array" ref="P96">INDEX(tblPrices[cv_2021], MATCH(tblTelecomUnits[[#This Row],[Products]],tblPrices[Products],0), 0)* tblTelecomUnits[[#This Row],[cv_2021]]/10^6</f>
        <v>0</v>
      </c>
      <c r="Q96" s="62" cm="1">
        <f t="array" ref="Q96">INDEX(tblPrices[cv_2022], MATCH(tblTelecomUnits[[#This Row],[Products]],tblPrices[Products],0), 0)* tblTelecomUnits[[#This Row],[cv_2022]]/10^6</f>
        <v>0</v>
      </c>
      <c r="R96" s="62" cm="1">
        <f t="array" ref="R96">INDEX(tblPrices[cv_2023], MATCH(tblTelecomUnits[[#This Row],[Products]],tblPrices[Products],0), 0)* tblTelecomUnits[[#This Row],[cv_2023]]/10^6</f>
        <v>0</v>
      </c>
      <c r="S96" s="62" cm="1">
        <f t="array" ref="S96">INDEX(tblPrices[cv_2024], MATCH(tblTelecomUnits[[#This Row],[Products]],tblPrices[Products],0), 0)* tblTelecomUnits[[#This Row],[cv_2024]]/10^6</f>
        <v>0</v>
      </c>
      <c r="T96" s="62" cm="1">
        <f t="array" ref="T96">INDEX(tblPrices[cv_2025], MATCH(tblTelecomUnits[[#This Row],[Products]],tblPrices[Products],0), 0)* tblTelecomUnits[[#This Row],[cv_2025]]/10^6</f>
        <v>0</v>
      </c>
      <c r="U96" s="62" cm="1">
        <f t="array" ref="U96">INDEX(tblPrices[cv_2026], MATCH(tblTelecomUnits[[#This Row],[Products]],tblPrices[Products],0), 0)* tblTelecomUnits[[#This Row],[cv_2026]]/10^6</f>
        <v>0</v>
      </c>
      <c r="V96" s="62" cm="1">
        <f t="array" ref="V96">INDEX(tblPrices[cv_2027], MATCH(tblTelecomUnits[[#This Row],[Products]],tblPrices[Products],0), 0)* tblTelecomUnits[[#This Row],[cv_2027]]/10^6</f>
        <v>0</v>
      </c>
      <c r="W96" s="62" cm="1">
        <f t="array" ref="W96">INDEX(tblPrices[cv_2028], MATCH(tblTelecomUnits[[#This Row],[Products]],tblPrices[Products],0), 0)* tblTelecomUnits[[#This Row],[cv_2028]]/10^6</f>
        <v>0</v>
      </c>
      <c r="X96" s="1">
        <f>VLOOKUP(A96,Products!$A$29:$F$110,6,FALSE)</f>
        <v>100</v>
      </c>
    </row>
    <row r="97" spans="1:24">
      <c r="A97" s="15" t="s">
        <v>26</v>
      </c>
      <c r="B97" s="8">
        <v>0</v>
      </c>
      <c r="C97" s="8">
        <v>0</v>
      </c>
      <c r="D97" s="8"/>
      <c r="E97" s="8"/>
      <c r="F97" s="8"/>
      <c r="G97" s="8"/>
      <c r="H97" s="8"/>
      <c r="I97" s="8"/>
      <c r="J97" s="8"/>
      <c r="K97" s="8"/>
      <c r="L97" s="8"/>
      <c r="M97" s="62" cm="1">
        <f t="array" ref="M97">INDEX(tblPrices[cv_2018], MATCH(tblTelecomUnits[[#This Row],[Products]],tblPrices[Products],0), 0)* tblTelecomUnits[[#This Row],[cv_2018]]/10^6</f>
        <v>0</v>
      </c>
      <c r="N97" s="62" cm="1">
        <f t="array" ref="N97">INDEX(tblPrices[cv_2019], MATCH(tblTelecomUnits[[#This Row],[Products]],tblPrices[Products],0), 0)* tblTelecomUnits[[#This Row],[cv_2019]]/10^6</f>
        <v>0</v>
      </c>
      <c r="O97" s="62" cm="1">
        <f t="array" ref="O97">INDEX(tblPrices[cv_2020], MATCH(tblTelecomUnits[[#This Row],[Products]],tblPrices[Products],0), 0)* tblTelecomUnits[[#This Row],[cv_2020]]/10^6</f>
        <v>0</v>
      </c>
      <c r="P97" s="62" cm="1">
        <f t="array" ref="P97">INDEX(tblPrices[cv_2021], MATCH(tblTelecomUnits[[#This Row],[Products]],tblPrices[Products],0), 0)* tblTelecomUnits[[#This Row],[cv_2021]]/10^6</f>
        <v>0</v>
      </c>
      <c r="Q97" s="62" cm="1">
        <f t="array" ref="Q97">INDEX(tblPrices[cv_2022], MATCH(tblTelecomUnits[[#This Row],[Products]],tblPrices[Products],0), 0)* tblTelecomUnits[[#This Row],[cv_2022]]/10^6</f>
        <v>0</v>
      </c>
      <c r="R97" s="62" cm="1">
        <f t="array" ref="R97">INDEX(tblPrices[cv_2023], MATCH(tblTelecomUnits[[#This Row],[Products]],tblPrices[Products],0), 0)* tblTelecomUnits[[#This Row],[cv_2023]]/10^6</f>
        <v>0</v>
      </c>
      <c r="S97" s="62" cm="1">
        <f t="array" ref="S97">INDEX(tblPrices[cv_2024], MATCH(tblTelecomUnits[[#This Row],[Products]],tblPrices[Products],0), 0)* tblTelecomUnits[[#This Row],[cv_2024]]/10^6</f>
        <v>0</v>
      </c>
      <c r="T97" s="62" cm="1">
        <f t="array" ref="T97">INDEX(tblPrices[cv_2025], MATCH(tblTelecomUnits[[#This Row],[Products]],tblPrices[Products],0), 0)* tblTelecomUnits[[#This Row],[cv_2025]]/10^6</f>
        <v>0</v>
      </c>
      <c r="U97" s="62" cm="1">
        <f t="array" ref="U97">INDEX(tblPrices[cv_2026], MATCH(tblTelecomUnits[[#This Row],[Products]],tblPrices[Products],0), 0)* tblTelecomUnits[[#This Row],[cv_2026]]/10^6</f>
        <v>0</v>
      </c>
      <c r="V97" s="62" cm="1">
        <f t="array" ref="V97">INDEX(tblPrices[cv_2027], MATCH(tblTelecomUnits[[#This Row],[Products]],tblPrices[Products],0), 0)* tblTelecomUnits[[#This Row],[cv_2027]]/10^6</f>
        <v>0</v>
      </c>
      <c r="W97" s="62" cm="1">
        <f t="array" ref="W97">INDEX(tblPrices[cv_2028], MATCH(tblTelecomUnits[[#This Row],[Products]],tblPrices[Products],0), 0)* tblTelecomUnits[[#This Row],[cv_2028]]/10^6</f>
        <v>0</v>
      </c>
      <c r="X97" s="1">
        <f>VLOOKUP(A97,Products!$A$29:$F$110,6,FALSE)</f>
        <v>100</v>
      </c>
    </row>
    <row r="98" spans="1:24">
      <c r="A98" s="15" t="s">
        <v>27</v>
      </c>
      <c r="B98" s="8">
        <v>18203</v>
      </c>
      <c r="C98" s="8">
        <v>9024.2000000000007</v>
      </c>
      <c r="D98" s="8"/>
      <c r="E98" s="8"/>
      <c r="F98" s="8"/>
      <c r="G98" s="8"/>
      <c r="H98" s="8"/>
      <c r="I98" s="8"/>
      <c r="J98" s="8"/>
      <c r="K98" s="8"/>
      <c r="L98" s="8"/>
      <c r="M98" s="62" cm="1">
        <f t="array" ref="M98">INDEX(tblPrices[cv_2018], MATCH(tblTelecomUnits[[#This Row],[Products]],tblPrices[Products],0), 0)* tblTelecomUnits[[#This Row],[cv_2018]]/10^6</f>
        <v>94.10951</v>
      </c>
      <c r="N98" s="62" cm="1">
        <f t="array" ref="N98">INDEX(tblPrices[cv_2019], MATCH(tblTelecomUnits[[#This Row],[Products]],tblPrices[Products],0), 0)* tblTelecomUnits[[#This Row],[cv_2019]]/10^6</f>
        <v>35.194380000000002</v>
      </c>
      <c r="O98" s="62" cm="1">
        <f t="array" ref="O98">INDEX(tblPrices[cv_2020], MATCH(tblTelecomUnits[[#This Row],[Products]],tblPrices[Products],0), 0)* tblTelecomUnits[[#This Row],[cv_2020]]/10^6</f>
        <v>0</v>
      </c>
      <c r="P98" s="62" cm="1">
        <f t="array" ref="P98">INDEX(tblPrices[cv_2021], MATCH(tblTelecomUnits[[#This Row],[Products]],tblPrices[Products],0), 0)* tblTelecomUnits[[#This Row],[cv_2021]]/10^6</f>
        <v>0</v>
      </c>
      <c r="Q98" s="62" cm="1">
        <f t="array" ref="Q98">INDEX(tblPrices[cv_2022], MATCH(tblTelecomUnits[[#This Row],[Products]],tblPrices[Products],0), 0)* tblTelecomUnits[[#This Row],[cv_2022]]/10^6</f>
        <v>0</v>
      </c>
      <c r="R98" s="62" cm="1">
        <f t="array" ref="R98">INDEX(tblPrices[cv_2023], MATCH(tblTelecomUnits[[#This Row],[Products]],tblPrices[Products],0), 0)* tblTelecomUnits[[#This Row],[cv_2023]]/10^6</f>
        <v>0</v>
      </c>
      <c r="S98" s="62" cm="1">
        <f t="array" ref="S98">INDEX(tblPrices[cv_2024], MATCH(tblTelecomUnits[[#This Row],[Products]],tblPrices[Products],0), 0)* tblTelecomUnits[[#This Row],[cv_2024]]/10^6</f>
        <v>0</v>
      </c>
      <c r="T98" s="62" cm="1">
        <f t="array" ref="T98">INDEX(tblPrices[cv_2025], MATCH(tblTelecomUnits[[#This Row],[Products]],tblPrices[Products],0), 0)* tblTelecomUnits[[#This Row],[cv_2025]]/10^6</f>
        <v>0</v>
      </c>
      <c r="U98" s="62" cm="1">
        <f t="array" ref="U98">INDEX(tblPrices[cv_2026], MATCH(tblTelecomUnits[[#This Row],[Products]],tblPrices[Products],0), 0)* tblTelecomUnits[[#This Row],[cv_2026]]/10^6</f>
        <v>0</v>
      </c>
      <c r="V98" s="62" cm="1">
        <f t="array" ref="V98">INDEX(tblPrices[cv_2027], MATCH(tblTelecomUnits[[#This Row],[Products]],tblPrices[Products],0), 0)* tblTelecomUnits[[#This Row],[cv_2027]]/10^6</f>
        <v>0</v>
      </c>
      <c r="W98" s="62" cm="1">
        <f t="array" ref="W98">INDEX(tblPrices[cv_2028], MATCH(tblTelecomUnits[[#This Row],[Products]],tblPrices[Products],0), 0)* tblTelecomUnits[[#This Row],[cv_2028]]/10^6</f>
        <v>0</v>
      </c>
      <c r="X98" s="1">
        <f>VLOOKUP(A98,Products!$A$29:$F$110,6,FALSE)</f>
        <v>100</v>
      </c>
    </row>
    <row r="99" spans="1:24">
      <c r="A99" s="15" t="s">
        <v>28</v>
      </c>
      <c r="B99" s="8">
        <v>52693.24590163934</v>
      </c>
      <c r="C99" s="8">
        <v>63764.034</v>
      </c>
      <c r="D99" s="8"/>
      <c r="E99" s="8"/>
      <c r="F99" s="8"/>
      <c r="G99" s="8"/>
      <c r="H99" s="8"/>
      <c r="I99" s="8"/>
      <c r="J99" s="8"/>
      <c r="K99" s="8"/>
      <c r="L99" s="8"/>
      <c r="M99" s="62" cm="1">
        <f t="array" ref="M99">INDEX(tblPrices[cv_2018], MATCH(tblTelecomUnits[[#This Row],[Products]],tblPrices[Products],0), 0)* tblTelecomUnits[[#This Row],[cv_2018]]/10^6</f>
        <v>459.86832786885242</v>
      </c>
      <c r="N99" s="62" cm="1">
        <f t="array" ref="N99">INDEX(tblPrices[cv_2019], MATCH(tblTelecomUnits[[#This Row],[Products]],tblPrices[Products],0), 0)* tblTelecomUnits[[#This Row],[cv_2019]]/10^6</f>
        <v>445.18889192727272</v>
      </c>
      <c r="O99" s="62" cm="1">
        <f t="array" ref="O99">INDEX(tblPrices[cv_2020], MATCH(tblTelecomUnits[[#This Row],[Products]],tblPrices[Products],0), 0)* tblTelecomUnits[[#This Row],[cv_2020]]/10^6</f>
        <v>0</v>
      </c>
      <c r="P99" s="62" cm="1">
        <f t="array" ref="P99">INDEX(tblPrices[cv_2021], MATCH(tblTelecomUnits[[#This Row],[Products]],tblPrices[Products],0), 0)* tblTelecomUnits[[#This Row],[cv_2021]]/10^6</f>
        <v>0</v>
      </c>
      <c r="Q99" s="62" cm="1">
        <f t="array" ref="Q99">INDEX(tblPrices[cv_2022], MATCH(tblTelecomUnits[[#This Row],[Products]],tblPrices[Products],0), 0)* tblTelecomUnits[[#This Row],[cv_2022]]/10^6</f>
        <v>0</v>
      </c>
      <c r="R99" s="62" cm="1">
        <f t="array" ref="R99">INDEX(tblPrices[cv_2023], MATCH(tblTelecomUnits[[#This Row],[Products]],tblPrices[Products],0), 0)* tblTelecomUnits[[#This Row],[cv_2023]]/10^6</f>
        <v>0</v>
      </c>
      <c r="S99" s="62" cm="1">
        <f t="array" ref="S99">INDEX(tblPrices[cv_2024], MATCH(tblTelecomUnits[[#This Row],[Products]],tblPrices[Products],0), 0)* tblTelecomUnits[[#This Row],[cv_2024]]/10^6</f>
        <v>0</v>
      </c>
      <c r="T99" s="62" cm="1">
        <f t="array" ref="T99">INDEX(tblPrices[cv_2025], MATCH(tblTelecomUnits[[#This Row],[Products]],tblPrices[Products],0), 0)* tblTelecomUnits[[#This Row],[cv_2025]]/10^6</f>
        <v>0</v>
      </c>
      <c r="U99" s="62" cm="1">
        <f t="array" ref="U99">INDEX(tblPrices[cv_2026], MATCH(tblTelecomUnits[[#This Row],[Products]],tblPrices[Products],0), 0)* tblTelecomUnits[[#This Row],[cv_2026]]/10^6</f>
        <v>0</v>
      </c>
      <c r="V99" s="62" cm="1">
        <f t="array" ref="V99">INDEX(tblPrices[cv_2027], MATCH(tblTelecomUnits[[#This Row],[Products]],tblPrices[Products],0), 0)* tblTelecomUnits[[#This Row],[cv_2027]]/10^6</f>
        <v>0</v>
      </c>
      <c r="W99" s="62" cm="1">
        <f t="array" ref="W99">INDEX(tblPrices[cv_2028], MATCH(tblTelecomUnits[[#This Row],[Products]],tblPrices[Products],0), 0)* tblTelecomUnits[[#This Row],[cv_2028]]/10^6</f>
        <v>0</v>
      </c>
      <c r="X99" s="1">
        <f>VLOOKUP(A99,Products!$A$29:$F$110,6,FALSE)</f>
        <v>200</v>
      </c>
    </row>
    <row r="100" spans="1:24">
      <c r="A100" s="15" t="s">
        <v>29</v>
      </c>
      <c r="B100" s="8">
        <v>22176.721311475412</v>
      </c>
      <c r="C100" s="8">
        <v>57441.11</v>
      </c>
      <c r="D100" s="8"/>
      <c r="E100" s="8"/>
      <c r="F100" s="8"/>
      <c r="G100" s="8"/>
      <c r="H100" s="8"/>
      <c r="I100" s="8"/>
      <c r="J100" s="8"/>
      <c r="K100" s="8"/>
      <c r="L100" s="8"/>
      <c r="M100" s="62" cm="1">
        <f t="array" ref="M100">INDEX(tblPrices[cv_2018], MATCH(tblTelecomUnits[[#This Row],[Products]],tblPrices[Products],0), 0)* tblTelecomUnits[[#This Row],[cv_2018]]/10^6</f>
        <v>133.06032786885245</v>
      </c>
      <c r="N100" s="62" cm="1">
        <f t="array" ref="N100">INDEX(tblPrices[cv_2019], MATCH(tblTelecomUnits[[#This Row],[Products]],tblPrices[Products],0), 0)* tblTelecomUnits[[#This Row],[cv_2019]]/10^6</f>
        <v>275.71732800000001</v>
      </c>
      <c r="O100" s="62" cm="1">
        <f t="array" ref="O100">INDEX(tblPrices[cv_2020], MATCH(tblTelecomUnits[[#This Row],[Products]],tblPrices[Products],0), 0)* tblTelecomUnits[[#This Row],[cv_2020]]/10^6</f>
        <v>0</v>
      </c>
      <c r="P100" s="62" cm="1">
        <f t="array" ref="P100">INDEX(tblPrices[cv_2021], MATCH(tblTelecomUnits[[#This Row],[Products]],tblPrices[Products],0), 0)* tblTelecomUnits[[#This Row],[cv_2021]]/10^6</f>
        <v>0</v>
      </c>
      <c r="Q100" s="62" cm="1">
        <f t="array" ref="Q100">INDEX(tblPrices[cv_2022], MATCH(tblTelecomUnits[[#This Row],[Products]],tblPrices[Products],0), 0)* tblTelecomUnits[[#This Row],[cv_2022]]/10^6</f>
        <v>0</v>
      </c>
      <c r="R100" s="62" cm="1">
        <f t="array" ref="R100">INDEX(tblPrices[cv_2023], MATCH(tblTelecomUnits[[#This Row],[Products]],tblPrices[Products],0), 0)* tblTelecomUnits[[#This Row],[cv_2023]]/10^6</f>
        <v>0</v>
      </c>
      <c r="S100" s="62" cm="1">
        <f t="array" ref="S100">INDEX(tblPrices[cv_2024], MATCH(tblTelecomUnits[[#This Row],[Products]],tblPrices[Products],0), 0)* tblTelecomUnits[[#This Row],[cv_2024]]/10^6</f>
        <v>0</v>
      </c>
      <c r="T100" s="62" cm="1">
        <f t="array" ref="T100">INDEX(tblPrices[cv_2025], MATCH(tblTelecomUnits[[#This Row],[Products]],tblPrices[Products],0), 0)* tblTelecomUnits[[#This Row],[cv_2025]]/10^6</f>
        <v>0</v>
      </c>
      <c r="U100" s="62" cm="1">
        <f t="array" ref="U100">INDEX(tblPrices[cv_2026], MATCH(tblTelecomUnits[[#This Row],[Products]],tblPrices[Products],0), 0)* tblTelecomUnits[[#This Row],[cv_2026]]/10^6</f>
        <v>0</v>
      </c>
      <c r="V100" s="62" cm="1">
        <f t="array" ref="V100">INDEX(tblPrices[cv_2027], MATCH(tblTelecomUnits[[#This Row],[Products]],tblPrices[Products],0), 0)* tblTelecomUnits[[#This Row],[cv_2027]]/10^6</f>
        <v>0</v>
      </c>
      <c r="W100" s="62" cm="1">
        <f t="array" ref="W100">INDEX(tblPrices[cv_2028], MATCH(tblTelecomUnits[[#This Row],[Products]],tblPrices[Products],0), 0)* tblTelecomUnits[[#This Row],[cv_2028]]/10^6</f>
        <v>0</v>
      </c>
      <c r="X100" s="1">
        <f>VLOOKUP(A100,Products!$A$29:$F$110,6,FALSE)</f>
        <v>200</v>
      </c>
    </row>
    <row r="101" spans="1:24">
      <c r="A101" s="15" t="s">
        <v>30</v>
      </c>
      <c r="B101" s="8">
        <v>18203</v>
      </c>
      <c r="C101" s="8">
        <v>36096.800000000003</v>
      </c>
      <c r="D101" s="8"/>
      <c r="E101" s="8"/>
      <c r="F101" s="8"/>
      <c r="G101" s="8"/>
      <c r="H101" s="8"/>
      <c r="I101" s="8"/>
      <c r="J101" s="8"/>
      <c r="K101" s="8"/>
      <c r="L101" s="8"/>
      <c r="M101" s="62" cm="1">
        <f t="array" ref="M101">INDEX(tblPrices[cv_2018], MATCH(tblTelecomUnits[[#This Row],[Products]],tblPrices[Products],0), 0)* tblTelecomUnits[[#This Row],[cv_2018]]/10^6</f>
        <v>101.93680000000001</v>
      </c>
      <c r="N101" s="62" cm="1">
        <f t="array" ref="N101">INDEX(tblPrices[cv_2019], MATCH(tblTelecomUnits[[#This Row],[Products]],tblPrices[Products],0), 0)* tblTelecomUnits[[#This Row],[cv_2019]]/10^6</f>
        <v>155.21624</v>
      </c>
      <c r="O101" s="62" cm="1">
        <f t="array" ref="O101">INDEX(tblPrices[cv_2020], MATCH(tblTelecomUnits[[#This Row],[Products]],tblPrices[Products],0), 0)* tblTelecomUnits[[#This Row],[cv_2020]]/10^6</f>
        <v>0</v>
      </c>
      <c r="P101" s="62" cm="1">
        <f t="array" ref="P101">INDEX(tblPrices[cv_2021], MATCH(tblTelecomUnits[[#This Row],[Products]],tblPrices[Products],0), 0)* tblTelecomUnits[[#This Row],[cv_2021]]/10^6</f>
        <v>0</v>
      </c>
      <c r="Q101" s="62" cm="1">
        <f t="array" ref="Q101">INDEX(tblPrices[cv_2022], MATCH(tblTelecomUnits[[#This Row],[Products]],tblPrices[Products],0), 0)* tblTelecomUnits[[#This Row],[cv_2022]]/10^6</f>
        <v>0</v>
      </c>
      <c r="R101" s="62" cm="1">
        <f t="array" ref="R101">INDEX(tblPrices[cv_2023], MATCH(tblTelecomUnits[[#This Row],[Products]],tblPrices[Products],0), 0)* tblTelecomUnits[[#This Row],[cv_2023]]/10^6</f>
        <v>0</v>
      </c>
      <c r="S101" s="62" cm="1">
        <f t="array" ref="S101">INDEX(tblPrices[cv_2024], MATCH(tblTelecomUnits[[#This Row],[Products]],tblPrices[Products],0), 0)* tblTelecomUnits[[#This Row],[cv_2024]]/10^6</f>
        <v>0</v>
      </c>
      <c r="T101" s="62" cm="1">
        <f t="array" ref="T101">INDEX(tblPrices[cv_2025], MATCH(tblTelecomUnits[[#This Row],[Products]],tblPrices[Products],0), 0)* tblTelecomUnits[[#This Row],[cv_2025]]/10^6</f>
        <v>0</v>
      </c>
      <c r="U101" s="62" cm="1">
        <f t="array" ref="U101">INDEX(tblPrices[cv_2026], MATCH(tblTelecomUnits[[#This Row],[Products]],tblPrices[Products],0), 0)* tblTelecomUnits[[#This Row],[cv_2026]]/10^6</f>
        <v>0</v>
      </c>
      <c r="V101" s="62" cm="1">
        <f t="array" ref="V101">INDEX(tblPrices[cv_2027], MATCH(tblTelecomUnits[[#This Row],[Products]],tblPrices[Products],0), 0)* tblTelecomUnits[[#This Row],[cv_2027]]/10^6</f>
        <v>0</v>
      </c>
      <c r="W101" s="62" cm="1">
        <f t="array" ref="W101">INDEX(tblPrices[cv_2028], MATCH(tblTelecomUnits[[#This Row],[Products]],tblPrices[Products],0), 0)* tblTelecomUnits[[#This Row],[cv_2028]]/10^6</f>
        <v>0</v>
      </c>
      <c r="X101" s="1">
        <f>VLOOKUP(A101,Products!$A$29:$F$110,6,FALSE)</f>
        <v>200</v>
      </c>
    </row>
    <row r="102" spans="1:24">
      <c r="A102" s="15" t="s">
        <v>31</v>
      </c>
      <c r="B102" s="8">
        <v>8750</v>
      </c>
      <c r="C102" s="8">
        <v>19350</v>
      </c>
      <c r="D102" s="8"/>
      <c r="E102" s="8"/>
      <c r="F102" s="8"/>
      <c r="G102" s="8"/>
      <c r="H102" s="8"/>
      <c r="I102" s="8"/>
      <c r="J102" s="8"/>
      <c r="K102" s="8"/>
      <c r="L102" s="8"/>
      <c r="M102" s="62" cm="1">
        <f t="array" ref="M102">INDEX(tblPrices[cv_2018], MATCH(tblTelecomUnits[[#This Row],[Products]],tblPrices[Products],0), 0)* tblTelecomUnits[[#This Row],[cv_2018]]/10^6</f>
        <v>0</v>
      </c>
      <c r="N102" s="62" cm="1">
        <f t="array" ref="N102">INDEX(tblPrices[cv_2019], MATCH(tblTelecomUnits[[#This Row],[Products]],tblPrices[Products],0), 0)* tblTelecomUnits[[#This Row],[cv_2019]]/10^6</f>
        <v>168.87272727272727</v>
      </c>
      <c r="O102" s="62" cm="1">
        <f t="array" ref="O102">INDEX(tblPrices[cv_2020], MATCH(tblTelecomUnits[[#This Row],[Products]],tblPrices[Products],0), 0)* tblTelecomUnits[[#This Row],[cv_2020]]/10^6</f>
        <v>0</v>
      </c>
      <c r="P102" s="62" cm="1">
        <f t="array" ref="P102">INDEX(tblPrices[cv_2021], MATCH(tblTelecomUnits[[#This Row],[Products]],tblPrices[Products],0), 0)* tblTelecomUnits[[#This Row],[cv_2021]]/10^6</f>
        <v>0</v>
      </c>
      <c r="Q102" s="62" cm="1">
        <f t="array" ref="Q102">INDEX(tblPrices[cv_2022], MATCH(tblTelecomUnits[[#This Row],[Products]],tblPrices[Products],0), 0)* tblTelecomUnits[[#This Row],[cv_2022]]/10^6</f>
        <v>0</v>
      </c>
      <c r="R102" s="62" cm="1">
        <f t="array" ref="R102">INDEX(tblPrices[cv_2023], MATCH(tblTelecomUnits[[#This Row],[Products]],tblPrices[Products],0), 0)* tblTelecomUnits[[#This Row],[cv_2023]]/10^6</f>
        <v>0</v>
      </c>
      <c r="S102" s="62" cm="1">
        <f t="array" ref="S102">INDEX(tblPrices[cv_2024], MATCH(tblTelecomUnits[[#This Row],[Products]],tblPrices[Products],0), 0)* tblTelecomUnits[[#This Row],[cv_2024]]/10^6</f>
        <v>0</v>
      </c>
      <c r="T102" s="62" cm="1">
        <f t="array" ref="T102">INDEX(tblPrices[cv_2025], MATCH(tblTelecomUnits[[#This Row],[Products]],tblPrices[Products],0), 0)* tblTelecomUnits[[#This Row],[cv_2025]]/10^6</f>
        <v>0</v>
      </c>
      <c r="U102" s="62" cm="1">
        <f t="array" ref="U102">INDEX(tblPrices[cv_2026], MATCH(tblTelecomUnits[[#This Row],[Products]],tblPrices[Products],0), 0)* tblTelecomUnits[[#This Row],[cv_2026]]/10^6</f>
        <v>0</v>
      </c>
      <c r="V102" s="62" cm="1">
        <f t="array" ref="V102">INDEX(tblPrices[cv_2027], MATCH(tblTelecomUnits[[#This Row],[Products]],tblPrices[Products],0), 0)* tblTelecomUnits[[#This Row],[cv_2027]]/10^6</f>
        <v>0</v>
      </c>
      <c r="W102" s="62" cm="1">
        <f t="array" ref="W102">INDEX(tblPrices[cv_2028], MATCH(tblTelecomUnits[[#This Row],[Products]],tblPrices[Products],0), 0)* tblTelecomUnits[[#This Row],[cv_2028]]/10^6</f>
        <v>0</v>
      </c>
      <c r="X102" s="1">
        <f>VLOOKUP(A102,Products!$A$29:$F$110,6,FALSE)</f>
        <v>400</v>
      </c>
    </row>
    <row r="103" spans="1:24">
      <c r="A103" s="15" t="s">
        <v>32</v>
      </c>
      <c r="B103" s="8">
        <v>0</v>
      </c>
      <c r="C103" s="8">
        <v>0</v>
      </c>
      <c r="D103" s="8"/>
      <c r="E103" s="8"/>
      <c r="F103" s="8"/>
      <c r="G103" s="8"/>
      <c r="H103" s="8"/>
      <c r="I103" s="8"/>
      <c r="J103" s="8"/>
      <c r="K103" s="8"/>
      <c r="L103" s="8"/>
      <c r="M103" s="62" cm="1">
        <f t="array" ref="M103">INDEX(tblPrices[cv_2018], MATCH(tblTelecomUnits[[#This Row],[Products]],tblPrices[Products],0), 0)* tblTelecomUnits[[#This Row],[cv_2018]]/10^6</f>
        <v>0</v>
      </c>
      <c r="N103" s="62" cm="1">
        <f t="array" ref="N103">INDEX(tblPrices[cv_2019], MATCH(tblTelecomUnits[[#This Row],[Products]],tblPrices[Products],0), 0)* tblTelecomUnits[[#This Row],[cv_2019]]/10^6</f>
        <v>0</v>
      </c>
      <c r="O103" s="62" cm="1">
        <f t="array" ref="O103">INDEX(tblPrices[cv_2020], MATCH(tblTelecomUnits[[#This Row],[Products]],tblPrices[Products],0), 0)* tblTelecomUnits[[#This Row],[cv_2020]]/10^6</f>
        <v>0</v>
      </c>
      <c r="P103" s="62" cm="1">
        <f t="array" ref="P103">INDEX(tblPrices[cv_2021], MATCH(tblTelecomUnits[[#This Row],[Products]],tblPrices[Products],0), 0)* tblTelecomUnits[[#This Row],[cv_2021]]/10^6</f>
        <v>0</v>
      </c>
      <c r="Q103" s="62" cm="1">
        <f t="array" ref="Q103">INDEX(tblPrices[cv_2022], MATCH(tblTelecomUnits[[#This Row],[Products]],tblPrices[Products],0), 0)* tblTelecomUnits[[#This Row],[cv_2022]]/10^6</f>
        <v>0</v>
      </c>
      <c r="R103" s="62" cm="1">
        <f t="array" ref="R103">INDEX(tblPrices[cv_2023], MATCH(tblTelecomUnits[[#This Row],[Products]],tblPrices[Products],0), 0)* tblTelecomUnits[[#This Row],[cv_2023]]/10^6</f>
        <v>0</v>
      </c>
      <c r="S103" s="62" cm="1">
        <f t="array" ref="S103">INDEX(tblPrices[cv_2024], MATCH(tblTelecomUnits[[#This Row],[Products]],tblPrices[Products],0), 0)* tblTelecomUnits[[#This Row],[cv_2024]]/10^6</f>
        <v>0</v>
      </c>
      <c r="T103" s="62" cm="1">
        <f t="array" ref="T103">INDEX(tblPrices[cv_2025], MATCH(tblTelecomUnits[[#This Row],[Products]],tblPrices[Products],0), 0)* tblTelecomUnits[[#This Row],[cv_2025]]/10^6</f>
        <v>0</v>
      </c>
      <c r="U103" s="62" cm="1">
        <f t="array" ref="U103">INDEX(tblPrices[cv_2026], MATCH(tblTelecomUnits[[#This Row],[Products]],tblPrices[Products],0), 0)* tblTelecomUnits[[#This Row],[cv_2026]]/10^6</f>
        <v>0</v>
      </c>
      <c r="V103" s="62" cm="1">
        <f t="array" ref="V103">INDEX(tblPrices[cv_2027], MATCH(tblTelecomUnits[[#This Row],[Products]],tblPrices[Products],0), 0)* tblTelecomUnits[[#This Row],[cv_2027]]/10^6</f>
        <v>0</v>
      </c>
      <c r="W103" s="62" cm="1">
        <f t="array" ref="W103">INDEX(tblPrices[cv_2028], MATCH(tblTelecomUnits[[#This Row],[Products]],tblPrices[Products],0), 0)* tblTelecomUnits[[#This Row],[cv_2028]]/10^6</f>
        <v>0</v>
      </c>
      <c r="X103" s="1">
        <f>VLOOKUP(A103,Products!$A$29:$F$110,6,FALSE)</f>
        <v>400</v>
      </c>
    </row>
    <row r="104" spans="1:24">
      <c r="A104" s="15" t="s">
        <v>33</v>
      </c>
      <c r="B104" s="8">
        <v>0</v>
      </c>
      <c r="C104" s="8">
        <v>0</v>
      </c>
      <c r="D104" s="8"/>
      <c r="E104" s="8"/>
      <c r="F104" s="8"/>
      <c r="G104" s="8"/>
      <c r="H104" s="8"/>
      <c r="I104" s="8"/>
      <c r="J104" s="8"/>
      <c r="K104" s="8"/>
      <c r="L104" s="8"/>
      <c r="M104" s="62" cm="1">
        <f t="array" ref="M104">INDEX(tblPrices[cv_2018], MATCH(tblTelecomUnits[[#This Row],[Products]],tblPrices[Products],0), 0)* tblTelecomUnits[[#This Row],[cv_2018]]/10^6</f>
        <v>0</v>
      </c>
      <c r="N104" s="62" cm="1">
        <f t="array" ref="N104">INDEX(tblPrices[cv_2019], MATCH(tblTelecomUnits[[#This Row],[Products]],tblPrices[Products],0), 0)* tblTelecomUnits[[#This Row],[cv_2019]]/10^6</f>
        <v>0</v>
      </c>
      <c r="O104" s="62" cm="1">
        <f t="array" ref="O104">INDEX(tblPrices[cv_2020], MATCH(tblTelecomUnits[[#This Row],[Products]],tblPrices[Products],0), 0)* tblTelecomUnits[[#This Row],[cv_2020]]/10^6</f>
        <v>0</v>
      </c>
      <c r="P104" s="62" cm="1">
        <f t="array" ref="P104">INDEX(tblPrices[cv_2021], MATCH(tblTelecomUnits[[#This Row],[Products]],tblPrices[Products],0), 0)* tblTelecomUnits[[#This Row],[cv_2021]]/10^6</f>
        <v>0</v>
      </c>
      <c r="Q104" s="62" cm="1">
        <f t="array" ref="Q104">INDEX(tblPrices[cv_2022], MATCH(tblTelecomUnits[[#This Row],[Products]],tblPrices[Products],0), 0)* tblTelecomUnits[[#This Row],[cv_2022]]/10^6</f>
        <v>0</v>
      </c>
      <c r="R104" s="62" cm="1">
        <f t="array" ref="R104">INDEX(tblPrices[cv_2023], MATCH(tblTelecomUnits[[#This Row],[Products]],tblPrices[Products],0), 0)* tblTelecomUnits[[#This Row],[cv_2023]]/10^6</f>
        <v>0</v>
      </c>
      <c r="S104" s="62" cm="1">
        <f t="array" ref="S104">INDEX(tblPrices[cv_2024], MATCH(tblTelecomUnits[[#This Row],[Products]],tblPrices[Products],0), 0)* tblTelecomUnits[[#This Row],[cv_2024]]/10^6</f>
        <v>0</v>
      </c>
      <c r="T104" s="62" cm="1">
        <f t="array" ref="T104">INDEX(tblPrices[cv_2025], MATCH(tblTelecomUnits[[#This Row],[Products]],tblPrices[Products],0), 0)* tblTelecomUnits[[#This Row],[cv_2025]]/10^6</f>
        <v>0</v>
      </c>
      <c r="U104" s="62" cm="1">
        <f t="array" ref="U104">INDEX(tblPrices[cv_2026], MATCH(tblTelecomUnits[[#This Row],[Products]],tblPrices[Products],0), 0)* tblTelecomUnits[[#This Row],[cv_2026]]/10^6</f>
        <v>0</v>
      </c>
      <c r="V104" s="62" cm="1">
        <f t="array" ref="V104">INDEX(tblPrices[cv_2027], MATCH(tblTelecomUnits[[#This Row],[Products]],tblPrices[Products],0), 0)* tblTelecomUnits[[#This Row],[cv_2027]]/10^6</f>
        <v>0</v>
      </c>
      <c r="W104" s="62" cm="1">
        <f t="array" ref="W104">INDEX(tblPrices[cv_2028], MATCH(tblTelecomUnits[[#This Row],[Products]],tblPrices[Products],0), 0)* tblTelecomUnits[[#This Row],[cv_2028]]/10^6</f>
        <v>0</v>
      </c>
      <c r="X104" s="1">
        <f>VLOOKUP(A104,Products!$A$29:$F$110,6,FALSE)</f>
        <v>400</v>
      </c>
    </row>
    <row r="105" spans="1:24">
      <c r="A105" s="15" t="s">
        <v>34</v>
      </c>
      <c r="B105" s="8">
        <v>0</v>
      </c>
      <c r="C105" s="8">
        <v>0</v>
      </c>
      <c r="D105" s="8"/>
      <c r="E105" s="8"/>
      <c r="F105" s="8"/>
      <c r="G105" s="8"/>
      <c r="H105" s="8"/>
      <c r="I105" s="8"/>
      <c r="J105" s="8"/>
      <c r="K105" s="8"/>
      <c r="L105" s="8"/>
      <c r="M105" s="62" cm="1">
        <f t="array" ref="M105">INDEX(tblPrices[cv_2018], MATCH(tblTelecomUnits[[#This Row],[Products]],tblPrices[Products],0), 0)* tblTelecomUnits[[#This Row],[cv_2018]]/10^6</f>
        <v>0</v>
      </c>
      <c r="N105" s="62" cm="1">
        <f t="array" ref="N105">INDEX(tblPrices[cv_2019], MATCH(tblTelecomUnits[[#This Row],[Products]],tblPrices[Products],0), 0)* tblTelecomUnits[[#This Row],[cv_2019]]/10^6</f>
        <v>0</v>
      </c>
      <c r="O105" s="62" cm="1">
        <f t="array" ref="O105">INDEX(tblPrices[cv_2020], MATCH(tblTelecomUnits[[#This Row],[Products]],tblPrices[Products],0), 0)* tblTelecomUnits[[#This Row],[cv_2020]]/10^6</f>
        <v>0</v>
      </c>
      <c r="P105" s="62" cm="1">
        <f t="array" ref="P105">INDEX(tblPrices[cv_2021], MATCH(tblTelecomUnits[[#This Row],[Products]],tblPrices[Products],0), 0)* tblTelecomUnits[[#This Row],[cv_2021]]/10^6</f>
        <v>0</v>
      </c>
      <c r="Q105" s="62" cm="1">
        <f t="array" ref="Q105">INDEX(tblPrices[cv_2022], MATCH(tblTelecomUnits[[#This Row],[Products]],tblPrices[Products],0), 0)* tblTelecomUnits[[#This Row],[cv_2022]]/10^6</f>
        <v>0</v>
      </c>
      <c r="R105" s="62" cm="1">
        <f t="array" ref="R105">INDEX(tblPrices[cv_2023], MATCH(tblTelecomUnits[[#This Row],[Products]],tblPrices[Products],0), 0)* tblTelecomUnits[[#This Row],[cv_2023]]/10^6</f>
        <v>0</v>
      </c>
      <c r="S105" s="62" cm="1">
        <f t="array" ref="S105">INDEX(tblPrices[cv_2024], MATCH(tblTelecomUnits[[#This Row],[Products]],tblPrices[Products],0), 0)* tblTelecomUnits[[#This Row],[cv_2024]]/10^6</f>
        <v>0</v>
      </c>
      <c r="T105" s="62" cm="1">
        <f t="array" ref="T105">INDEX(tblPrices[cv_2025], MATCH(tblTelecomUnits[[#This Row],[Products]],tblPrices[Products],0), 0)* tblTelecomUnits[[#This Row],[cv_2025]]/10^6</f>
        <v>0</v>
      </c>
      <c r="U105" s="62" cm="1">
        <f t="array" ref="U105">INDEX(tblPrices[cv_2026], MATCH(tblTelecomUnits[[#This Row],[Products]],tblPrices[Products],0), 0)* tblTelecomUnits[[#This Row],[cv_2026]]/10^6</f>
        <v>0</v>
      </c>
      <c r="V105" s="62" cm="1">
        <f t="array" ref="V105">INDEX(tblPrices[cv_2027], MATCH(tblTelecomUnits[[#This Row],[Products]],tblPrices[Products],0), 0)* tblTelecomUnits[[#This Row],[cv_2027]]/10^6</f>
        <v>0</v>
      </c>
      <c r="W105" s="62" cm="1">
        <f t="array" ref="W105">INDEX(tblPrices[cv_2028], MATCH(tblTelecomUnits[[#This Row],[Products]],tblPrices[Products],0), 0)* tblTelecomUnits[[#This Row],[cv_2028]]/10^6</f>
        <v>0</v>
      </c>
      <c r="X105" s="1">
        <f>VLOOKUP(A105,Products!$A$29:$F$110,6,FALSE)</f>
        <v>400</v>
      </c>
    </row>
    <row r="106" spans="1:24" ht="12.5" customHeight="1">
      <c r="A106" s="15" t="s">
        <v>35</v>
      </c>
      <c r="B106" s="8">
        <v>0</v>
      </c>
      <c r="C106" s="8">
        <v>65.599999999999994</v>
      </c>
      <c r="D106" s="8"/>
      <c r="E106" s="8"/>
      <c r="F106" s="8"/>
      <c r="G106" s="8"/>
      <c r="H106" s="8"/>
      <c r="I106" s="8"/>
      <c r="J106" s="8"/>
      <c r="K106" s="8"/>
      <c r="L106" s="8"/>
      <c r="M106" s="62" cm="1">
        <f t="array" ref="M106">INDEX(tblPrices[cv_2018], MATCH(tblTelecomUnits[[#This Row],[Products]],tblPrices[Products],0), 0)* tblTelecomUnits[[#This Row],[cv_2018]]/10^6</f>
        <v>0</v>
      </c>
      <c r="N106" s="62" cm="1">
        <f t="array" ref="N106">INDEX(tblPrices[cv_2019], MATCH(tblTelecomUnits[[#This Row],[Products]],tblPrices[Products],0), 0)* tblTelecomUnits[[#This Row],[cv_2019]]/10^6</f>
        <v>0.65600000000000003</v>
      </c>
      <c r="O106" s="62" cm="1">
        <f t="array" ref="O106">INDEX(tblPrices[cv_2020], MATCH(tblTelecomUnits[[#This Row],[Products]],tblPrices[Products],0), 0)* tblTelecomUnits[[#This Row],[cv_2020]]/10^6</f>
        <v>0</v>
      </c>
      <c r="P106" s="62" cm="1">
        <f t="array" ref="P106">INDEX(tblPrices[cv_2021], MATCH(tblTelecomUnits[[#This Row],[Products]],tblPrices[Products],0), 0)* tblTelecomUnits[[#This Row],[cv_2021]]/10^6</f>
        <v>0</v>
      </c>
      <c r="Q106" s="62" cm="1">
        <f t="array" ref="Q106">INDEX(tblPrices[cv_2022], MATCH(tblTelecomUnits[[#This Row],[Products]],tblPrices[Products],0), 0)* tblTelecomUnits[[#This Row],[cv_2022]]/10^6</f>
        <v>0</v>
      </c>
      <c r="R106" s="62" cm="1">
        <f t="array" ref="R106">INDEX(tblPrices[cv_2023], MATCH(tblTelecomUnits[[#This Row],[Products]],tblPrices[Products],0), 0)* tblTelecomUnits[[#This Row],[cv_2023]]/10^6</f>
        <v>0</v>
      </c>
      <c r="S106" s="62" cm="1">
        <f t="array" ref="S106">INDEX(tblPrices[cv_2024], MATCH(tblTelecomUnits[[#This Row],[Products]],tblPrices[Products],0), 0)* tblTelecomUnits[[#This Row],[cv_2024]]/10^6</f>
        <v>0</v>
      </c>
      <c r="T106" s="62" cm="1">
        <f t="array" ref="T106">INDEX(tblPrices[cv_2025], MATCH(tblTelecomUnits[[#This Row],[Products]],tblPrices[Products],0), 0)* tblTelecomUnits[[#This Row],[cv_2025]]/10^6</f>
        <v>0</v>
      </c>
      <c r="U106" s="62" cm="1">
        <f t="array" ref="U106">INDEX(tblPrices[cv_2026], MATCH(tblTelecomUnits[[#This Row],[Products]],tblPrices[Products],0), 0)* tblTelecomUnits[[#This Row],[cv_2026]]/10^6</f>
        <v>0</v>
      </c>
      <c r="V106" s="62" cm="1">
        <f t="array" ref="V106">INDEX(tblPrices[cv_2027], MATCH(tblTelecomUnits[[#This Row],[Products]],tblPrices[Products],0), 0)* tblTelecomUnits[[#This Row],[cv_2027]]/10^6</f>
        <v>0</v>
      </c>
      <c r="W106" s="62" cm="1">
        <f t="array" ref="W106">INDEX(tblPrices[cv_2028], MATCH(tblTelecomUnits[[#This Row],[Products]],tblPrices[Products],0), 0)* tblTelecomUnits[[#This Row],[cv_2028]]/10^6</f>
        <v>0</v>
      </c>
      <c r="X106" s="1">
        <f>VLOOKUP(A106,Products!$A$29:$F$110,6,FALSE)</f>
        <v>600</v>
      </c>
    </row>
    <row r="107" spans="1:24">
      <c r="A107" s="15" t="s">
        <v>36</v>
      </c>
      <c r="B107" s="8">
        <v>0</v>
      </c>
      <c r="C107" s="8">
        <v>0</v>
      </c>
      <c r="D107" s="8"/>
      <c r="E107" s="8"/>
      <c r="F107" s="8"/>
      <c r="G107" s="8"/>
      <c r="H107" s="8"/>
      <c r="I107" s="8"/>
      <c r="J107" s="8"/>
      <c r="K107" s="8"/>
      <c r="L107" s="8"/>
      <c r="M107" s="62" cm="1">
        <f t="array" ref="M107">INDEX(tblPrices[cv_2018], MATCH(tblTelecomUnits[[#This Row],[Products]],tblPrices[Products],0), 0)* tblTelecomUnits[[#This Row],[cv_2018]]/10^6</f>
        <v>0</v>
      </c>
      <c r="N107" s="62" cm="1">
        <f t="array" ref="N107">INDEX(tblPrices[cv_2019], MATCH(tblTelecomUnits[[#This Row],[Products]],tblPrices[Products],0), 0)* tblTelecomUnits[[#This Row],[cv_2019]]/10^6</f>
        <v>0</v>
      </c>
      <c r="O107" s="62" cm="1">
        <f t="array" ref="O107">INDEX(tblPrices[cv_2020], MATCH(tblTelecomUnits[[#This Row],[Products]],tblPrices[Products],0), 0)* tblTelecomUnits[[#This Row],[cv_2020]]/10^6</f>
        <v>0</v>
      </c>
      <c r="P107" s="62" cm="1">
        <f t="array" ref="P107">INDEX(tblPrices[cv_2021], MATCH(tblTelecomUnits[[#This Row],[Products]],tblPrices[Products],0), 0)* tblTelecomUnits[[#This Row],[cv_2021]]/10^6</f>
        <v>0</v>
      </c>
      <c r="Q107" s="62" cm="1">
        <f t="array" ref="Q107">INDEX(tblPrices[cv_2022], MATCH(tblTelecomUnits[[#This Row],[Products]],tblPrices[Products],0), 0)* tblTelecomUnits[[#This Row],[cv_2022]]/10^6</f>
        <v>0</v>
      </c>
      <c r="R107" s="62" cm="1">
        <f t="array" ref="R107">INDEX(tblPrices[cv_2023], MATCH(tblTelecomUnits[[#This Row],[Products]],tblPrices[Products],0), 0)* tblTelecomUnits[[#This Row],[cv_2023]]/10^6</f>
        <v>0</v>
      </c>
      <c r="S107" s="62" cm="1">
        <f t="array" ref="S107">INDEX(tblPrices[cv_2024], MATCH(tblTelecomUnits[[#This Row],[Products]],tblPrices[Products],0), 0)* tblTelecomUnits[[#This Row],[cv_2024]]/10^6</f>
        <v>0</v>
      </c>
      <c r="T107" s="62" cm="1">
        <f t="array" ref="T107">INDEX(tblPrices[cv_2025], MATCH(tblTelecomUnits[[#This Row],[Products]],tblPrices[Products],0), 0)* tblTelecomUnits[[#This Row],[cv_2025]]/10^6</f>
        <v>0</v>
      </c>
      <c r="U107" s="62" cm="1">
        <f t="array" ref="U107">INDEX(tblPrices[cv_2026], MATCH(tblTelecomUnits[[#This Row],[Products]],tblPrices[Products],0), 0)* tblTelecomUnits[[#This Row],[cv_2026]]/10^6</f>
        <v>0</v>
      </c>
      <c r="V107" s="62" cm="1">
        <f t="array" ref="V107">INDEX(tblPrices[cv_2027], MATCH(tblTelecomUnits[[#This Row],[Products]],tblPrices[Products],0), 0)* tblTelecomUnits[[#This Row],[cv_2027]]/10^6</f>
        <v>0</v>
      </c>
      <c r="W107" s="62" cm="1">
        <f t="array" ref="W107">INDEX(tblPrices[cv_2028], MATCH(tblTelecomUnits[[#This Row],[Products]],tblPrices[Products],0), 0)* tblTelecomUnits[[#This Row],[cv_2028]]/10^6</f>
        <v>0</v>
      </c>
      <c r="X107" s="1">
        <f>VLOOKUP(A107,Products!$A$29:$F$110,6,FALSE)</f>
        <v>800</v>
      </c>
    </row>
    <row r="108" spans="1:24">
      <c r="A108" s="15" t="s">
        <v>37</v>
      </c>
      <c r="B108" s="8">
        <v>0</v>
      </c>
      <c r="C108" s="8">
        <v>0</v>
      </c>
      <c r="D108" s="8"/>
      <c r="E108" s="8"/>
      <c r="F108" s="8"/>
      <c r="G108" s="8"/>
      <c r="H108" s="8"/>
      <c r="I108" s="8"/>
      <c r="J108" s="8"/>
      <c r="K108" s="8"/>
      <c r="L108" s="8"/>
      <c r="M108" s="62" cm="1">
        <f t="array" ref="M108">INDEX(tblPrices[cv_2018], MATCH(tblTelecomUnits[[#This Row],[Products]],tblPrices[Products],0), 0)* tblTelecomUnits[[#This Row],[cv_2018]]/10^6</f>
        <v>0</v>
      </c>
      <c r="N108" s="62" cm="1">
        <f t="array" ref="N108">INDEX(tblPrices[cv_2019], MATCH(tblTelecomUnits[[#This Row],[Products]],tblPrices[Products],0), 0)* tblTelecomUnits[[#This Row],[cv_2019]]/10^6</f>
        <v>0</v>
      </c>
      <c r="O108" s="62" cm="1">
        <f t="array" ref="O108">INDEX(tblPrices[cv_2020], MATCH(tblTelecomUnits[[#This Row],[Products]],tblPrices[Products],0), 0)* tblTelecomUnits[[#This Row],[cv_2020]]/10^6</f>
        <v>0</v>
      </c>
      <c r="P108" s="62" cm="1">
        <f t="array" ref="P108">INDEX(tblPrices[cv_2021], MATCH(tblTelecomUnits[[#This Row],[Products]],tblPrices[Products],0), 0)* tblTelecomUnits[[#This Row],[cv_2021]]/10^6</f>
        <v>0</v>
      </c>
      <c r="Q108" s="62" cm="1">
        <f t="array" ref="Q108">INDEX(tblPrices[cv_2022], MATCH(tblTelecomUnits[[#This Row],[Products]],tblPrices[Products],0), 0)* tblTelecomUnits[[#This Row],[cv_2022]]/10^6</f>
        <v>0</v>
      </c>
      <c r="R108" s="62" cm="1">
        <f t="array" ref="R108">INDEX(tblPrices[cv_2023], MATCH(tblTelecomUnits[[#This Row],[Products]],tblPrices[Products],0), 0)* tblTelecomUnits[[#This Row],[cv_2023]]/10^6</f>
        <v>0</v>
      </c>
      <c r="S108" s="62" cm="1">
        <f t="array" ref="S108">INDEX(tblPrices[cv_2024], MATCH(tblTelecomUnits[[#This Row],[Products]],tblPrices[Products],0), 0)* tblTelecomUnits[[#This Row],[cv_2024]]/10^6</f>
        <v>0</v>
      </c>
      <c r="T108" s="62" cm="1">
        <f t="array" ref="T108">INDEX(tblPrices[cv_2025], MATCH(tblTelecomUnits[[#This Row],[Products]],tblPrices[Products],0), 0)* tblTelecomUnits[[#This Row],[cv_2025]]/10^6</f>
        <v>0</v>
      </c>
      <c r="U108" s="62" cm="1">
        <f t="array" ref="U108">INDEX(tblPrices[cv_2026], MATCH(tblTelecomUnits[[#This Row],[Products]],tblPrices[Products],0), 0)* tblTelecomUnits[[#This Row],[cv_2026]]/10^6</f>
        <v>0</v>
      </c>
      <c r="V108" s="62" cm="1">
        <f t="array" ref="V108">INDEX(tblPrices[cv_2027], MATCH(tblTelecomUnits[[#This Row],[Products]],tblPrices[Products],0), 0)* tblTelecomUnits[[#This Row],[cv_2027]]/10^6</f>
        <v>0</v>
      </c>
      <c r="W108" s="62" cm="1">
        <f t="array" ref="W108">INDEX(tblPrices[cv_2028], MATCH(tblTelecomUnits[[#This Row],[Products]],tblPrices[Products],0), 0)* tblTelecomUnits[[#This Row],[cv_2028]]/10^6</f>
        <v>0</v>
      </c>
      <c r="X108" s="1">
        <f>VLOOKUP(A108,Products!$A$29:$F$110,6,FALSE)</f>
        <v>800</v>
      </c>
    </row>
    <row r="109" spans="1:24">
      <c r="A109" s="15" t="s">
        <v>38</v>
      </c>
      <c r="B109" s="8">
        <v>0</v>
      </c>
      <c r="C109" s="8">
        <v>0</v>
      </c>
      <c r="D109" s="8"/>
      <c r="E109" s="8"/>
      <c r="F109" s="8"/>
      <c r="G109" s="8"/>
      <c r="H109" s="8"/>
      <c r="I109" s="8"/>
      <c r="J109" s="8"/>
      <c r="K109" s="8"/>
      <c r="L109" s="8"/>
      <c r="M109" s="62" cm="1">
        <f t="array" ref="M109">INDEX(tblPrices[cv_2018], MATCH(tblTelecomUnits[[#This Row],[Products]],tblPrices[Products],0), 0)* tblTelecomUnits[[#This Row],[cv_2018]]/10^6</f>
        <v>0</v>
      </c>
      <c r="N109" s="62" cm="1">
        <f t="array" ref="N109">INDEX(tblPrices[cv_2019], MATCH(tblTelecomUnits[[#This Row],[Products]],tblPrices[Products],0), 0)* tblTelecomUnits[[#This Row],[cv_2019]]/10^6</f>
        <v>0</v>
      </c>
      <c r="O109" s="62" cm="1">
        <f t="array" ref="O109">INDEX(tblPrices[cv_2020], MATCH(tblTelecomUnits[[#This Row],[Products]],tblPrices[Products],0), 0)* tblTelecomUnits[[#This Row],[cv_2020]]/10^6</f>
        <v>0</v>
      </c>
      <c r="P109" s="62" cm="1">
        <f t="array" ref="P109">INDEX(tblPrices[cv_2021], MATCH(tblTelecomUnits[[#This Row],[Products]],tblPrices[Products],0), 0)* tblTelecomUnits[[#This Row],[cv_2021]]/10^6</f>
        <v>0</v>
      </c>
      <c r="Q109" s="62" cm="1">
        <f t="array" ref="Q109">INDEX(tblPrices[cv_2022], MATCH(tblTelecomUnits[[#This Row],[Products]],tblPrices[Products],0), 0)* tblTelecomUnits[[#This Row],[cv_2022]]/10^6</f>
        <v>0</v>
      </c>
      <c r="R109" s="62" cm="1">
        <f t="array" ref="R109">INDEX(tblPrices[cv_2023], MATCH(tblTelecomUnits[[#This Row],[Products]],tblPrices[Products],0), 0)* tblTelecomUnits[[#This Row],[cv_2023]]/10^6</f>
        <v>0</v>
      </c>
      <c r="S109" s="62" cm="1">
        <f t="array" ref="S109">INDEX(tblPrices[cv_2024], MATCH(tblTelecomUnits[[#This Row],[Products]],tblPrices[Products],0), 0)* tblTelecomUnits[[#This Row],[cv_2024]]/10^6</f>
        <v>0</v>
      </c>
      <c r="T109" s="62" cm="1">
        <f t="array" ref="T109">INDEX(tblPrices[cv_2025], MATCH(tblTelecomUnits[[#This Row],[Products]],tblPrices[Products],0), 0)* tblTelecomUnits[[#This Row],[cv_2025]]/10^6</f>
        <v>0</v>
      </c>
      <c r="U109" s="62" cm="1">
        <f t="array" ref="U109">INDEX(tblPrices[cv_2026], MATCH(tblTelecomUnits[[#This Row],[Products]],tblPrices[Products],0), 0)* tblTelecomUnits[[#This Row],[cv_2026]]/10^6</f>
        <v>0</v>
      </c>
      <c r="V109" s="62" cm="1">
        <f t="array" ref="V109">INDEX(tblPrices[cv_2027], MATCH(tblTelecomUnits[[#This Row],[Products]],tblPrices[Products],0), 0)* tblTelecomUnits[[#This Row],[cv_2027]]/10^6</f>
        <v>0</v>
      </c>
      <c r="W109" s="62" cm="1">
        <f t="array" ref="W109">INDEX(tblPrices[cv_2028], MATCH(tblTelecomUnits[[#This Row],[Products]],tblPrices[Products],0), 0)* tblTelecomUnits[[#This Row],[cv_2028]]/10^6</f>
        <v>0</v>
      </c>
      <c r="X109" s="1">
        <f>VLOOKUP(A109,Products!$A$29:$F$110,6,FALSE)</f>
        <v>1200</v>
      </c>
    </row>
    <row r="110" spans="1:24">
      <c r="A110" s="15" t="s">
        <v>39</v>
      </c>
      <c r="B110" s="8">
        <v>0</v>
      </c>
      <c r="C110" s="8">
        <v>0</v>
      </c>
      <c r="D110" s="8"/>
      <c r="E110" s="8"/>
      <c r="F110" s="8"/>
      <c r="G110" s="8"/>
      <c r="H110" s="8"/>
      <c r="I110" s="8"/>
      <c r="J110" s="8"/>
      <c r="K110" s="8"/>
      <c r="L110" s="8"/>
      <c r="M110" s="62" cm="1">
        <f t="array" ref="M110">INDEX(tblPrices[cv_2018], MATCH(tblTelecomUnits[[#This Row],[Products]],tblPrices[Products],0), 0)* tblTelecomUnits[[#This Row],[cv_2018]]/10^6</f>
        <v>0</v>
      </c>
      <c r="N110" s="62" cm="1">
        <f t="array" ref="N110">INDEX(tblPrices[cv_2019], MATCH(tblTelecomUnits[[#This Row],[Products]],tblPrices[Products],0), 0)* tblTelecomUnits[[#This Row],[cv_2019]]/10^6</f>
        <v>0</v>
      </c>
      <c r="O110" s="62" cm="1">
        <f t="array" ref="O110">INDEX(tblPrices[cv_2020], MATCH(tblTelecomUnits[[#This Row],[Products]],tblPrices[Products],0), 0)* tblTelecomUnits[[#This Row],[cv_2020]]/10^6</f>
        <v>0</v>
      </c>
      <c r="P110" s="62" cm="1">
        <f t="array" ref="P110">INDEX(tblPrices[cv_2021], MATCH(tblTelecomUnits[[#This Row],[Products]],tblPrices[Products],0), 0)* tblTelecomUnits[[#This Row],[cv_2021]]/10^6</f>
        <v>0</v>
      </c>
      <c r="Q110" s="62" cm="1">
        <f t="array" ref="Q110">INDEX(tblPrices[cv_2022], MATCH(tblTelecomUnits[[#This Row],[Products]],tblPrices[Products],0), 0)* tblTelecomUnits[[#This Row],[cv_2022]]/10^6</f>
        <v>0</v>
      </c>
      <c r="R110" s="62" cm="1">
        <f t="array" ref="R110">INDEX(tblPrices[cv_2023], MATCH(tblTelecomUnits[[#This Row],[Products]],tblPrices[Products],0), 0)* tblTelecomUnits[[#This Row],[cv_2023]]/10^6</f>
        <v>0</v>
      </c>
      <c r="S110" s="62" cm="1">
        <f t="array" ref="S110">INDEX(tblPrices[cv_2024], MATCH(tblTelecomUnits[[#This Row],[Products]],tblPrices[Products],0), 0)* tblTelecomUnits[[#This Row],[cv_2024]]/10^6</f>
        <v>0</v>
      </c>
      <c r="T110" s="62" cm="1">
        <f t="array" ref="T110">INDEX(tblPrices[cv_2025], MATCH(tblTelecomUnits[[#This Row],[Products]],tblPrices[Products],0), 0)* tblTelecomUnits[[#This Row],[cv_2025]]/10^6</f>
        <v>0</v>
      </c>
      <c r="U110" s="62" cm="1">
        <f t="array" ref="U110">INDEX(tblPrices[cv_2026], MATCH(tblTelecomUnits[[#This Row],[Products]],tblPrices[Products],0), 0)* tblTelecomUnits[[#This Row],[cv_2026]]/10^6</f>
        <v>0</v>
      </c>
      <c r="V110" s="62" cm="1">
        <f t="array" ref="V110">INDEX(tblPrices[cv_2027], MATCH(tblTelecomUnits[[#This Row],[Products]],tblPrices[Products],0), 0)* tblTelecomUnits[[#This Row],[cv_2027]]/10^6</f>
        <v>0</v>
      </c>
      <c r="W110" s="62" cm="1">
        <f t="array" ref="W110">INDEX(tblPrices[cv_2028], MATCH(tblTelecomUnits[[#This Row],[Products]],tblPrices[Products],0), 0)* tblTelecomUnits[[#This Row],[cv_2028]]/10^6</f>
        <v>0</v>
      </c>
      <c r="X110" s="1">
        <f>VLOOKUP(A110,Products!$A$29:$F$110,6,FALSE)</f>
        <v>1600</v>
      </c>
    </row>
    <row r="111" spans="1:24">
      <c r="A111" t="s">
        <v>423</v>
      </c>
      <c r="B111" s="35">
        <f t="shared" ref="B111:W111" si="0">SUM(B11:B110)</f>
        <v>6815175.150516686</v>
      </c>
      <c r="C111" s="35">
        <f t="shared" si="0"/>
        <v>6019061.4034920465</v>
      </c>
      <c r="D111" s="35">
        <f t="shared" si="0"/>
        <v>0</v>
      </c>
      <c r="E111" s="35">
        <f t="shared" si="0"/>
        <v>0</v>
      </c>
      <c r="F111" s="35">
        <f t="shared" si="0"/>
        <v>0</v>
      </c>
      <c r="G111" s="35">
        <f t="shared" si="0"/>
        <v>0</v>
      </c>
      <c r="H111" s="35">
        <f t="shared" si="0"/>
        <v>0</v>
      </c>
      <c r="I111" s="35">
        <f t="shared" si="0"/>
        <v>0</v>
      </c>
      <c r="J111" s="35">
        <f t="shared" si="0"/>
        <v>0</v>
      </c>
      <c r="K111" s="35">
        <f t="shared" si="0"/>
        <v>0</v>
      </c>
      <c r="L111" s="35">
        <f t="shared" si="0"/>
        <v>0</v>
      </c>
      <c r="M111" s="123">
        <f t="shared" si="0"/>
        <v>3104.9284989534895</v>
      </c>
      <c r="N111" s="123">
        <f t="shared" si="0"/>
        <v>3028.2108075413375</v>
      </c>
      <c r="O111" s="123">
        <f t="shared" si="0"/>
        <v>0</v>
      </c>
      <c r="P111" s="123">
        <f t="shared" si="0"/>
        <v>0</v>
      </c>
      <c r="Q111" s="123">
        <f t="shared" si="0"/>
        <v>0</v>
      </c>
      <c r="R111" s="123">
        <f t="shared" si="0"/>
        <v>0</v>
      </c>
      <c r="S111" s="123">
        <f t="shared" si="0"/>
        <v>0</v>
      </c>
      <c r="T111" s="123">
        <f t="shared" si="0"/>
        <v>0</v>
      </c>
      <c r="U111" s="123">
        <f t="shared" si="0"/>
        <v>0</v>
      </c>
      <c r="V111" s="123">
        <f t="shared" si="0"/>
        <v>0</v>
      </c>
      <c r="W111" s="123">
        <f t="shared" si="0"/>
        <v>0</v>
      </c>
    </row>
    <row r="112" spans="1:24">
      <c r="A112" t="s">
        <v>313</v>
      </c>
      <c r="B112" s="35">
        <f>SUM(B11:B89)</f>
        <v>5876521.6602941174</v>
      </c>
      <c r="C112" s="35">
        <f t="shared" ref="C112:W112" si="1">SUM(C11:C89)</f>
        <v>4885119.4472403741</v>
      </c>
      <c r="D112" s="35">
        <f t="shared" si="1"/>
        <v>0</v>
      </c>
      <c r="E112" s="35">
        <f t="shared" si="1"/>
        <v>0</v>
      </c>
      <c r="F112" s="35">
        <f t="shared" si="1"/>
        <v>0</v>
      </c>
      <c r="G112" s="35">
        <f t="shared" si="1"/>
        <v>0</v>
      </c>
      <c r="H112" s="35">
        <f t="shared" si="1"/>
        <v>0</v>
      </c>
      <c r="I112" s="35">
        <f t="shared" si="1"/>
        <v>0</v>
      </c>
      <c r="J112" s="35">
        <f t="shared" si="1"/>
        <v>0</v>
      </c>
      <c r="K112" s="35">
        <f t="shared" si="1"/>
        <v>0</v>
      </c>
      <c r="L112" s="35">
        <f t="shared" si="1"/>
        <v>0</v>
      </c>
      <c r="M112" s="123">
        <f t="shared" si="1"/>
        <v>515.46297620496682</v>
      </c>
      <c r="N112" s="123">
        <f t="shared" si="1"/>
        <v>402.84438481692752</v>
      </c>
      <c r="O112" s="123">
        <f t="shared" si="1"/>
        <v>0</v>
      </c>
      <c r="P112" s="123">
        <f t="shared" si="1"/>
        <v>0</v>
      </c>
      <c r="Q112" s="123">
        <f t="shared" si="1"/>
        <v>0</v>
      </c>
      <c r="R112" s="123">
        <f t="shared" si="1"/>
        <v>0</v>
      </c>
      <c r="S112" s="123">
        <f t="shared" si="1"/>
        <v>0</v>
      </c>
      <c r="T112" s="123">
        <f t="shared" si="1"/>
        <v>0</v>
      </c>
      <c r="U112" s="123">
        <f t="shared" si="1"/>
        <v>0</v>
      </c>
      <c r="V112" s="123">
        <f t="shared" si="1"/>
        <v>0</v>
      </c>
      <c r="W112" s="123">
        <f t="shared" si="1"/>
        <v>0</v>
      </c>
    </row>
    <row r="113" spans="1:23">
      <c r="A113" t="s">
        <v>336</v>
      </c>
      <c r="B113" s="35">
        <f>SUM(B90:B110)</f>
        <v>938653.49022256851</v>
      </c>
      <c r="C113" s="35">
        <f t="shared" ref="C113:W113" si="2">SUM(C90:C110)</f>
        <v>1133941.9562516739</v>
      </c>
      <c r="D113" s="35">
        <f t="shared" si="2"/>
        <v>0</v>
      </c>
      <c r="E113" s="35">
        <f t="shared" si="2"/>
        <v>0</v>
      </c>
      <c r="F113" s="35">
        <f t="shared" si="2"/>
        <v>0</v>
      </c>
      <c r="G113" s="35">
        <f t="shared" si="2"/>
        <v>0</v>
      </c>
      <c r="H113" s="35">
        <f t="shared" si="2"/>
        <v>0</v>
      </c>
      <c r="I113" s="35">
        <f t="shared" si="2"/>
        <v>0</v>
      </c>
      <c r="J113" s="35">
        <f t="shared" si="2"/>
        <v>0</v>
      </c>
      <c r="K113" s="35">
        <f t="shared" si="2"/>
        <v>0</v>
      </c>
      <c r="L113" s="35">
        <f t="shared" si="2"/>
        <v>0</v>
      </c>
      <c r="M113" s="123">
        <f t="shared" si="2"/>
        <v>2589.4655227485227</v>
      </c>
      <c r="N113" s="123">
        <f t="shared" si="2"/>
        <v>2625.3664227244099</v>
      </c>
      <c r="O113" s="123">
        <f t="shared" si="2"/>
        <v>0</v>
      </c>
      <c r="P113" s="123">
        <f t="shared" si="2"/>
        <v>0</v>
      </c>
      <c r="Q113" s="123">
        <f t="shared" si="2"/>
        <v>0</v>
      </c>
      <c r="R113" s="123">
        <f>SUM(R90:R110)</f>
        <v>0</v>
      </c>
      <c r="S113" s="123">
        <f t="shared" si="2"/>
        <v>0</v>
      </c>
      <c r="T113" s="123">
        <f t="shared" si="2"/>
        <v>0</v>
      </c>
      <c r="U113" s="123">
        <f t="shared" si="2"/>
        <v>0</v>
      </c>
      <c r="V113" s="123">
        <f t="shared" si="2"/>
        <v>0</v>
      </c>
      <c r="W113" s="123">
        <f t="shared" si="2"/>
        <v>0</v>
      </c>
    </row>
    <row r="116" spans="1:23">
      <c r="A116" s="175" t="s">
        <v>431</v>
      </c>
      <c r="B116" s="68">
        <v>2018</v>
      </c>
      <c r="C116" s="50">
        <v>2019</v>
      </c>
      <c r="D116" s="50">
        <v>2020</v>
      </c>
      <c r="E116" s="50">
        <v>2021</v>
      </c>
      <c r="F116" s="50">
        <v>2022</v>
      </c>
      <c r="G116" s="50">
        <v>2023</v>
      </c>
      <c r="H116" s="50">
        <v>2024</v>
      </c>
      <c r="I116" s="50">
        <v>2025</v>
      </c>
      <c r="J116" s="50">
        <v>2026</v>
      </c>
      <c r="K116" s="50">
        <v>2027</v>
      </c>
      <c r="L116" s="50">
        <v>2028</v>
      </c>
      <c r="M116" s="68">
        <v>2018</v>
      </c>
      <c r="N116" s="50">
        <v>2019</v>
      </c>
      <c r="O116" s="50">
        <v>2020</v>
      </c>
      <c r="P116" s="50">
        <v>2021</v>
      </c>
      <c r="Q116" s="50">
        <v>2022</v>
      </c>
      <c r="R116" s="50">
        <v>2023</v>
      </c>
      <c r="S116" s="50">
        <v>2024</v>
      </c>
      <c r="T116" s="50">
        <v>2025</v>
      </c>
      <c r="U116" s="50">
        <v>2026</v>
      </c>
      <c r="V116" s="50">
        <v>2027</v>
      </c>
      <c r="W116" s="50">
        <v>2028</v>
      </c>
    </row>
    <row r="117" spans="1:23">
      <c r="A117" s="65" t="s">
        <v>80</v>
      </c>
      <c r="B117" s="2">
        <f t="shared" ref="B117:W117" si="3">SUMIF($X$11:$X$89,40,B$11:B$89)</f>
        <v>73901.165000000008</v>
      </c>
      <c r="C117" s="2">
        <f t="shared" si="3"/>
        <v>48020.100000000006</v>
      </c>
      <c r="D117" s="2">
        <f t="shared" si="3"/>
        <v>0</v>
      </c>
      <c r="E117" s="2">
        <f t="shared" si="3"/>
        <v>0</v>
      </c>
      <c r="F117" s="2">
        <f t="shared" si="3"/>
        <v>0</v>
      </c>
      <c r="G117" s="2">
        <f t="shared" si="3"/>
        <v>0</v>
      </c>
      <c r="H117" s="2">
        <f t="shared" si="3"/>
        <v>0</v>
      </c>
      <c r="I117" s="2">
        <f t="shared" si="3"/>
        <v>0</v>
      </c>
      <c r="J117" s="2">
        <f t="shared" si="3"/>
        <v>0</v>
      </c>
      <c r="K117" s="2">
        <f t="shared" si="3"/>
        <v>0</v>
      </c>
      <c r="L117" s="2">
        <f t="shared" si="3"/>
        <v>0</v>
      </c>
      <c r="M117" s="63">
        <f t="shared" si="3"/>
        <v>6.0367684394851855</v>
      </c>
      <c r="N117" s="63">
        <f t="shared" si="3"/>
        <v>2.7901724307142857</v>
      </c>
      <c r="O117" s="63">
        <f t="shared" si="3"/>
        <v>0</v>
      </c>
      <c r="P117" s="63">
        <f t="shared" si="3"/>
        <v>0</v>
      </c>
      <c r="Q117" s="63">
        <f t="shared" si="3"/>
        <v>0</v>
      </c>
      <c r="R117" s="63">
        <f t="shared" si="3"/>
        <v>0</v>
      </c>
      <c r="S117" s="63">
        <f t="shared" si="3"/>
        <v>0</v>
      </c>
      <c r="T117" s="63">
        <f t="shared" si="3"/>
        <v>0</v>
      </c>
      <c r="U117" s="63">
        <f t="shared" si="3"/>
        <v>0</v>
      </c>
      <c r="V117" s="63">
        <f t="shared" si="3"/>
        <v>0</v>
      </c>
      <c r="W117" s="63">
        <f t="shared" si="3"/>
        <v>0</v>
      </c>
    </row>
    <row r="118" spans="1:23">
      <c r="A118" s="65" t="s">
        <v>205</v>
      </c>
      <c r="B118" s="2">
        <f t="shared" ref="B118:W118" si="4">SUMIF($X$11:$X$89,100,B$11:B$89)</f>
        <v>285370.67529411765</v>
      </c>
      <c r="C118" s="2">
        <f t="shared" si="4"/>
        <v>395516.666141472</v>
      </c>
      <c r="D118" s="2">
        <f t="shared" si="4"/>
        <v>0</v>
      </c>
      <c r="E118" s="2">
        <f t="shared" si="4"/>
        <v>0</v>
      </c>
      <c r="F118" s="2">
        <f t="shared" si="4"/>
        <v>0</v>
      </c>
      <c r="G118" s="2">
        <f t="shared" si="4"/>
        <v>0</v>
      </c>
      <c r="H118" s="2">
        <f t="shared" si="4"/>
        <v>0</v>
      </c>
      <c r="I118" s="2">
        <f t="shared" si="4"/>
        <v>0</v>
      </c>
      <c r="J118" s="2">
        <f t="shared" si="4"/>
        <v>0</v>
      </c>
      <c r="K118" s="2">
        <f t="shared" si="4"/>
        <v>0</v>
      </c>
      <c r="L118" s="2">
        <f t="shared" si="4"/>
        <v>0</v>
      </c>
      <c r="M118" s="63">
        <f t="shared" si="4"/>
        <v>324.8260233063321</v>
      </c>
      <c r="N118" s="63">
        <f t="shared" si="4"/>
        <v>283.72357127097519</v>
      </c>
      <c r="O118" s="63">
        <f t="shared" si="4"/>
        <v>0</v>
      </c>
      <c r="P118" s="63">
        <f t="shared" si="4"/>
        <v>0</v>
      </c>
      <c r="Q118" s="63">
        <f t="shared" si="4"/>
        <v>0</v>
      </c>
      <c r="R118" s="63">
        <f t="shared" si="4"/>
        <v>0</v>
      </c>
      <c r="S118" s="63">
        <f t="shared" si="4"/>
        <v>0</v>
      </c>
      <c r="T118" s="63">
        <f t="shared" si="4"/>
        <v>0</v>
      </c>
      <c r="U118" s="63">
        <f t="shared" si="4"/>
        <v>0</v>
      </c>
      <c r="V118" s="63">
        <f t="shared" si="4"/>
        <v>0</v>
      </c>
      <c r="W118" s="63">
        <f t="shared" si="4"/>
        <v>0</v>
      </c>
    </row>
    <row r="119" spans="1:23">
      <c r="A119" s="65" t="s">
        <v>206</v>
      </c>
      <c r="B119" s="2">
        <f t="shared" ref="B119:W119" si="5">SUMIF($X$11:$X$89,200,B$11:B$89)</f>
        <v>0</v>
      </c>
      <c r="C119" s="2">
        <f t="shared" si="5"/>
        <v>0</v>
      </c>
      <c r="D119" s="2">
        <f t="shared" si="5"/>
        <v>0</v>
      </c>
      <c r="E119" s="2">
        <f t="shared" si="5"/>
        <v>0</v>
      </c>
      <c r="F119" s="2">
        <f t="shared" si="5"/>
        <v>0</v>
      </c>
      <c r="G119" s="2">
        <f t="shared" si="5"/>
        <v>0</v>
      </c>
      <c r="H119" s="2">
        <f t="shared" si="5"/>
        <v>0</v>
      </c>
      <c r="I119" s="2">
        <f t="shared" si="5"/>
        <v>0</v>
      </c>
      <c r="J119" s="2">
        <f t="shared" si="5"/>
        <v>0</v>
      </c>
      <c r="K119" s="2">
        <f t="shared" si="5"/>
        <v>0</v>
      </c>
      <c r="L119" s="2">
        <f t="shared" si="5"/>
        <v>0</v>
      </c>
      <c r="M119" s="63">
        <f t="shared" si="5"/>
        <v>0</v>
      </c>
      <c r="N119" s="63">
        <f t="shared" si="5"/>
        <v>0</v>
      </c>
      <c r="O119" s="63">
        <f t="shared" si="5"/>
        <v>0</v>
      </c>
      <c r="P119" s="63">
        <f t="shared" si="5"/>
        <v>0</v>
      </c>
      <c r="Q119" s="63">
        <f t="shared" si="5"/>
        <v>0</v>
      </c>
      <c r="R119" s="63">
        <f t="shared" si="5"/>
        <v>0</v>
      </c>
      <c r="S119" s="63">
        <f t="shared" si="5"/>
        <v>0</v>
      </c>
      <c r="T119" s="63">
        <f t="shared" si="5"/>
        <v>0</v>
      </c>
      <c r="U119" s="63">
        <f t="shared" si="5"/>
        <v>0</v>
      </c>
      <c r="V119" s="63">
        <f t="shared" si="5"/>
        <v>0</v>
      </c>
      <c r="W119" s="63">
        <f t="shared" si="5"/>
        <v>0</v>
      </c>
    </row>
    <row r="120" spans="1:23">
      <c r="A120" s="65" t="s">
        <v>207</v>
      </c>
      <c r="B120" s="2">
        <f t="shared" ref="B120:W120" si="6">SUMIF($X$11:$X$89,400,B$11:B$89)</f>
        <v>900</v>
      </c>
      <c r="C120" s="2">
        <f t="shared" si="6"/>
        <v>1454.101098901099</v>
      </c>
      <c r="D120" s="2">
        <f t="shared" si="6"/>
        <v>0</v>
      </c>
      <c r="E120" s="2">
        <f t="shared" si="6"/>
        <v>0</v>
      </c>
      <c r="F120" s="2">
        <f t="shared" si="6"/>
        <v>0</v>
      </c>
      <c r="G120" s="2">
        <f t="shared" si="6"/>
        <v>0</v>
      </c>
      <c r="H120" s="2">
        <f t="shared" si="6"/>
        <v>0</v>
      </c>
      <c r="I120" s="2">
        <f t="shared" si="6"/>
        <v>0</v>
      </c>
      <c r="J120" s="2">
        <f t="shared" si="6"/>
        <v>0</v>
      </c>
      <c r="K120" s="2">
        <f t="shared" si="6"/>
        <v>0</v>
      </c>
      <c r="L120" s="2">
        <f t="shared" si="6"/>
        <v>0</v>
      </c>
      <c r="M120" s="63">
        <f t="shared" si="6"/>
        <v>7.2</v>
      </c>
      <c r="N120" s="63">
        <f t="shared" si="6"/>
        <v>9.6139243104000016</v>
      </c>
      <c r="O120" s="63">
        <f t="shared" si="6"/>
        <v>0</v>
      </c>
      <c r="P120" s="63">
        <f t="shared" si="6"/>
        <v>0</v>
      </c>
      <c r="Q120" s="63">
        <f t="shared" si="6"/>
        <v>0</v>
      </c>
      <c r="R120" s="63">
        <f t="shared" si="6"/>
        <v>0</v>
      </c>
      <c r="S120" s="63">
        <f t="shared" si="6"/>
        <v>0</v>
      </c>
      <c r="T120" s="63">
        <f t="shared" si="6"/>
        <v>0</v>
      </c>
      <c r="U120" s="63">
        <f t="shared" si="6"/>
        <v>0</v>
      </c>
      <c r="V120" s="63">
        <f t="shared" si="6"/>
        <v>0</v>
      </c>
      <c r="W120" s="63">
        <f t="shared" si="6"/>
        <v>0</v>
      </c>
    </row>
    <row r="121" spans="1:23">
      <c r="A121" s="65" t="s">
        <v>209</v>
      </c>
      <c r="B121" s="2">
        <f t="shared" ref="B121:W121" si="7">SUMIF($X$11:$X$89,800,B$11:B$89)</f>
        <v>0</v>
      </c>
      <c r="C121" s="2">
        <f t="shared" si="7"/>
        <v>0</v>
      </c>
      <c r="D121" s="2">
        <f t="shared" si="7"/>
        <v>0</v>
      </c>
      <c r="E121" s="2">
        <f t="shared" si="7"/>
        <v>0</v>
      </c>
      <c r="F121" s="2">
        <f t="shared" si="7"/>
        <v>0</v>
      </c>
      <c r="G121" s="2">
        <f t="shared" si="7"/>
        <v>0</v>
      </c>
      <c r="H121" s="2">
        <f t="shared" si="7"/>
        <v>0</v>
      </c>
      <c r="I121" s="2">
        <f t="shared" si="7"/>
        <v>0</v>
      </c>
      <c r="J121" s="2">
        <f t="shared" si="7"/>
        <v>0</v>
      </c>
      <c r="K121" s="2">
        <f t="shared" si="7"/>
        <v>0</v>
      </c>
      <c r="L121" s="2">
        <f t="shared" si="7"/>
        <v>0</v>
      </c>
      <c r="M121" s="63">
        <f t="shared" si="7"/>
        <v>0</v>
      </c>
      <c r="N121" s="63">
        <f t="shared" si="7"/>
        <v>0</v>
      </c>
      <c r="O121" s="63">
        <f t="shared" si="7"/>
        <v>0</v>
      </c>
      <c r="P121" s="63">
        <f t="shared" si="7"/>
        <v>0</v>
      </c>
      <c r="Q121" s="63">
        <f t="shared" si="7"/>
        <v>0</v>
      </c>
      <c r="R121" s="63">
        <f t="shared" si="7"/>
        <v>0</v>
      </c>
      <c r="S121" s="63">
        <f t="shared" si="7"/>
        <v>0</v>
      </c>
      <c r="T121" s="63">
        <f t="shared" si="7"/>
        <v>0</v>
      </c>
      <c r="U121" s="63">
        <f t="shared" si="7"/>
        <v>0</v>
      </c>
      <c r="V121" s="63">
        <f t="shared" si="7"/>
        <v>0</v>
      </c>
      <c r="W121" s="63">
        <f t="shared" si="7"/>
        <v>0</v>
      </c>
    </row>
    <row r="122" spans="1:23">
      <c r="A122" s="65" t="s">
        <v>211</v>
      </c>
      <c r="B122" s="2">
        <f t="shared" ref="B122:W122" si="8">SUMIF($X$11:$X$89,1600,B$11:B$89)</f>
        <v>0</v>
      </c>
      <c r="C122" s="2">
        <f t="shared" si="8"/>
        <v>0</v>
      </c>
      <c r="D122" s="2">
        <f t="shared" si="8"/>
        <v>0</v>
      </c>
      <c r="E122" s="2">
        <f t="shared" si="8"/>
        <v>0</v>
      </c>
      <c r="F122" s="2">
        <f t="shared" si="8"/>
        <v>0</v>
      </c>
      <c r="G122" s="2">
        <f t="shared" si="8"/>
        <v>0</v>
      </c>
      <c r="H122" s="2">
        <f t="shared" si="8"/>
        <v>0</v>
      </c>
      <c r="I122" s="2">
        <f t="shared" si="8"/>
        <v>0</v>
      </c>
      <c r="J122" s="2">
        <f t="shared" si="8"/>
        <v>0</v>
      </c>
      <c r="K122" s="2">
        <f t="shared" si="8"/>
        <v>0</v>
      </c>
      <c r="L122" s="2">
        <f t="shared" si="8"/>
        <v>0</v>
      </c>
      <c r="M122" s="63">
        <f t="shared" si="8"/>
        <v>0</v>
      </c>
      <c r="N122" s="63">
        <f t="shared" si="8"/>
        <v>0</v>
      </c>
      <c r="O122" s="63">
        <f t="shared" si="8"/>
        <v>0</v>
      </c>
      <c r="P122" s="63">
        <f t="shared" si="8"/>
        <v>0</v>
      </c>
      <c r="Q122" s="63">
        <f t="shared" si="8"/>
        <v>0</v>
      </c>
      <c r="R122" s="63">
        <f t="shared" si="8"/>
        <v>0</v>
      </c>
      <c r="S122" s="63">
        <f t="shared" si="8"/>
        <v>0</v>
      </c>
      <c r="T122" s="63">
        <f t="shared" si="8"/>
        <v>0</v>
      </c>
      <c r="U122" s="63">
        <f t="shared" si="8"/>
        <v>0</v>
      </c>
      <c r="V122" s="63">
        <f t="shared" si="8"/>
        <v>0</v>
      </c>
      <c r="W122" s="63">
        <f t="shared" si="8"/>
        <v>0</v>
      </c>
    </row>
    <row r="123" spans="1:23">
      <c r="A123" s="65" t="s">
        <v>276</v>
      </c>
      <c r="B123" s="2">
        <f>SUM(B11:B89)</f>
        <v>5876521.6602941174</v>
      </c>
      <c r="C123" s="2">
        <f t="shared" ref="C123:W123" si="9">SUM(C11:C89)</f>
        <v>4885119.4472403741</v>
      </c>
      <c r="D123" s="2">
        <f t="shared" si="9"/>
        <v>0</v>
      </c>
      <c r="E123" s="2">
        <f t="shared" si="9"/>
        <v>0</v>
      </c>
      <c r="F123" s="2">
        <f t="shared" si="9"/>
        <v>0</v>
      </c>
      <c r="G123" s="2">
        <f t="shared" si="9"/>
        <v>0</v>
      </c>
      <c r="H123" s="2">
        <f t="shared" si="9"/>
        <v>0</v>
      </c>
      <c r="I123" s="2">
        <f t="shared" si="9"/>
        <v>0</v>
      </c>
      <c r="J123" s="2">
        <f t="shared" si="9"/>
        <v>0</v>
      </c>
      <c r="K123" s="2">
        <f t="shared" si="9"/>
        <v>0</v>
      </c>
      <c r="L123" s="2">
        <f t="shared" si="9"/>
        <v>0</v>
      </c>
      <c r="M123" s="63">
        <f t="shared" si="9"/>
        <v>515.46297620496682</v>
      </c>
      <c r="N123" s="63">
        <f t="shared" si="9"/>
        <v>402.84438481692752</v>
      </c>
      <c r="O123" s="63">
        <f t="shared" si="9"/>
        <v>0</v>
      </c>
      <c r="P123" s="63">
        <f t="shared" si="9"/>
        <v>0</v>
      </c>
      <c r="Q123" s="63">
        <f t="shared" si="9"/>
        <v>0</v>
      </c>
      <c r="R123" s="63">
        <f t="shared" si="9"/>
        <v>0</v>
      </c>
      <c r="S123" s="63">
        <f t="shared" si="9"/>
        <v>0</v>
      </c>
      <c r="T123" s="63">
        <f t="shared" si="9"/>
        <v>0</v>
      </c>
      <c r="U123" s="63">
        <f t="shared" si="9"/>
        <v>0</v>
      </c>
      <c r="V123" s="63">
        <f t="shared" si="9"/>
        <v>0</v>
      </c>
      <c r="W123" s="63">
        <f t="shared" si="9"/>
        <v>0</v>
      </c>
    </row>
    <row r="124" spans="1:23">
      <c r="A124" s="65"/>
    </row>
    <row r="125" spans="1:23">
      <c r="A125" s="176" t="s">
        <v>428</v>
      </c>
      <c r="B125" s="68">
        <v>2018</v>
      </c>
      <c r="C125" s="50">
        <v>2019</v>
      </c>
      <c r="D125" s="50">
        <v>2020</v>
      </c>
      <c r="E125" s="50">
        <v>2021</v>
      </c>
      <c r="F125" s="50">
        <v>2022</v>
      </c>
      <c r="G125" s="50">
        <v>2023</v>
      </c>
      <c r="H125" s="50">
        <v>2024</v>
      </c>
      <c r="I125" s="50">
        <v>2025</v>
      </c>
      <c r="J125" s="50">
        <v>2026</v>
      </c>
      <c r="K125" s="50">
        <v>2027</v>
      </c>
      <c r="L125" s="50">
        <v>2028</v>
      </c>
      <c r="M125" s="68">
        <v>2018</v>
      </c>
      <c r="N125" s="50">
        <v>2019</v>
      </c>
      <c r="O125" s="50">
        <v>2020</v>
      </c>
      <c r="P125" s="50">
        <v>2021</v>
      </c>
      <c r="Q125" s="50">
        <v>2022</v>
      </c>
      <c r="R125" s="50">
        <v>2023</v>
      </c>
      <c r="S125" s="50">
        <v>2024</v>
      </c>
      <c r="T125" s="50">
        <v>2025</v>
      </c>
      <c r="U125" s="50">
        <v>2026</v>
      </c>
      <c r="V125" s="50">
        <v>2027</v>
      </c>
      <c r="W125" s="50">
        <v>2028</v>
      </c>
    </row>
    <row r="126" spans="1:23">
      <c r="A126" s="65" t="s">
        <v>205</v>
      </c>
      <c r="B126" s="2">
        <f t="shared" ref="B126:W126" si="10">SUMIF($X$90:$X$110,100,B$90:B$110)</f>
        <v>225821.39300945378</v>
      </c>
      <c r="C126" s="2">
        <f t="shared" si="10"/>
        <v>234573.15295652178</v>
      </c>
      <c r="D126" s="2">
        <f t="shared" si="10"/>
        <v>0</v>
      </c>
      <c r="E126" s="2">
        <f t="shared" si="10"/>
        <v>0</v>
      </c>
      <c r="F126" s="2">
        <f t="shared" si="10"/>
        <v>0</v>
      </c>
      <c r="G126" s="2">
        <f t="shared" si="10"/>
        <v>0</v>
      </c>
      <c r="H126" s="2">
        <f t="shared" si="10"/>
        <v>0</v>
      </c>
      <c r="I126" s="2">
        <f t="shared" si="10"/>
        <v>0</v>
      </c>
      <c r="J126" s="2">
        <f t="shared" si="10"/>
        <v>0</v>
      </c>
      <c r="K126" s="2">
        <f t="shared" si="10"/>
        <v>0</v>
      </c>
      <c r="L126" s="2">
        <f t="shared" si="10"/>
        <v>0</v>
      </c>
      <c r="M126" s="63">
        <f t="shared" si="10"/>
        <v>1687.7481127284664</v>
      </c>
      <c r="N126" s="63">
        <f t="shared" si="10"/>
        <v>1360.7602486608698</v>
      </c>
      <c r="O126" s="63">
        <f t="shared" si="10"/>
        <v>0</v>
      </c>
      <c r="P126" s="63">
        <f t="shared" si="10"/>
        <v>0</v>
      </c>
      <c r="Q126" s="63">
        <f t="shared" si="10"/>
        <v>0</v>
      </c>
      <c r="R126" s="63">
        <f t="shared" si="10"/>
        <v>0</v>
      </c>
      <c r="S126" s="63">
        <f t="shared" si="10"/>
        <v>0</v>
      </c>
      <c r="T126" s="63">
        <f t="shared" si="10"/>
        <v>0</v>
      </c>
      <c r="U126" s="63">
        <f t="shared" si="10"/>
        <v>0</v>
      </c>
      <c r="V126" s="63">
        <f t="shared" si="10"/>
        <v>0</v>
      </c>
      <c r="W126" s="63">
        <f t="shared" si="10"/>
        <v>0</v>
      </c>
    </row>
    <row r="127" spans="1:23">
      <c r="A127" s="65" t="s">
        <v>206</v>
      </c>
      <c r="B127" s="2">
        <f t="shared" ref="B127:W127" si="11">SUMIF($X$90:$X$110,200,B$90:B$110)</f>
        <v>93072.967213114753</v>
      </c>
      <c r="C127" s="2">
        <f t="shared" si="11"/>
        <v>157301.94400000002</v>
      </c>
      <c r="D127" s="2">
        <f t="shared" si="11"/>
        <v>0</v>
      </c>
      <c r="E127" s="2">
        <f t="shared" si="11"/>
        <v>0</v>
      </c>
      <c r="F127" s="2">
        <f t="shared" si="11"/>
        <v>0</v>
      </c>
      <c r="G127" s="2">
        <f t="shared" si="11"/>
        <v>0</v>
      </c>
      <c r="H127" s="2">
        <f t="shared" si="11"/>
        <v>0</v>
      </c>
      <c r="I127" s="2">
        <f t="shared" si="11"/>
        <v>0</v>
      </c>
      <c r="J127" s="2">
        <f t="shared" si="11"/>
        <v>0</v>
      </c>
      <c r="K127" s="2">
        <f t="shared" si="11"/>
        <v>0</v>
      </c>
      <c r="L127" s="2">
        <f t="shared" si="11"/>
        <v>0</v>
      </c>
      <c r="M127" s="63">
        <f t="shared" si="11"/>
        <v>694.86545573770491</v>
      </c>
      <c r="N127" s="63">
        <f t="shared" si="11"/>
        <v>876.12245992727276</v>
      </c>
      <c r="O127" s="63">
        <f t="shared" si="11"/>
        <v>0</v>
      </c>
      <c r="P127" s="63">
        <f t="shared" si="11"/>
        <v>0</v>
      </c>
      <c r="Q127" s="63">
        <f t="shared" si="11"/>
        <v>0</v>
      </c>
      <c r="R127" s="63">
        <f t="shared" si="11"/>
        <v>0</v>
      </c>
      <c r="S127" s="63">
        <f t="shared" si="11"/>
        <v>0</v>
      </c>
      <c r="T127" s="63">
        <f t="shared" si="11"/>
        <v>0</v>
      </c>
      <c r="U127" s="63">
        <f t="shared" si="11"/>
        <v>0</v>
      </c>
      <c r="V127" s="63">
        <f t="shared" si="11"/>
        <v>0</v>
      </c>
      <c r="W127" s="63">
        <f t="shared" si="11"/>
        <v>0</v>
      </c>
    </row>
    <row r="128" spans="1:23">
      <c r="A128" s="65" t="s">
        <v>207</v>
      </c>
      <c r="B128" s="2">
        <f t="shared" ref="B128:W128" si="12">SUMIF($X$90:$X$110,400,B$90:B$110)</f>
        <v>8750</v>
      </c>
      <c r="C128" s="2">
        <f t="shared" si="12"/>
        <v>19350</v>
      </c>
      <c r="D128" s="2">
        <f t="shared" si="12"/>
        <v>0</v>
      </c>
      <c r="E128" s="2">
        <f t="shared" si="12"/>
        <v>0</v>
      </c>
      <c r="F128" s="2">
        <f t="shared" si="12"/>
        <v>0</v>
      </c>
      <c r="G128" s="2">
        <f t="shared" si="12"/>
        <v>0</v>
      </c>
      <c r="H128" s="2">
        <f t="shared" si="12"/>
        <v>0</v>
      </c>
      <c r="I128" s="2">
        <f t="shared" si="12"/>
        <v>0</v>
      </c>
      <c r="J128" s="2">
        <f t="shared" si="12"/>
        <v>0</v>
      </c>
      <c r="K128" s="2">
        <f t="shared" si="12"/>
        <v>0</v>
      </c>
      <c r="L128" s="2">
        <f t="shared" si="12"/>
        <v>0</v>
      </c>
      <c r="M128" s="63">
        <f t="shared" si="12"/>
        <v>0</v>
      </c>
      <c r="N128" s="63">
        <f t="shared" si="12"/>
        <v>168.87272727272727</v>
      </c>
      <c r="O128" s="63">
        <f t="shared" si="12"/>
        <v>0</v>
      </c>
      <c r="P128" s="63">
        <f t="shared" si="12"/>
        <v>0</v>
      </c>
      <c r="Q128" s="63">
        <f t="shared" si="12"/>
        <v>0</v>
      </c>
      <c r="R128" s="63">
        <f t="shared" si="12"/>
        <v>0</v>
      </c>
      <c r="S128" s="63">
        <f t="shared" si="12"/>
        <v>0</v>
      </c>
      <c r="T128" s="63">
        <f t="shared" si="12"/>
        <v>0</v>
      </c>
      <c r="U128" s="63">
        <f t="shared" si="12"/>
        <v>0</v>
      </c>
      <c r="V128" s="63">
        <f t="shared" si="12"/>
        <v>0</v>
      </c>
      <c r="W128" s="63">
        <f t="shared" si="12"/>
        <v>0</v>
      </c>
    </row>
    <row r="129" spans="1:23">
      <c r="A129" s="65" t="s">
        <v>429</v>
      </c>
      <c r="B129" s="2">
        <f t="shared" ref="B129:W129" si="13">SUMIF($X$90:$X$110,600,B$90:B$110)+SUMIF($X$90:$X$110,800,B$90:B$110)</f>
        <v>0</v>
      </c>
      <c r="C129" s="2">
        <f t="shared" si="13"/>
        <v>65.599999999999994</v>
      </c>
      <c r="D129" s="2">
        <f t="shared" si="13"/>
        <v>0</v>
      </c>
      <c r="E129" s="2">
        <f t="shared" si="13"/>
        <v>0</v>
      </c>
      <c r="F129" s="2">
        <f t="shared" si="13"/>
        <v>0</v>
      </c>
      <c r="G129" s="2">
        <f t="shared" si="13"/>
        <v>0</v>
      </c>
      <c r="H129" s="2">
        <f t="shared" si="13"/>
        <v>0</v>
      </c>
      <c r="I129" s="2">
        <f t="shared" si="13"/>
        <v>0</v>
      </c>
      <c r="J129" s="2">
        <f t="shared" si="13"/>
        <v>0</v>
      </c>
      <c r="K129" s="2">
        <f t="shared" si="13"/>
        <v>0</v>
      </c>
      <c r="L129" s="2">
        <f t="shared" si="13"/>
        <v>0</v>
      </c>
      <c r="M129" s="63">
        <f t="shared" si="13"/>
        <v>0</v>
      </c>
      <c r="N129" s="63">
        <f t="shared" si="13"/>
        <v>0.65600000000000003</v>
      </c>
      <c r="O129" s="63">
        <f t="shared" si="13"/>
        <v>0</v>
      </c>
      <c r="P129" s="63">
        <f t="shared" si="13"/>
        <v>0</v>
      </c>
      <c r="Q129" s="63">
        <f t="shared" si="13"/>
        <v>0</v>
      </c>
      <c r="R129" s="63">
        <f t="shared" si="13"/>
        <v>0</v>
      </c>
      <c r="S129" s="63">
        <f t="shared" si="13"/>
        <v>0</v>
      </c>
      <c r="T129" s="63">
        <f t="shared" si="13"/>
        <v>0</v>
      </c>
      <c r="U129" s="63">
        <f t="shared" si="13"/>
        <v>0</v>
      </c>
      <c r="V129" s="63">
        <f t="shared" si="13"/>
        <v>0</v>
      </c>
      <c r="W129" s="63">
        <f t="shared" si="13"/>
        <v>0</v>
      </c>
    </row>
    <row r="130" spans="1:23">
      <c r="A130" s="65" t="s">
        <v>430</v>
      </c>
      <c r="B130" s="2">
        <f t="shared" ref="B130:W130" si="14">SUMIF($X$90:$X$110,1200,B$90:B$110)+SUMIF($X$90:$X$110,1600,B$90:B$110)</f>
        <v>0</v>
      </c>
      <c r="C130" s="2">
        <f t="shared" si="14"/>
        <v>0</v>
      </c>
      <c r="D130" s="2">
        <f t="shared" si="14"/>
        <v>0</v>
      </c>
      <c r="E130" s="2">
        <f t="shared" si="14"/>
        <v>0</v>
      </c>
      <c r="F130" s="2">
        <f t="shared" si="14"/>
        <v>0</v>
      </c>
      <c r="G130" s="2">
        <f t="shared" si="14"/>
        <v>0</v>
      </c>
      <c r="H130" s="2">
        <f t="shared" si="14"/>
        <v>0</v>
      </c>
      <c r="I130" s="2">
        <f t="shared" si="14"/>
        <v>0</v>
      </c>
      <c r="J130" s="2">
        <f t="shared" si="14"/>
        <v>0</v>
      </c>
      <c r="K130" s="2">
        <f t="shared" si="14"/>
        <v>0</v>
      </c>
      <c r="L130" s="2">
        <f t="shared" si="14"/>
        <v>0</v>
      </c>
      <c r="M130" s="63">
        <f t="shared" si="14"/>
        <v>0</v>
      </c>
      <c r="N130" s="63">
        <f t="shared" si="14"/>
        <v>0</v>
      </c>
      <c r="O130" s="63">
        <f t="shared" si="14"/>
        <v>0</v>
      </c>
      <c r="P130" s="63">
        <f t="shared" si="14"/>
        <v>0</v>
      </c>
      <c r="Q130" s="63">
        <f t="shared" si="14"/>
        <v>0</v>
      </c>
      <c r="R130" s="63">
        <f t="shared" si="14"/>
        <v>0</v>
      </c>
      <c r="S130" s="63">
        <f t="shared" si="14"/>
        <v>0</v>
      </c>
      <c r="T130" s="63">
        <f t="shared" si="14"/>
        <v>0</v>
      </c>
      <c r="U130" s="63">
        <f t="shared" si="14"/>
        <v>0</v>
      </c>
      <c r="V130" s="63">
        <f t="shared" si="14"/>
        <v>0</v>
      </c>
      <c r="W130" s="63">
        <f t="shared" si="14"/>
        <v>0</v>
      </c>
    </row>
    <row r="131" spans="1:23">
      <c r="A131" s="65" t="s">
        <v>277</v>
      </c>
      <c r="B131" s="2">
        <f>SUM(B90:B110)</f>
        <v>938653.49022256851</v>
      </c>
      <c r="C131" s="2">
        <f t="shared" ref="C131:W131" si="15">SUM(C90:C110)</f>
        <v>1133941.9562516739</v>
      </c>
      <c r="D131" s="2">
        <f t="shared" si="15"/>
        <v>0</v>
      </c>
      <c r="E131" s="2">
        <f t="shared" si="15"/>
        <v>0</v>
      </c>
      <c r="F131" s="2">
        <f t="shared" si="15"/>
        <v>0</v>
      </c>
      <c r="G131" s="2">
        <f t="shared" si="15"/>
        <v>0</v>
      </c>
      <c r="H131" s="2">
        <f t="shared" si="15"/>
        <v>0</v>
      </c>
      <c r="I131" s="2">
        <f t="shared" si="15"/>
        <v>0</v>
      </c>
      <c r="J131" s="2">
        <f t="shared" si="15"/>
        <v>0</v>
      </c>
      <c r="K131" s="2">
        <f t="shared" si="15"/>
        <v>0</v>
      </c>
      <c r="L131" s="2">
        <f t="shared" si="15"/>
        <v>0</v>
      </c>
      <c r="M131" s="63">
        <f t="shared" si="15"/>
        <v>2589.4655227485227</v>
      </c>
      <c r="N131" s="63">
        <f t="shared" si="15"/>
        <v>2625.3664227244099</v>
      </c>
      <c r="O131" s="63">
        <f t="shared" si="15"/>
        <v>0</v>
      </c>
      <c r="P131" s="63">
        <f t="shared" si="15"/>
        <v>0</v>
      </c>
      <c r="Q131" s="63">
        <f t="shared" si="15"/>
        <v>0</v>
      </c>
      <c r="R131" s="63">
        <f t="shared" si="15"/>
        <v>0</v>
      </c>
      <c r="S131" s="63">
        <f t="shared" si="15"/>
        <v>0</v>
      </c>
      <c r="T131" s="63">
        <f t="shared" si="15"/>
        <v>0</v>
      </c>
      <c r="U131" s="63">
        <f t="shared" si="15"/>
        <v>0</v>
      </c>
      <c r="V131" s="63">
        <f t="shared" si="15"/>
        <v>0</v>
      </c>
      <c r="W131" s="63">
        <f t="shared" si="15"/>
        <v>0</v>
      </c>
    </row>
    <row r="134" spans="1:23">
      <c r="A134" s="25" t="s">
        <v>275</v>
      </c>
    </row>
    <row r="135" spans="1:23">
      <c r="A135" s="40" t="s">
        <v>213</v>
      </c>
      <c r="B135" s="17">
        <v>2018</v>
      </c>
      <c r="C135" s="17">
        <v>2019</v>
      </c>
      <c r="D135" s="17">
        <v>2020</v>
      </c>
      <c r="E135" s="17">
        <v>2021</v>
      </c>
      <c r="F135" s="17">
        <v>2022</v>
      </c>
      <c r="G135" s="17">
        <v>2023</v>
      </c>
      <c r="H135" s="17">
        <v>2024</v>
      </c>
      <c r="I135" s="17">
        <v>2025</v>
      </c>
      <c r="J135" s="17">
        <v>2026</v>
      </c>
      <c r="K135" s="17">
        <v>2027</v>
      </c>
      <c r="L135" s="17">
        <v>2028</v>
      </c>
    </row>
    <row r="136" spans="1:23">
      <c r="A136" s="25" t="s">
        <v>250</v>
      </c>
      <c r="B136" s="28">
        <f>SUMPRODUCT(B11:B$89,$X$11:$X$89)/10^6</f>
        <v>60.408443079411768</v>
      </c>
      <c r="C136" s="28">
        <f>SUMPRODUCT(C11:C$89,$X$11:$X$89)/10^6</f>
        <v>63.666101933707644</v>
      </c>
      <c r="D136" s="28">
        <f>SUMPRODUCT(D11:D$89,$X$11:$X$89)/10^6</f>
        <v>0</v>
      </c>
      <c r="E136" s="28">
        <f>SUMPRODUCT(E11:E$89,$X$11:$X$89)/10^6</f>
        <v>0</v>
      </c>
      <c r="F136" s="28">
        <f>SUMPRODUCT(F11:F$89,$X$11:$X$89)/10^6</f>
        <v>0</v>
      </c>
      <c r="G136" s="28">
        <f>SUMPRODUCT(G11:G$89,$X$11:$X$89)/10^6</f>
        <v>0</v>
      </c>
      <c r="H136" s="28">
        <f>SUMPRODUCT(H11:H$89,$X$11:$X$89)/10^6</f>
        <v>0</v>
      </c>
      <c r="I136" s="28">
        <f>SUMPRODUCT(I11:I$89,$X$11:$X$89)/10^6</f>
        <v>0</v>
      </c>
      <c r="J136" s="28">
        <f>SUMPRODUCT(J11:J$89,$X$11:$X$89)/10^6</f>
        <v>0</v>
      </c>
      <c r="K136" s="28">
        <f>SUMPRODUCT(K11:K$89,$X$11:$X$89)/10^6</f>
        <v>0</v>
      </c>
      <c r="L136" s="28">
        <f>SUMPRODUCT(L11:L$89,$X$11:$X$89)/10^6</f>
        <v>0</v>
      </c>
    </row>
    <row r="137" spans="1:23">
      <c r="A137" s="25" t="s">
        <v>251</v>
      </c>
      <c r="B137" s="54">
        <f>B136+10.2</f>
        <v>70.608443079411771</v>
      </c>
      <c r="C137" s="29">
        <f>B137+C136</f>
        <v>134.27454501311942</v>
      </c>
      <c r="D137" s="29">
        <f>C137+D136</f>
        <v>134.27454501311942</v>
      </c>
      <c r="E137" s="29">
        <f t="shared" ref="E137:L137" si="16">D137+E136</f>
        <v>134.27454501311942</v>
      </c>
      <c r="F137" s="29">
        <f t="shared" si="16"/>
        <v>134.27454501311942</v>
      </c>
      <c r="G137" s="29">
        <f t="shared" si="16"/>
        <v>134.27454501311942</v>
      </c>
      <c r="H137" s="29">
        <f t="shared" si="16"/>
        <v>134.27454501311942</v>
      </c>
      <c r="I137" s="29">
        <f t="shared" si="16"/>
        <v>134.27454501311942</v>
      </c>
      <c r="J137" s="29">
        <f t="shared" si="16"/>
        <v>134.27454501311942</v>
      </c>
      <c r="K137" s="29">
        <f t="shared" si="16"/>
        <v>134.27454501311942</v>
      </c>
      <c r="L137" s="29">
        <f t="shared" si="16"/>
        <v>134.27454501311942</v>
      </c>
    </row>
    <row r="138" spans="1:23">
      <c r="A138" s="25" t="s">
        <v>252</v>
      </c>
      <c r="B138" s="26"/>
      <c r="C138" s="31">
        <f>C137/B137-1</f>
        <v>0.90167831433563528</v>
      </c>
      <c r="D138" s="31">
        <f>D137/C137-1</f>
        <v>0</v>
      </c>
      <c r="E138" s="31">
        <f t="shared" ref="E138:L138" si="17">E137/D137-1</f>
        <v>0</v>
      </c>
      <c r="F138" s="31">
        <f t="shared" si="17"/>
        <v>0</v>
      </c>
      <c r="G138" s="31">
        <f t="shared" si="17"/>
        <v>0</v>
      </c>
      <c r="H138" s="31">
        <f t="shared" si="17"/>
        <v>0</v>
      </c>
      <c r="I138" s="31">
        <f t="shared" si="17"/>
        <v>0</v>
      </c>
      <c r="J138" s="31">
        <f t="shared" si="17"/>
        <v>0</v>
      </c>
      <c r="K138" s="31">
        <f t="shared" si="17"/>
        <v>0</v>
      </c>
      <c r="L138" s="31">
        <f t="shared" si="17"/>
        <v>0</v>
      </c>
    </row>
    <row r="140" spans="1:23">
      <c r="A140" s="40" t="s">
        <v>214</v>
      </c>
      <c r="B140" s="17">
        <v>2018</v>
      </c>
      <c r="C140" s="17">
        <v>2019</v>
      </c>
      <c r="D140" s="17">
        <v>2020</v>
      </c>
      <c r="E140" s="17">
        <v>2021</v>
      </c>
      <c r="F140" s="17">
        <v>2022</v>
      </c>
      <c r="G140" s="17">
        <v>2023</v>
      </c>
      <c r="H140" s="17">
        <v>2024</v>
      </c>
      <c r="I140" s="17">
        <v>2025</v>
      </c>
      <c r="J140" s="17">
        <v>2026</v>
      </c>
      <c r="K140" s="17">
        <v>2027</v>
      </c>
      <c r="L140" s="17">
        <v>2028</v>
      </c>
    </row>
    <row r="141" spans="1:23">
      <c r="A141" s="25" t="s">
        <v>250</v>
      </c>
      <c r="B141" s="28">
        <f>SUMPRODUCT(B90:B$110,$X$90:$X$110)/10^6</f>
        <v>50.571254443568328</v>
      </c>
      <c r="C141" s="28">
        <f>SUMPRODUCT(C90:C$110,$X$90:$X$110)/10^6</f>
        <v>69.728426538603699</v>
      </c>
      <c r="D141" s="28">
        <f>SUMPRODUCT(D90:D$110,$X$90:$X$110)/10^6</f>
        <v>0</v>
      </c>
      <c r="E141" s="28">
        <f>SUMPRODUCT(E90:E$110,$X$90:$X$110)/10^6</f>
        <v>0</v>
      </c>
      <c r="F141" s="28">
        <f>SUMPRODUCT(F90:F$110,$X$90:$X$110)/10^6</f>
        <v>0</v>
      </c>
      <c r="G141" s="28">
        <f>SUMPRODUCT(G90:G$110,$X$90:$X$110)/10^6</f>
        <v>0</v>
      </c>
      <c r="H141" s="28">
        <f>SUMPRODUCT(H90:H$110,$X$90:$X$110)/10^6</f>
        <v>0</v>
      </c>
      <c r="I141" s="28">
        <f>SUMPRODUCT(I90:I$110,$X$90:$X$110)/10^6</f>
        <v>0</v>
      </c>
      <c r="J141" s="28">
        <f>SUMPRODUCT(J90:J$110,$X$90:$X$110)/10^6</f>
        <v>0</v>
      </c>
      <c r="K141" s="28">
        <f>SUMPRODUCT(K90:K$110,$X$90:$X$110)/10^6</f>
        <v>0</v>
      </c>
      <c r="L141" s="28">
        <f>SUMPRODUCT(L90:L$110,$X$90:$X$110)/10^6</f>
        <v>0</v>
      </c>
    </row>
    <row r="142" spans="1:23">
      <c r="A142" s="25" t="s">
        <v>251</v>
      </c>
      <c r="B142" s="30">
        <f>B141</f>
        <v>50.571254443568328</v>
      </c>
      <c r="C142" s="29">
        <f>B142+C141</f>
        <v>120.29968098217202</v>
      </c>
      <c r="D142" s="29">
        <f>C142+D141</f>
        <v>120.29968098217202</v>
      </c>
      <c r="E142" s="29">
        <f t="shared" ref="E142" si="18">D142+E141</f>
        <v>120.29968098217202</v>
      </c>
      <c r="F142" s="29">
        <f t="shared" ref="F142" si="19">E142+F141</f>
        <v>120.29968098217202</v>
      </c>
      <c r="G142" s="29">
        <f t="shared" ref="G142" si="20">F142+G141</f>
        <v>120.29968098217202</v>
      </c>
      <c r="H142" s="29">
        <f t="shared" ref="H142" si="21">G142+H141</f>
        <v>120.29968098217202</v>
      </c>
      <c r="I142" s="29">
        <f t="shared" ref="I142" si="22">H142+I141</f>
        <v>120.29968098217202</v>
      </c>
      <c r="J142" s="29">
        <f t="shared" ref="J142" si="23">I142+J141</f>
        <v>120.29968098217202</v>
      </c>
      <c r="K142" s="29">
        <f t="shared" ref="K142" si="24">J142+K141</f>
        <v>120.29968098217202</v>
      </c>
      <c r="L142" s="29">
        <f t="shared" ref="L142" si="25">K142+L141</f>
        <v>120.29968098217202</v>
      </c>
    </row>
    <row r="143" spans="1:23">
      <c r="A143" s="25" t="s">
        <v>252</v>
      </c>
      <c r="B143" s="26"/>
      <c r="C143" s="31">
        <f>C142/B142-1</f>
        <v>1.3788154418121574</v>
      </c>
      <c r="D143" s="31">
        <f>D142/C142-1</f>
        <v>0</v>
      </c>
      <c r="E143" s="31">
        <f t="shared" ref="E143" si="26">E142/D142-1</f>
        <v>0</v>
      </c>
      <c r="F143" s="31">
        <f t="shared" ref="F143" si="27">F142/E142-1</f>
        <v>0</v>
      </c>
      <c r="G143" s="31">
        <f t="shared" ref="G143" si="28">G142/F142-1</f>
        <v>0</v>
      </c>
      <c r="H143" s="31">
        <f t="shared" ref="H143" si="29">H142/G142-1</f>
        <v>0</v>
      </c>
      <c r="I143" s="31">
        <f t="shared" ref="I143" si="30">I142/H142-1</f>
        <v>0</v>
      </c>
      <c r="J143" s="31">
        <f t="shared" ref="J143" si="31">J142/I142-1</f>
        <v>0</v>
      </c>
      <c r="K143" s="31">
        <f t="shared" ref="K143" si="32">K142/J142-1</f>
        <v>0</v>
      </c>
      <c r="L143" s="31">
        <f t="shared" ref="L143" si="33">L142/K142-1</f>
        <v>0</v>
      </c>
    </row>
  </sheetData>
  <mergeCells count="2">
    <mergeCell ref="B9:L9"/>
    <mergeCell ref="M9:W9"/>
  </mergeCells>
  <dataValidations count="1">
    <dataValidation type="list" allowBlank="1" showInputMessage="1" showErrorMessage="1" sqref="A11:A110" xr:uid="{00000000-0002-0000-1000-000000000000}">
      <formula1>INDIRECT("Products[LookupCodes]")</formula1>
    </dataValidation>
  </dataValidations>
  <pageMargins left="0.7" right="0.7" top="0.75" bottom="0.75" header="0.3" footer="0.3"/>
  <pageSetup paperSize="9" orientation="portrait" horizontalDpi="0" verticalDpi="0" r:id="rId1"/>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X143"/>
  <sheetViews>
    <sheetView zoomScale="50" zoomScaleNormal="50" workbookViewId="0">
      <selection activeCell="A5" sqref="A5"/>
    </sheetView>
  </sheetViews>
  <sheetFormatPr defaultColWidth="8.5" defaultRowHeight="15.75"/>
  <cols>
    <col min="1" max="1" width="35.5" bestFit="1" customWidth="1"/>
    <col min="2" max="2" width="10.5" bestFit="1" customWidth="1"/>
    <col min="4" max="4" width="11.1875" customWidth="1"/>
    <col min="6" max="6" width="11.1875" customWidth="1"/>
    <col min="7" max="7" width="9" bestFit="1" customWidth="1"/>
    <col min="11" max="11" width="10.3125" customWidth="1"/>
  </cols>
  <sheetData>
    <row r="1" spans="1:24" s="1" customFormat="1" ht="14.25">
      <c r="A1" s="19"/>
    </row>
    <row r="2" spans="1:24" s="1" customFormat="1" ht="18">
      <c r="A2" s="20" t="str">
        <f>'Figures in the Report'!B2</f>
        <v>LightCounting Mega Datacenter Report Database</v>
      </c>
    </row>
    <row r="3" spans="1:24" s="1" customFormat="1">
      <c r="A3" s="21" t="str">
        <f>'Figures in the Report'!B3</f>
        <v xml:space="preserve"> Mega Datacenter Report - July 2023  sample template</v>
      </c>
    </row>
    <row r="4" spans="1:24" s="1" customFormat="1" ht="21">
      <c r="A4" s="22" t="str">
        <f>"Forecast for "&amp;A9</f>
        <v>Forecast for Enterprise</v>
      </c>
    </row>
    <row r="5" spans="1:24" s="1" customFormat="1" ht="14.25">
      <c r="A5" s="19"/>
    </row>
    <row r="9" spans="1:24">
      <c r="A9" s="12" t="s">
        <v>221</v>
      </c>
      <c r="B9" s="221" t="s">
        <v>249</v>
      </c>
      <c r="C9" s="221"/>
      <c r="D9" s="221"/>
      <c r="E9" s="221"/>
      <c r="F9" s="221"/>
      <c r="G9" s="221"/>
      <c r="H9" s="221"/>
      <c r="I9" s="221"/>
      <c r="J9" s="221"/>
      <c r="K9" s="221"/>
      <c r="L9" s="221"/>
      <c r="M9" s="222" t="s">
        <v>317</v>
      </c>
      <c r="N9" s="222"/>
      <c r="O9" s="222"/>
      <c r="P9" s="222"/>
      <c r="Q9" s="222"/>
      <c r="R9" s="222"/>
      <c r="S9" s="222"/>
      <c r="T9" s="222"/>
      <c r="U9" s="222"/>
      <c r="V9" s="222"/>
      <c r="W9" s="222"/>
    </row>
    <row r="10" spans="1:24" s="7" customFormat="1" ht="13.15">
      <c r="A10" s="13" t="s">
        <v>342</v>
      </c>
      <c r="B10" s="10" t="s">
        <v>233</v>
      </c>
      <c r="C10" s="10" t="s">
        <v>234</v>
      </c>
      <c r="D10" s="10" t="s">
        <v>235</v>
      </c>
      <c r="E10" s="10" t="s">
        <v>236</v>
      </c>
      <c r="F10" s="10" t="s">
        <v>237</v>
      </c>
      <c r="G10" s="10" t="s">
        <v>238</v>
      </c>
      <c r="H10" s="10" t="s">
        <v>239</v>
      </c>
      <c r="I10" s="10" t="s">
        <v>240</v>
      </c>
      <c r="J10" s="10" t="s">
        <v>241</v>
      </c>
      <c r="K10" s="10" t="s">
        <v>242</v>
      </c>
      <c r="L10" s="10" t="s">
        <v>243</v>
      </c>
      <c r="M10" s="11" t="s">
        <v>318</v>
      </c>
      <c r="N10" s="11" t="s">
        <v>319</v>
      </c>
      <c r="O10" s="11" t="s">
        <v>320</v>
      </c>
      <c r="P10" s="11" t="s">
        <v>321</v>
      </c>
      <c r="Q10" s="11" t="s">
        <v>322</v>
      </c>
      <c r="R10" s="11" t="s">
        <v>323</v>
      </c>
      <c r="S10" s="11" t="s">
        <v>324</v>
      </c>
      <c r="T10" s="11" t="s">
        <v>325</v>
      </c>
      <c r="U10" s="11" t="s">
        <v>326</v>
      </c>
      <c r="V10" s="11" t="s">
        <v>327</v>
      </c>
      <c r="W10" s="11" t="s">
        <v>328</v>
      </c>
      <c r="X10" s="27" t="s">
        <v>253</v>
      </c>
    </row>
    <row r="11" spans="1:24" s="1" customFormat="1" ht="13.15">
      <c r="A11" s="14" t="s">
        <v>149</v>
      </c>
      <c r="B11" s="8">
        <v>4962296</v>
      </c>
      <c r="C11" s="8">
        <v>3594917</v>
      </c>
      <c r="D11" s="8"/>
      <c r="E11" s="8"/>
      <c r="F11" s="8"/>
      <c r="G11" s="8"/>
      <c r="H11" s="8"/>
      <c r="I11" s="8"/>
      <c r="J11" s="8"/>
      <c r="K11" s="8"/>
      <c r="L11" s="8"/>
      <c r="M11" s="62" cm="1">
        <f t="array" ref="M11">INDEX(tblPrices[cv_2018], MATCH(tblEnterpriseUnits[[#This Row],[Products]],tblPrices[Products],0), 0)* tblEnterpriseUnits[[#This Row],[cv_2018]]/10^6</f>
        <v>40.672937040000001</v>
      </c>
      <c r="N11" s="62" cm="1">
        <f t="array" ref="N11">INDEX(tblPrices[cv_2019], MATCH(tblEnterpriseUnits[[#This Row],[Products]],tblPrices[Products],0), 0)* tblEnterpriseUnits[[#This Row],[cv_2019]]/10^6</f>
        <v>23.478750999999999</v>
      </c>
      <c r="O11" s="62" cm="1">
        <f t="array" ref="O11">INDEX(tblPrices[cv_2020], MATCH(tblEnterpriseUnits[[#This Row],[Products]],tblPrices[Products],0), 0)* tblEnterpriseUnits[[#This Row],[cv_2020]]/10^6</f>
        <v>0</v>
      </c>
      <c r="P11" s="62" cm="1">
        <f t="array" ref="P11">INDEX(tblPrices[cv_2021], MATCH(tblEnterpriseUnits[[#This Row],[Products]],tblPrices[Products],0), 0)* tblEnterpriseUnits[[#This Row],[cv_2021]]/10^6</f>
        <v>0</v>
      </c>
      <c r="Q11" s="62" cm="1">
        <f t="array" ref="Q11">INDEX(tblPrices[cv_2022], MATCH(tblEnterpriseUnits[[#This Row],[Products]],tblPrices[Products],0), 0)* tblEnterpriseUnits[[#This Row],[cv_2022]]/10^6</f>
        <v>0</v>
      </c>
      <c r="R11" s="62" cm="1">
        <f t="array" ref="R11">INDEX(tblPrices[cv_2023], MATCH(tblEnterpriseUnits[[#This Row],[Products]],tblPrices[Products],0), 0)* tblEnterpriseUnits[[#This Row],[cv_2023]]/10^6</f>
        <v>0</v>
      </c>
      <c r="S11" s="62" cm="1">
        <f t="array" ref="S11">INDEX(tblPrices[cv_2024], MATCH(tblEnterpriseUnits[[#This Row],[Products]],tblPrices[Products],0), 0)* tblEnterpriseUnits[[#This Row],[cv_2024]]/10^6</f>
        <v>0</v>
      </c>
      <c r="T11" s="62" cm="1">
        <f t="array" ref="T11">INDEX(tblPrices[cv_2025], MATCH(tblEnterpriseUnits[[#This Row],[Products]],tblPrices[Products],0), 0)* tblEnterpriseUnits[[#This Row],[cv_2025]]/10^6</f>
        <v>0</v>
      </c>
      <c r="U11" s="62" cm="1">
        <f t="array" ref="U11">INDEX(tblPrices[cv_2026], MATCH(tblEnterpriseUnits[[#This Row],[Products]],tblPrices[Products],0), 0)* tblEnterpriseUnits[[#This Row],[cv_2026]]/10^6</f>
        <v>0</v>
      </c>
      <c r="V11" s="62" cm="1">
        <f t="array" ref="V11">INDEX(tblPrices[cv_2027], MATCH(tblEnterpriseUnits[[#This Row],[Products]],tblPrices[Products],0), 0)* tblEnterpriseUnits[[#This Row],[cv_2027]]/10^6</f>
        <v>0</v>
      </c>
      <c r="W11" s="62" cm="1">
        <f t="array" ref="W11">INDEX(tblPrices[cv_2028], MATCH(tblEnterpriseUnits[[#This Row],[Products]],tblPrices[Products],0), 0)* tblEnterpriseUnits[[#This Row],[cv_2028]]/10^6</f>
        <v>0</v>
      </c>
      <c r="X11" s="1">
        <v>1</v>
      </c>
    </row>
    <row r="12" spans="1:24" s="1" customFormat="1" ht="13.15">
      <c r="A12" s="9" t="s">
        <v>150</v>
      </c>
      <c r="B12" s="8">
        <v>5648443.9199999999</v>
      </c>
      <c r="C12" s="8">
        <v>5518023.1200000001</v>
      </c>
      <c r="D12" s="8"/>
      <c r="E12" s="8"/>
      <c r="F12" s="8"/>
      <c r="G12" s="8"/>
      <c r="H12" s="8"/>
      <c r="I12" s="8"/>
      <c r="J12" s="8"/>
      <c r="K12" s="8"/>
      <c r="L12" s="8"/>
      <c r="M12" s="62" cm="1">
        <f t="array" ref="M12">INDEX(tblPrices[cv_2018], MATCH(tblEnterpriseUnits[[#This Row],[Products]],tblPrices[Products],0), 0)* tblEnterpriseUnits[[#This Row],[cv_2018]]/10^6</f>
        <v>45.182543097599996</v>
      </c>
      <c r="N12" s="62" cm="1">
        <f t="array" ref="N12">INDEX(tblPrices[cv_2019], MATCH(tblEnterpriseUnits[[#This Row],[Products]],tblPrices[Products],0), 0)* tblEnterpriseUnits[[#This Row],[cv_2019]]/10^6</f>
        <v>42.638646140340114</v>
      </c>
      <c r="O12" s="62" cm="1">
        <f t="array" ref="O12">INDEX(tblPrices[cv_2020], MATCH(tblEnterpriseUnits[[#This Row],[Products]],tblPrices[Products],0), 0)* tblEnterpriseUnits[[#This Row],[cv_2020]]/10^6</f>
        <v>0</v>
      </c>
      <c r="P12" s="62" cm="1">
        <f t="array" ref="P12">INDEX(tblPrices[cv_2021], MATCH(tblEnterpriseUnits[[#This Row],[Products]],tblPrices[Products],0), 0)* tblEnterpriseUnits[[#This Row],[cv_2021]]/10^6</f>
        <v>0</v>
      </c>
      <c r="Q12" s="62" cm="1">
        <f t="array" ref="Q12">INDEX(tblPrices[cv_2022], MATCH(tblEnterpriseUnits[[#This Row],[Products]],tblPrices[Products],0), 0)* tblEnterpriseUnits[[#This Row],[cv_2022]]/10^6</f>
        <v>0</v>
      </c>
      <c r="R12" s="62" cm="1">
        <f t="array" ref="R12">INDEX(tblPrices[cv_2023], MATCH(tblEnterpriseUnits[[#This Row],[Products]],tblPrices[Products],0), 0)* tblEnterpriseUnits[[#This Row],[cv_2023]]/10^6</f>
        <v>0</v>
      </c>
      <c r="S12" s="62" cm="1">
        <f t="array" ref="S12">INDEX(tblPrices[cv_2024], MATCH(tblEnterpriseUnits[[#This Row],[Products]],tblPrices[Products],0), 0)* tblEnterpriseUnits[[#This Row],[cv_2024]]/10^6</f>
        <v>0</v>
      </c>
      <c r="T12" s="62" cm="1">
        <f t="array" ref="T12">INDEX(tblPrices[cv_2025], MATCH(tblEnterpriseUnits[[#This Row],[Products]],tblPrices[Products],0), 0)* tblEnterpriseUnits[[#This Row],[cv_2025]]/10^6</f>
        <v>0</v>
      </c>
      <c r="U12" s="62" cm="1">
        <f t="array" ref="U12">INDEX(tblPrices[cv_2026], MATCH(tblEnterpriseUnits[[#This Row],[Products]],tblPrices[Products],0), 0)* tblEnterpriseUnits[[#This Row],[cv_2026]]/10^6</f>
        <v>0</v>
      </c>
      <c r="V12" s="62" cm="1">
        <f t="array" ref="V12">INDEX(tblPrices[cv_2027], MATCH(tblEnterpriseUnits[[#This Row],[Products]],tblPrices[Products],0), 0)* tblEnterpriseUnits[[#This Row],[cv_2027]]/10^6</f>
        <v>0</v>
      </c>
      <c r="W12" s="62" cm="1">
        <f t="array" ref="W12">INDEX(tblPrices[cv_2028], MATCH(tblEnterpriseUnits[[#This Row],[Products]],tblPrices[Products],0), 0)* tblEnterpriseUnits[[#This Row],[cv_2028]]/10^6</f>
        <v>0</v>
      </c>
      <c r="X12" s="1">
        <v>1</v>
      </c>
    </row>
    <row r="13" spans="1:24" s="1" customFormat="1" ht="13.15">
      <c r="A13" s="9" t="s">
        <v>151</v>
      </c>
      <c r="B13" s="8">
        <v>508066.5</v>
      </c>
      <c r="C13" s="8">
        <v>426121.5</v>
      </c>
      <c r="D13" s="8"/>
      <c r="E13" s="8"/>
      <c r="F13" s="8"/>
      <c r="G13" s="8"/>
      <c r="H13" s="8"/>
      <c r="I13" s="8"/>
      <c r="J13" s="8"/>
      <c r="K13" s="8"/>
      <c r="L13" s="8"/>
      <c r="M13" s="62" cm="1">
        <f t="array" ref="M13">INDEX(tblPrices[cv_2018], MATCH(tblEnterpriseUnits[[#This Row],[Products]],tblPrices[Products],0), 0)* tblEnterpriseUnits[[#This Row],[cv_2018]]/10^6</f>
        <v>5.7695740000000004</v>
      </c>
      <c r="N13" s="62" cm="1">
        <f t="array" ref="N13">INDEX(tblPrices[cv_2019], MATCH(tblEnterpriseUnits[[#This Row],[Products]],tblPrices[Products],0), 0)* tblEnterpriseUnits[[#This Row],[cv_2019]]/10^6</f>
        <v>2.8713426698802147</v>
      </c>
      <c r="O13" s="62" cm="1">
        <f t="array" ref="O13">INDEX(tblPrices[cv_2020], MATCH(tblEnterpriseUnits[[#This Row],[Products]],tblPrices[Products],0), 0)* tblEnterpriseUnits[[#This Row],[cv_2020]]/10^6</f>
        <v>0</v>
      </c>
      <c r="P13" s="62" cm="1">
        <f t="array" ref="P13">INDEX(tblPrices[cv_2021], MATCH(tblEnterpriseUnits[[#This Row],[Products]],tblPrices[Products],0), 0)* tblEnterpriseUnits[[#This Row],[cv_2021]]/10^6</f>
        <v>0</v>
      </c>
      <c r="Q13" s="62" cm="1">
        <f t="array" ref="Q13">INDEX(tblPrices[cv_2022], MATCH(tblEnterpriseUnits[[#This Row],[Products]],tblPrices[Products],0), 0)* tblEnterpriseUnits[[#This Row],[cv_2022]]/10^6</f>
        <v>0</v>
      </c>
      <c r="R13" s="62" cm="1">
        <f t="array" ref="R13">INDEX(tblPrices[cv_2023], MATCH(tblEnterpriseUnits[[#This Row],[Products]],tblPrices[Products],0), 0)* tblEnterpriseUnits[[#This Row],[cv_2023]]/10^6</f>
        <v>0</v>
      </c>
      <c r="S13" s="62" cm="1">
        <f t="array" ref="S13">INDEX(tblPrices[cv_2024], MATCH(tblEnterpriseUnits[[#This Row],[Products]],tblPrices[Products],0), 0)* tblEnterpriseUnits[[#This Row],[cv_2024]]/10^6</f>
        <v>0</v>
      </c>
      <c r="T13" s="62" cm="1">
        <f t="array" ref="T13">INDEX(tblPrices[cv_2025], MATCH(tblEnterpriseUnits[[#This Row],[Products]],tblPrices[Products],0), 0)* tblEnterpriseUnits[[#This Row],[cv_2025]]/10^6</f>
        <v>0</v>
      </c>
      <c r="U13" s="62" cm="1">
        <f t="array" ref="U13">INDEX(tblPrices[cv_2026], MATCH(tblEnterpriseUnits[[#This Row],[Products]],tblPrices[Products],0), 0)* tblEnterpriseUnits[[#This Row],[cv_2026]]/10^6</f>
        <v>0</v>
      </c>
      <c r="V13" s="62" cm="1">
        <f t="array" ref="V13">INDEX(tblPrices[cv_2027], MATCH(tblEnterpriseUnits[[#This Row],[Products]],tblPrices[Products],0), 0)* tblEnterpriseUnits[[#This Row],[cv_2027]]/10^6</f>
        <v>0</v>
      </c>
      <c r="W13" s="62" cm="1">
        <f t="array" ref="W13">INDEX(tblPrices[cv_2028], MATCH(tblEnterpriseUnits[[#This Row],[Products]],tblPrices[Products],0), 0)* tblEnterpriseUnits[[#This Row],[cv_2028]]/10^6</f>
        <v>0</v>
      </c>
      <c r="X13" s="1">
        <v>1</v>
      </c>
    </row>
    <row r="14" spans="1:24" s="1" customFormat="1" ht="13.15">
      <c r="A14" s="9" t="s">
        <v>152</v>
      </c>
      <c r="B14" s="8">
        <v>0</v>
      </c>
      <c r="C14" s="8">
        <v>0</v>
      </c>
      <c r="D14" s="8"/>
      <c r="E14" s="8"/>
      <c r="F14" s="8"/>
      <c r="G14" s="8"/>
      <c r="H14" s="8"/>
      <c r="I14" s="8"/>
      <c r="J14" s="8"/>
      <c r="K14" s="8"/>
      <c r="L14" s="8"/>
      <c r="M14" s="62" cm="1">
        <f t="array" ref="M14">INDEX(tblPrices[cv_2018], MATCH(tblEnterpriseUnits[[#This Row],[Products]],tblPrices[Products],0), 0)* tblEnterpriseUnits[[#This Row],[cv_2018]]/10^6</f>
        <v>0</v>
      </c>
      <c r="N14" s="62" cm="1">
        <f t="array" ref="N14">INDEX(tblPrices[cv_2019], MATCH(tblEnterpriseUnits[[#This Row],[Products]],tblPrices[Products],0), 0)* tblEnterpriseUnits[[#This Row],[cv_2019]]/10^6</f>
        <v>0</v>
      </c>
      <c r="O14" s="62" cm="1">
        <f t="array" ref="O14">INDEX(tblPrices[cv_2020], MATCH(tblEnterpriseUnits[[#This Row],[Products]],tblPrices[Products],0), 0)* tblEnterpriseUnits[[#This Row],[cv_2020]]/10^6</f>
        <v>0</v>
      </c>
      <c r="P14" s="62" cm="1">
        <f t="array" ref="P14">INDEX(tblPrices[cv_2021], MATCH(tblEnterpriseUnits[[#This Row],[Products]],tblPrices[Products],0), 0)* tblEnterpriseUnits[[#This Row],[cv_2021]]/10^6</f>
        <v>0</v>
      </c>
      <c r="Q14" s="62" cm="1">
        <f t="array" ref="Q14">INDEX(tblPrices[cv_2022], MATCH(tblEnterpriseUnits[[#This Row],[Products]],tblPrices[Products],0), 0)* tblEnterpriseUnits[[#This Row],[cv_2022]]/10^6</f>
        <v>0</v>
      </c>
      <c r="R14" s="62" cm="1">
        <f t="array" ref="R14">INDEX(tblPrices[cv_2023], MATCH(tblEnterpriseUnits[[#This Row],[Products]],tblPrices[Products],0), 0)* tblEnterpriseUnits[[#This Row],[cv_2023]]/10^6</f>
        <v>0</v>
      </c>
      <c r="S14" s="62" cm="1">
        <f t="array" ref="S14">INDEX(tblPrices[cv_2024], MATCH(tblEnterpriseUnits[[#This Row],[Products]],tblPrices[Products],0), 0)* tblEnterpriseUnits[[#This Row],[cv_2024]]/10^6</f>
        <v>0</v>
      </c>
      <c r="T14" s="62" cm="1">
        <f t="array" ref="T14">INDEX(tblPrices[cv_2025], MATCH(tblEnterpriseUnits[[#This Row],[Products]],tblPrices[Products],0), 0)* tblEnterpriseUnits[[#This Row],[cv_2025]]/10^6</f>
        <v>0</v>
      </c>
      <c r="U14" s="62" cm="1">
        <f t="array" ref="U14">INDEX(tblPrices[cv_2026], MATCH(tblEnterpriseUnits[[#This Row],[Products]],tblPrices[Products],0), 0)* tblEnterpriseUnits[[#This Row],[cv_2026]]/10^6</f>
        <v>0</v>
      </c>
      <c r="V14" s="62" cm="1">
        <f t="array" ref="V14">INDEX(tblPrices[cv_2027], MATCH(tblEnterpriseUnits[[#This Row],[Products]],tblPrices[Products],0), 0)* tblEnterpriseUnits[[#This Row],[cv_2027]]/10^6</f>
        <v>0</v>
      </c>
      <c r="W14" s="62" cm="1">
        <f t="array" ref="W14">INDEX(tblPrices[cv_2028], MATCH(tblEnterpriseUnits[[#This Row],[Products]],tblPrices[Products],0), 0)* tblEnterpriseUnits[[#This Row],[cv_2028]]/10^6</f>
        <v>0</v>
      </c>
      <c r="X14" s="1">
        <v>1</v>
      </c>
    </row>
    <row r="15" spans="1:24" s="1" customFormat="1" ht="13.15">
      <c r="A15" s="9" t="s">
        <v>153</v>
      </c>
      <c r="B15" s="8">
        <v>0</v>
      </c>
      <c r="C15" s="8">
        <v>0</v>
      </c>
      <c r="D15" s="8"/>
      <c r="E15" s="8"/>
      <c r="F15" s="8"/>
      <c r="G15" s="8"/>
      <c r="H15" s="8"/>
      <c r="I15" s="8"/>
      <c r="J15" s="8"/>
      <c r="K15" s="8"/>
      <c r="L15" s="8"/>
      <c r="M15" s="62" cm="1">
        <f t="array" ref="M15">INDEX(tblPrices[cv_2018], MATCH(tblEnterpriseUnits[[#This Row],[Products]],tblPrices[Products],0), 0)* tblEnterpriseUnits[[#This Row],[cv_2018]]/10^6</f>
        <v>0</v>
      </c>
      <c r="N15" s="62" cm="1">
        <f t="array" ref="N15">INDEX(tblPrices[cv_2019], MATCH(tblEnterpriseUnits[[#This Row],[Products]],tblPrices[Products],0), 0)* tblEnterpriseUnits[[#This Row],[cv_2019]]/10^6</f>
        <v>0</v>
      </c>
      <c r="O15" s="62" cm="1">
        <f t="array" ref="O15">INDEX(tblPrices[cv_2020], MATCH(tblEnterpriseUnits[[#This Row],[Products]],tblPrices[Products],0), 0)* tblEnterpriseUnits[[#This Row],[cv_2020]]/10^6</f>
        <v>0</v>
      </c>
      <c r="P15" s="62" cm="1">
        <f t="array" ref="P15">INDEX(tblPrices[cv_2021], MATCH(tblEnterpriseUnits[[#This Row],[Products]],tblPrices[Products],0), 0)* tblEnterpriseUnits[[#This Row],[cv_2021]]/10^6</f>
        <v>0</v>
      </c>
      <c r="Q15" s="62" cm="1">
        <f t="array" ref="Q15">INDEX(tblPrices[cv_2022], MATCH(tblEnterpriseUnits[[#This Row],[Products]],tblPrices[Products],0), 0)* tblEnterpriseUnits[[#This Row],[cv_2022]]/10^6</f>
        <v>0</v>
      </c>
      <c r="R15" s="62" cm="1">
        <f t="array" ref="R15">INDEX(tblPrices[cv_2023], MATCH(tblEnterpriseUnits[[#This Row],[Products]],tblPrices[Products],0), 0)* tblEnterpriseUnits[[#This Row],[cv_2023]]/10^6</f>
        <v>0</v>
      </c>
      <c r="S15" s="62" cm="1">
        <f t="array" ref="S15">INDEX(tblPrices[cv_2024], MATCH(tblEnterpriseUnits[[#This Row],[Products]],tblPrices[Products],0), 0)* tblEnterpriseUnits[[#This Row],[cv_2024]]/10^6</f>
        <v>0</v>
      </c>
      <c r="T15" s="62" cm="1">
        <f t="array" ref="T15">INDEX(tblPrices[cv_2025], MATCH(tblEnterpriseUnits[[#This Row],[Products]],tblPrices[Products],0), 0)* tblEnterpriseUnits[[#This Row],[cv_2025]]/10^6</f>
        <v>0</v>
      </c>
      <c r="U15" s="62" cm="1">
        <f t="array" ref="U15">INDEX(tblPrices[cv_2026], MATCH(tblEnterpriseUnits[[#This Row],[Products]],tblPrices[Products],0), 0)* tblEnterpriseUnits[[#This Row],[cv_2026]]/10^6</f>
        <v>0</v>
      </c>
      <c r="V15" s="62" cm="1">
        <f t="array" ref="V15">INDEX(tblPrices[cv_2027], MATCH(tblEnterpriseUnits[[#This Row],[Products]],tblPrices[Products],0), 0)* tblEnterpriseUnits[[#This Row],[cv_2027]]/10^6</f>
        <v>0</v>
      </c>
      <c r="W15" s="62" cm="1">
        <f t="array" ref="W15">INDEX(tblPrices[cv_2028], MATCH(tblEnterpriseUnits[[#This Row],[Products]],tblPrices[Products],0), 0)* tblEnterpriseUnits[[#This Row],[cv_2028]]/10^6</f>
        <v>0</v>
      </c>
      <c r="X15" s="1">
        <v>1</v>
      </c>
    </row>
    <row r="16" spans="1:24" s="1" customFormat="1" ht="13.15">
      <c r="A16" s="9" t="s">
        <v>154</v>
      </c>
      <c r="B16" s="8">
        <v>55887</v>
      </c>
      <c r="C16" s="8">
        <v>25923</v>
      </c>
      <c r="D16" s="8"/>
      <c r="E16" s="8"/>
      <c r="F16" s="8"/>
      <c r="G16" s="8"/>
      <c r="H16" s="8"/>
      <c r="I16" s="8"/>
      <c r="J16" s="8"/>
      <c r="K16" s="8"/>
      <c r="L16" s="8"/>
      <c r="M16" s="62" cm="1">
        <f t="array" ref="M16">INDEX(tblPrices[cv_2018], MATCH(tblEnterpriseUnits[[#This Row],[Products]],tblPrices[Products],0), 0)* tblEnterpriseUnits[[#This Row],[cv_2018]]/10^6</f>
        <v>3.0100636000000005</v>
      </c>
      <c r="N16" s="62" cm="1">
        <f t="array" ref="N16">INDEX(tblPrices[cv_2019], MATCH(tblEnterpriseUnits[[#This Row],[Products]],tblPrices[Products],0), 0)* tblEnterpriseUnits[[#This Row],[cv_2019]]/10^6</f>
        <v>1.3140539999999998</v>
      </c>
      <c r="O16" s="62" cm="1">
        <f t="array" ref="O16">INDEX(tblPrices[cv_2020], MATCH(tblEnterpriseUnits[[#This Row],[Products]],tblPrices[Products],0), 0)* tblEnterpriseUnits[[#This Row],[cv_2020]]/10^6</f>
        <v>0</v>
      </c>
      <c r="P16" s="62" cm="1">
        <f t="array" ref="P16">INDEX(tblPrices[cv_2021], MATCH(tblEnterpriseUnits[[#This Row],[Products]],tblPrices[Products],0), 0)* tblEnterpriseUnits[[#This Row],[cv_2021]]/10^6</f>
        <v>0</v>
      </c>
      <c r="Q16" s="62" cm="1">
        <f t="array" ref="Q16">INDEX(tblPrices[cv_2022], MATCH(tblEnterpriseUnits[[#This Row],[Products]],tblPrices[Products],0), 0)* tblEnterpriseUnits[[#This Row],[cv_2022]]/10^6</f>
        <v>0</v>
      </c>
      <c r="R16" s="62" cm="1">
        <f t="array" ref="R16">INDEX(tblPrices[cv_2023], MATCH(tblEnterpriseUnits[[#This Row],[Products]],tblPrices[Products],0), 0)* tblEnterpriseUnits[[#This Row],[cv_2023]]/10^6</f>
        <v>0</v>
      </c>
      <c r="S16" s="62" cm="1">
        <f t="array" ref="S16">INDEX(tblPrices[cv_2024], MATCH(tblEnterpriseUnits[[#This Row],[Products]],tblPrices[Products],0), 0)* tblEnterpriseUnits[[#This Row],[cv_2024]]/10^6</f>
        <v>0</v>
      </c>
      <c r="T16" s="62" cm="1">
        <f t="array" ref="T16">INDEX(tblPrices[cv_2025], MATCH(tblEnterpriseUnits[[#This Row],[Products]],tblPrices[Products],0), 0)* tblEnterpriseUnits[[#This Row],[cv_2025]]/10^6</f>
        <v>0</v>
      </c>
      <c r="U16" s="62" cm="1">
        <f t="array" ref="U16">INDEX(tblPrices[cv_2026], MATCH(tblEnterpriseUnits[[#This Row],[Products]],tblPrices[Products],0), 0)* tblEnterpriseUnits[[#This Row],[cv_2026]]/10^6</f>
        <v>0</v>
      </c>
      <c r="V16" s="62" cm="1">
        <f t="array" ref="V16">INDEX(tblPrices[cv_2027], MATCH(tblEnterpriseUnits[[#This Row],[Products]],tblPrices[Products],0), 0)* tblEnterpriseUnits[[#This Row],[cv_2027]]/10^6</f>
        <v>0</v>
      </c>
      <c r="W16" s="62" cm="1">
        <f t="array" ref="W16">INDEX(tblPrices[cv_2028], MATCH(tblEnterpriseUnits[[#This Row],[Products]],tblPrices[Products],0), 0)* tblEnterpriseUnits[[#This Row],[cv_2028]]/10^6</f>
        <v>0</v>
      </c>
      <c r="X16" s="1">
        <v>10</v>
      </c>
    </row>
    <row r="17" spans="1:24" s="1" customFormat="1" ht="13.15">
      <c r="A17" s="9" t="s">
        <v>155</v>
      </c>
      <c r="B17" s="8">
        <v>7180143.9841816463</v>
      </c>
      <c r="C17" s="8">
        <v>9777076.1942345984</v>
      </c>
      <c r="D17" s="8"/>
      <c r="E17" s="8"/>
      <c r="F17" s="8"/>
      <c r="G17" s="8"/>
      <c r="H17" s="8"/>
      <c r="I17" s="8"/>
      <c r="J17" s="8"/>
      <c r="K17" s="8"/>
      <c r="L17" s="8"/>
      <c r="M17" s="62" cm="1">
        <f t="array" ref="M17">INDEX(tblPrices[cv_2018], MATCH(tblEnterpriseUnits[[#This Row],[Products]],tblPrices[Products],0), 0)* tblEnterpriseUnits[[#This Row],[cv_2018]]/10^6</f>
        <v>92.430851407540558</v>
      </c>
      <c r="N17" s="62" cm="1">
        <f t="array" ref="N17">INDEX(tblPrices[cv_2019], MATCH(tblEnterpriseUnits[[#This Row],[Products]],tblPrices[Products],0), 0)* tblEnterpriseUnits[[#This Row],[cv_2019]]/10^6</f>
        <v>116.36587194348563</v>
      </c>
      <c r="O17" s="62" cm="1">
        <f t="array" ref="O17">INDEX(tblPrices[cv_2020], MATCH(tblEnterpriseUnits[[#This Row],[Products]],tblPrices[Products],0), 0)* tblEnterpriseUnits[[#This Row],[cv_2020]]/10^6</f>
        <v>0</v>
      </c>
      <c r="P17" s="62" cm="1">
        <f t="array" ref="P17">INDEX(tblPrices[cv_2021], MATCH(tblEnterpriseUnits[[#This Row],[Products]],tblPrices[Products],0), 0)* tblEnterpriseUnits[[#This Row],[cv_2021]]/10^6</f>
        <v>0</v>
      </c>
      <c r="Q17" s="62" cm="1">
        <f t="array" ref="Q17">INDEX(tblPrices[cv_2022], MATCH(tblEnterpriseUnits[[#This Row],[Products]],tblPrices[Products],0), 0)* tblEnterpriseUnits[[#This Row],[cv_2022]]/10^6</f>
        <v>0</v>
      </c>
      <c r="R17" s="62" cm="1">
        <f t="array" ref="R17">INDEX(tblPrices[cv_2023], MATCH(tblEnterpriseUnits[[#This Row],[Products]],tblPrices[Products],0), 0)* tblEnterpriseUnits[[#This Row],[cv_2023]]/10^6</f>
        <v>0</v>
      </c>
      <c r="S17" s="62" cm="1">
        <f t="array" ref="S17">INDEX(tblPrices[cv_2024], MATCH(tblEnterpriseUnits[[#This Row],[Products]],tblPrices[Products],0), 0)* tblEnterpriseUnits[[#This Row],[cv_2024]]/10^6</f>
        <v>0</v>
      </c>
      <c r="T17" s="62" cm="1">
        <f t="array" ref="T17">INDEX(tblPrices[cv_2025], MATCH(tblEnterpriseUnits[[#This Row],[Products]],tblPrices[Products],0), 0)* tblEnterpriseUnits[[#This Row],[cv_2025]]/10^6</f>
        <v>0</v>
      </c>
      <c r="U17" s="62" cm="1">
        <f t="array" ref="U17">INDEX(tblPrices[cv_2026], MATCH(tblEnterpriseUnits[[#This Row],[Products]],tblPrices[Products],0), 0)* tblEnterpriseUnits[[#This Row],[cv_2026]]/10^6</f>
        <v>0</v>
      </c>
      <c r="V17" s="62" cm="1">
        <f t="array" ref="V17">INDEX(tblPrices[cv_2027], MATCH(tblEnterpriseUnits[[#This Row],[Products]],tblPrices[Products],0), 0)* tblEnterpriseUnits[[#This Row],[cv_2027]]/10^6</f>
        <v>0</v>
      </c>
      <c r="W17" s="62" cm="1">
        <f t="array" ref="W17">INDEX(tblPrices[cv_2028], MATCH(tblEnterpriseUnits[[#This Row],[Products]],tblPrices[Products],0), 0)* tblEnterpriseUnits[[#This Row],[cv_2028]]/10^6</f>
        <v>0</v>
      </c>
      <c r="X17" s="1">
        <v>10</v>
      </c>
    </row>
    <row r="18" spans="1:24" s="1" customFormat="1" ht="13.15">
      <c r="A18" s="9" t="s">
        <v>156</v>
      </c>
      <c r="B18" s="8">
        <v>97170</v>
      </c>
      <c r="C18" s="8">
        <v>51018</v>
      </c>
      <c r="D18" s="8"/>
      <c r="E18" s="8"/>
      <c r="F18" s="8"/>
      <c r="G18" s="8"/>
      <c r="H18" s="8"/>
      <c r="I18" s="8"/>
      <c r="J18" s="8"/>
      <c r="K18" s="8"/>
      <c r="L18" s="8"/>
      <c r="M18" s="62" cm="1">
        <f t="array" ref="M18">INDEX(tblPrices[cv_2018], MATCH(tblEnterpriseUnits[[#This Row],[Products]],tblPrices[Products],0), 0)* tblEnterpriseUnits[[#This Row],[cv_2018]]/10^6</f>
        <v>6.0782330000000009</v>
      </c>
      <c r="N18" s="62" cm="1">
        <f t="array" ref="N18">INDEX(tblPrices[cv_2019], MATCH(tblEnterpriseUnits[[#This Row],[Products]],tblPrices[Products],0), 0)* tblEnterpriseUnits[[#This Row],[cv_2019]]/10^6</f>
        <v>3.0412609999999995</v>
      </c>
      <c r="O18" s="62" cm="1">
        <f t="array" ref="O18">INDEX(tblPrices[cv_2020], MATCH(tblEnterpriseUnits[[#This Row],[Products]],tblPrices[Products],0), 0)* tblEnterpriseUnits[[#This Row],[cv_2020]]/10^6</f>
        <v>0</v>
      </c>
      <c r="P18" s="62" cm="1">
        <f t="array" ref="P18">INDEX(tblPrices[cv_2021], MATCH(tblEnterpriseUnits[[#This Row],[Products]],tblPrices[Products],0), 0)* tblEnterpriseUnits[[#This Row],[cv_2021]]/10^6</f>
        <v>0</v>
      </c>
      <c r="Q18" s="62" cm="1">
        <f t="array" ref="Q18">INDEX(tblPrices[cv_2022], MATCH(tblEnterpriseUnits[[#This Row],[Products]],tblPrices[Products],0), 0)* tblEnterpriseUnits[[#This Row],[cv_2022]]/10^6</f>
        <v>0</v>
      </c>
      <c r="R18" s="62" cm="1">
        <f t="array" ref="R18">INDEX(tblPrices[cv_2023], MATCH(tblEnterpriseUnits[[#This Row],[Products]],tblPrices[Products],0), 0)* tblEnterpriseUnits[[#This Row],[cv_2023]]/10^6</f>
        <v>0</v>
      </c>
      <c r="S18" s="62" cm="1">
        <f t="array" ref="S18">INDEX(tblPrices[cv_2024], MATCH(tblEnterpriseUnits[[#This Row],[Products]],tblPrices[Products],0), 0)* tblEnterpriseUnits[[#This Row],[cv_2024]]/10^6</f>
        <v>0</v>
      </c>
      <c r="T18" s="62" cm="1">
        <f t="array" ref="T18">INDEX(tblPrices[cv_2025], MATCH(tblEnterpriseUnits[[#This Row],[Products]],tblPrices[Products],0), 0)* tblEnterpriseUnits[[#This Row],[cv_2025]]/10^6</f>
        <v>0</v>
      </c>
      <c r="U18" s="62" cm="1">
        <f t="array" ref="U18">INDEX(tblPrices[cv_2026], MATCH(tblEnterpriseUnits[[#This Row],[Products]],tblPrices[Products],0), 0)* tblEnterpriseUnits[[#This Row],[cv_2026]]/10^6</f>
        <v>0</v>
      </c>
      <c r="V18" s="62" cm="1">
        <f t="array" ref="V18">INDEX(tblPrices[cv_2027], MATCH(tblEnterpriseUnits[[#This Row],[Products]],tblPrices[Products],0), 0)* tblEnterpriseUnits[[#This Row],[cv_2027]]/10^6</f>
        <v>0</v>
      </c>
      <c r="W18" s="62" cm="1">
        <f t="array" ref="W18">INDEX(tblPrices[cv_2028], MATCH(tblEnterpriseUnits[[#This Row],[Products]],tblPrices[Products],0), 0)* tblEnterpriseUnits[[#This Row],[cv_2028]]/10^6</f>
        <v>0</v>
      </c>
      <c r="X18" s="1">
        <v>10</v>
      </c>
    </row>
    <row r="19" spans="1:24" s="1" customFormat="1" ht="13.15">
      <c r="A19" s="9" t="s">
        <v>157</v>
      </c>
      <c r="B19" s="8">
        <v>59521.200000000012</v>
      </c>
      <c r="C19" s="8">
        <v>57220.500000000007</v>
      </c>
      <c r="D19" s="8"/>
      <c r="E19" s="8"/>
      <c r="F19" s="8"/>
      <c r="G19" s="8"/>
      <c r="H19" s="8"/>
      <c r="I19" s="8"/>
      <c r="J19" s="8"/>
      <c r="K19" s="8"/>
      <c r="L19" s="8"/>
      <c r="M19" s="62" cm="1">
        <f t="array" ref="M19">INDEX(tblPrices[cv_2018], MATCH(tblEnterpriseUnits[[#This Row],[Products]],tblPrices[Products],0), 0)* tblEnterpriseUnits[[#This Row],[cv_2018]]/10^6</f>
        <v>2.619709229472758</v>
      </c>
      <c r="N19" s="62" cm="1">
        <f t="array" ref="N19">INDEX(tblPrices[cv_2019], MATCH(tblEnterpriseUnits[[#This Row],[Products]],tblPrices[Products],0), 0)* tblEnterpriseUnits[[#This Row],[cv_2019]]/10^6</f>
        <v>2.3460405000000004</v>
      </c>
      <c r="O19" s="62" cm="1">
        <f t="array" ref="O19">INDEX(tblPrices[cv_2020], MATCH(tblEnterpriseUnits[[#This Row],[Products]],tblPrices[Products],0), 0)* tblEnterpriseUnits[[#This Row],[cv_2020]]/10^6</f>
        <v>0</v>
      </c>
      <c r="P19" s="62" cm="1">
        <f t="array" ref="P19">INDEX(tblPrices[cv_2021], MATCH(tblEnterpriseUnits[[#This Row],[Products]],tblPrices[Products],0), 0)* tblEnterpriseUnits[[#This Row],[cv_2021]]/10^6</f>
        <v>0</v>
      </c>
      <c r="Q19" s="62" cm="1">
        <f t="array" ref="Q19">INDEX(tblPrices[cv_2022], MATCH(tblEnterpriseUnits[[#This Row],[Products]],tblPrices[Products],0), 0)* tblEnterpriseUnits[[#This Row],[cv_2022]]/10^6</f>
        <v>0</v>
      </c>
      <c r="R19" s="62" cm="1">
        <f t="array" ref="R19">INDEX(tblPrices[cv_2023], MATCH(tblEnterpriseUnits[[#This Row],[Products]],tblPrices[Products],0), 0)* tblEnterpriseUnits[[#This Row],[cv_2023]]/10^6</f>
        <v>0</v>
      </c>
      <c r="S19" s="62" cm="1">
        <f t="array" ref="S19">INDEX(tblPrices[cv_2024], MATCH(tblEnterpriseUnits[[#This Row],[Products]],tblPrices[Products],0), 0)* tblEnterpriseUnits[[#This Row],[cv_2024]]/10^6</f>
        <v>0</v>
      </c>
      <c r="T19" s="62" cm="1">
        <f t="array" ref="T19">INDEX(tblPrices[cv_2025], MATCH(tblEnterpriseUnits[[#This Row],[Products]],tblPrices[Products],0), 0)* tblEnterpriseUnits[[#This Row],[cv_2025]]/10^6</f>
        <v>0</v>
      </c>
      <c r="U19" s="62" cm="1">
        <f t="array" ref="U19">INDEX(tblPrices[cv_2026], MATCH(tblEnterpriseUnits[[#This Row],[Products]],tblPrices[Products],0), 0)* tblEnterpriseUnits[[#This Row],[cv_2026]]/10^6</f>
        <v>0</v>
      </c>
      <c r="V19" s="62" cm="1">
        <f t="array" ref="V19">INDEX(tblPrices[cv_2027], MATCH(tblEnterpriseUnits[[#This Row],[Products]],tblPrices[Products],0), 0)* tblEnterpriseUnits[[#This Row],[cv_2027]]/10^6</f>
        <v>0</v>
      </c>
      <c r="W19" s="62" cm="1">
        <f t="array" ref="W19">INDEX(tblPrices[cv_2028], MATCH(tblEnterpriseUnits[[#This Row],[Products]],tblPrices[Products],0), 0)* tblEnterpriseUnits[[#This Row],[cv_2028]]/10^6</f>
        <v>0</v>
      </c>
      <c r="X19" s="1">
        <v>10</v>
      </c>
    </row>
    <row r="20" spans="1:24" s="1" customFormat="1" ht="13.15">
      <c r="A20" s="9" t="s">
        <v>158</v>
      </c>
      <c r="B20" s="8">
        <v>4619535.290000001</v>
      </c>
      <c r="C20" s="8">
        <v>3663821.8560000006</v>
      </c>
      <c r="D20" s="8"/>
      <c r="E20" s="8"/>
      <c r="F20" s="8"/>
      <c r="G20" s="8"/>
      <c r="H20" s="8"/>
      <c r="I20" s="8"/>
      <c r="J20" s="8"/>
      <c r="K20" s="8"/>
      <c r="L20" s="8"/>
      <c r="M20" s="62" cm="1">
        <f t="array" ref="M20">INDEX(tblPrices[cv_2018], MATCH(tblEnterpriseUnits[[#This Row],[Products]],tblPrices[Products],0), 0)* tblEnterpriseUnits[[#This Row],[cv_2018]]/10^6</f>
        <v>111.67503464391402</v>
      </c>
      <c r="N20" s="62" cm="1">
        <f t="array" ref="N20">INDEX(tblPrices[cv_2019], MATCH(tblEnterpriseUnits[[#This Row],[Products]],tblPrices[Products],0), 0)* tblEnterpriseUnits[[#This Row],[cv_2019]]/10^6</f>
        <v>79.23821868992782</v>
      </c>
      <c r="O20" s="62" cm="1">
        <f t="array" ref="O20">INDEX(tblPrices[cv_2020], MATCH(tblEnterpriseUnits[[#This Row],[Products]],tblPrices[Products],0), 0)* tblEnterpriseUnits[[#This Row],[cv_2020]]/10^6</f>
        <v>0</v>
      </c>
      <c r="P20" s="62" cm="1">
        <f t="array" ref="P20">INDEX(tblPrices[cv_2021], MATCH(tblEnterpriseUnits[[#This Row],[Products]],tblPrices[Products],0), 0)* tblEnterpriseUnits[[#This Row],[cv_2021]]/10^6</f>
        <v>0</v>
      </c>
      <c r="Q20" s="62" cm="1">
        <f t="array" ref="Q20">INDEX(tblPrices[cv_2022], MATCH(tblEnterpriseUnits[[#This Row],[Products]],tblPrices[Products],0), 0)* tblEnterpriseUnits[[#This Row],[cv_2022]]/10^6</f>
        <v>0</v>
      </c>
      <c r="R20" s="62" cm="1">
        <f t="array" ref="R20">INDEX(tblPrices[cv_2023], MATCH(tblEnterpriseUnits[[#This Row],[Products]],tblPrices[Products],0), 0)* tblEnterpriseUnits[[#This Row],[cv_2023]]/10^6</f>
        <v>0</v>
      </c>
      <c r="S20" s="62" cm="1">
        <f t="array" ref="S20">INDEX(tblPrices[cv_2024], MATCH(tblEnterpriseUnits[[#This Row],[Products]],tblPrices[Products],0), 0)* tblEnterpriseUnits[[#This Row],[cv_2024]]/10^6</f>
        <v>0</v>
      </c>
      <c r="T20" s="62" cm="1">
        <f t="array" ref="T20">INDEX(tblPrices[cv_2025], MATCH(tblEnterpriseUnits[[#This Row],[Products]],tblPrices[Products],0), 0)* tblEnterpriseUnits[[#This Row],[cv_2025]]/10^6</f>
        <v>0</v>
      </c>
      <c r="U20" s="62" cm="1">
        <f t="array" ref="U20">INDEX(tblPrices[cv_2026], MATCH(tblEnterpriseUnits[[#This Row],[Products]],tblPrices[Products],0), 0)* tblEnterpriseUnits[[#This Row],[cv_2026]]/10^6</f>
        <v>0</v>
      </c>
      <c r="V20" s="62" cm="1">
        <f t="array" ref="V20">INDEX(tblPrices[cv_2027], MATCH(tblEnterpriseUnits[[#This Row],[Products]],tblPrices[Products],0), 0)* tblEnterpriseUnits[[#This Row],[cv_2027]]/10^6</f>
        <v>0</v>
      </c>
      <c r="W20" s="62" cm="1">
        <f t="array" ref="W20">INDEX(tblPrices[cv_2028], MATCH(tblEnterpriseUnits[[#This Row],[Products]],tblPrices[Products],0), 0)* tblEnterpriseUnits[[#This Row],[cv_2028]]/10^6</f>
        <v>0</v>
      </c>
      <c r="X20" s="1">
        <v>10</v>
      </c>
    </row>
    <row r="21" spans="1:24" s="1" customFormat="1" ht="13.15">
      <c r="A21" s="9" t="s">
        <v>159</v>
      </c>
      <c r="B21" s="8">
        <v>0</v>
      </c>
      <c r="C21" s="8">
        <v>0</v>
      </c>
      <c r="D21" s="8"/>
      <c r="E21" s="8"/>
      <c r="F21" s="8"/>
      <c r="G21" s="8"/>
      <c r="H21" s="8"/>
      <c r="I21" s="8"/>
      <c r="J21" s="8"/>
      <c r="K21" s="8"/>
      <c r="L21" s="8"/>
      <c r="M21" s="62" cm="1">
        <f t="array" ref="M21">INDEX(tblPrices[cv_2018], MATCH(tblEnterpriseUnits[[#This Row],[Products]],tblPrices[Products],0), 0)* tblEnterpriseUnits[[#This Row],[cv_2018]]/10^6</f>
        <v>0</v>
      </c>
      <c r="N21" s="62" cm="1">
        <f t="array" ref="N21">INDEX(tblPrices[cv_2019], MATCH(tblEnterpriseUnits[[#This Row],[Products]],tblPrices[Products],0), 0)* tblEnterpriseUnits[[#This Row],[cv_2019]]/10^6</f>
        <v>0</v>
      </c>
      <c r="O21" s="62" cm="1">
        <f t="array" ref="O21">INDEX(tblPrices[cv_2020], MATCH(tblEnterpriseUnits[[#This Row],[Products]],tblPrices[Products],0), 0)* tblEnterpriseUnits[[#This Row],[cv_2020]]/10^6</f>
        <v>0</v>
      </c>
      <c r="P21" s="62" cm="1">
        <f t="array" ref="P21">INDEX(tblPrices[cv_2021], MATCH(tblEnterpriseUnits[[#This Row],[Products]],tblPrices[Products],0), 0)* tblEnterpriseUnits[[#This Row],[cv_2021]]/10^6</f>
        <v>0</v>
      </c>
      <c r="Q21" s="62" cm="1">
        <f t="array" ref="Q21">INDEX(tblPrices[cv_2022], MATCH(tblEnterpriseUnits[[#This Row],[Products]],tblPrices[Products],0), 0)* tblEnterpriseUnits[[#This Row],[cv_2022]]/10^6</f>
        <v>0</v>
      </c>
      <c r="R21" s="62" cm="1">
        <f t="array" ref="R21">INDEX(tblPrices[cv_2023], MATCH(tblEnterpriseUnits[[#This Row],[Products]],tblPrices[Products],0), 0)* tblEnterpriseUnits[[#This Row],[cv_2023]]/10^6</f>
        <v>0</v>
      </c>
      <c r="S21" s="62" cm="1">
        <f t="array" ref="S21">INDEX(tblPrices[cv_2024], MATCH(tblEnterpriseUnits[[#This Row],[Products]],tblPrices[Products],0), 0)* tblEnterpriseUnits[[#This Row],[cv_2024]]/10^6</f>
        <v>0</v>
      </c>
      <c r="T21" s="62" cm="1">
        <f t="array" ref="T21">INDEX(tblPrices[cv_2025], MATCH(tblEnterpriseUnits[[#This Row],[Products]],tblPrices[Products],0), 0)* tblEnterpriseUnits[[#This Row],[cv_2025]]/10^6</f>
        <v>0</v>
      </c>
      <c r="U21" s="62" cm="1">
        <f t="array" ref="U21">INDEX(tblPrices[cv_2026], MATCH(tblEnterpriseUnits[[#This Row],[Products]],tblPrices[Products],0), 0)* tblEnterpriseUnits[[#This Row],[cv_2026]]/10^6</f>
        <v>0</v>
      </c>
      <c r="V21" s="62" cm="1">
        <f t="array" ref="V21">INDEX(tblPrices[cv_2027], MATCH(tblEnterpriseUnits[[#This Row],[Products]],tblPrices[Products],0), 0)* tblEnterpriseUnits[[#This Row],[cv_2027]]/10^6</f>
        <v>0</v>
      </c>
      <c r="W21" s="62" cm="1">
        <f t="array" ref="W21">INDEX(tblPrices[cv_2028], MATCH(tblEnterpriseUnits[[#This Row],[Products]],tblPrices[Products],0), 0)* tblEnterpriseUnits[[#This Row],[cv_2028]]/10^6</f>
        <v>0</v>
      </c>
      <c r="X21" s="1">
        <v>10</v>
      </c>
    </row>
    <row r="22" spans="1:24" s="1" customFormat="1" ht="13.15">
      <c r="A22" s="9" t="s">
        <v>160</v>
      </c>
      <c r="B22" s="8">
        <v>162555.48000000001</v>
      </c>
      <c r="C22" s="8">
        <v>97100.400000000009</v>
      </c>
      <c r="D22" s="8"/>
      <c r="E22" s="8"/>
      <c r="F22" s="8"/>
      <c r="G22" s="8"/>
      <c r="H22" s="8"/>
      <c r="I22" s="8"/>
      <c r="J22" s="8"/>
      <c r="K22" s="8"/>
      <c r="L22" s="8"/>
      <c r="M22" s="62" cm="1">
        <f t="array" ref="M22">INDEX(tblPrices[cv_2018], MATCH(tblEnterpriseUnits[[#This Row],[Products]],tblPrices[Products],0), 0)* tblEnterpriseUnits[[#This Row],[cv_2018]]/10^6</f>
        <v>16.249649571775944</v>
      </c>
      <c r="N22" s="62" cm="1">
        <f t="array" ref="N22">INDEX(tblPrices[cv_2019], MATCH(tblEnterpriseUnits[[#This Row],[Products]],tblPrices[Products],0), 0)* tblEnterpriseUnits[[#This Row],[cv_2019]]/10^6</f>
        <v>6.4102575060790148</v>
      </c>
      <c r="O22" s="62" cm="1">
        <f t="array" ref="O22">INDEX(tblPrices[cv_2020], MATCH(tblEnterpriseUnits[[#This Row],[Products]],tblPrices[Products],0), 0)* tblEnterpriseUnits[[#This Row],[cv_2020]]/10^6</f>
        <v>0</v>
      </c>
      <c r="P22" s="62" cm="1">
        <f t="array" ref="P22">INDEX(tblPrices[cv_2021], MATCH(tblEnterpriseUnits[[#This Row],[Products]],tblPrices[Products],0), 0)* tblEnterpriseUnits[[#This Row],[cv_2021]]/10^6</f>
        <v>0</v>
      </c>
      <c r="Q22" s="62" cm="1">
        <f t="array" ref="Q22">INDEX(tblPrices[cv_2022], MATCH(tblEnterpriseUnits[[#This Row],[Products]],tblPrices[Products],0), 0)* tblEnterpriseUnits[[#This Row],[cv_2022]]/10^6</f>
        <v>0</v>
      </c>
      <c r="R22" s="62" cm="1">
        <f t="array" ref="R22">INDEX(tblPrices[cv_2023], MATCH(tblEnterpriseUnits[[#This Row],[Products]],tblPrices[Products],0), 0)* tblEnterpriseUnits[[#This Row],[cv_2023]]/10^6</f>
        <v>0</v>
      </c>
      <c r="S22" s="62" cm="1">
        <f t="array" ref="S22">INDEX(tblPrices[cv_2024], MATCH(tblEnterpriseUnits[[#This Row],[Products]],tblPrices[Products],0), 0)* tblEnterpriseUnits[[#This Row],[cv_2024]]/10^6</f>
        <v>0</v>
      </c>
      <c r="T22" s="62" cm="1">
        <f t="array" ref="T22">INDEX(tblPrices[cv_2025], MATCH(tblEnterpriseUnits[[#This Row],[Products]],tblPrices[Products],0), 0)* tblEnterpriseUnits[[#This Row],[cv_2025]]/10^6</f>
        <v>0</v>
      </c>
      <c r="U22" s="62" cm="1">
        <f t="array" ref="U22">INDEX(tblPrices[cv_2026], MATCH(tblEnterpriseUnits[[#This Row],[Products]],tblPrices[Products],0), 0)* tblEnterpriseUnits[[#This Row],[cv_2026]]/10^6</f>
        <v>0</v>
      </c>
      <c r="V22" s="62" cm="1">
        <f t="array" ref="V22">INDEX(tblPrices[cv_2027], MATCH(tblEnterpriseUnits[[#This Row],[Products]],tblPrices[Products],0), 0)* tblEnterpriseUnits[[#This Row],[cv_2027]]/10^6</f>
        <v>0</v>
      </c>
      <c r="W22" s="62" cm="1">
        <f t="array" ref="W22">INDEX(tblPrices[cv_2028], MATCH(tblEnterpriseUnits[[#This Row],[Products]],tblPrices[Products],0), 0)* tblEnterpriseUnits[[#This Row],[cv_2028]]/10^6</f>
        <v>0</v>
      </c>
      <c r="X22" s="1">
        <v>10</v>
      </c>
    </row>
    <row r="23" spans="1:24" s="1" customFormat="1" ht="13.15">
      <c r="A23" s="9" t="s">
        <v>161</v>
      </c>
      <c r="B23" s="8">
        <v>0</v>
      </c>
      <c r="C23" s="8">
        <v>0</v>
      </c>
      <c r="D23" s="8"/>
      <c r="E23" s="8"/>
      <c r="F23" s="8"/>
      <c r="G23" s="8"/>
      <c r="H23" s="8"/>
      <c r="I23" s="8"/>
      <c r="J23" s="8"/>
      <c r="K23" s="8"/>
      <c r="L23" s="8"/>
      <c r="M23" s="62" cm="1">
        <f t="array" ref="M23">INDEX(tblPrices[cv_2018], MATCH(tblEnterpriseUnits[[#This Row],[Products]],tblPrices[Products],0), 0)* tblEnterpriseUnits[[#This Row],[cv_2018]]/10^6</f>
        <v>0</v>
      </c>
      <c r="N23" s="62" cm="1">
        <f t="array" ref="N23">INDEX(tblPrices[cv_2019], MATCH(tblEnterpriseUnits[[#This Row],[Products]],tblPrices[Products],0), 0)* tblEnterpriseUnits[[#This Row],[cv_2019]]/10^6</f>
        <v>0</v>
      </c>
      <c r="O23" s="62" cm="1">
        <f t="array" ref="O23">INDEX(tblPrices[cv_2020], MATCH(tblEnterpriseUnits[[#This Row],[Products]],tblPrices[Products],0), 0)* tblEnterpriseUnits[[#This Row],[cv_2020]]/10^6</f>
        <v>0</v>
      </c>
      <c r="P23" s="62" cm="1">
        <f t="array" ref="P23">INDEX(tblPrices[cv_2021], MATCH(tblEnterpriseUnits[[#This Row],[Products]],tblPrices[Products],0), 0)* tblEnterpriseUnits[[#This Row],[cv_2021]]/10^6</f>
        <v>0</v>
      </c>
      <c r="Q23" s="62" cm="1">
        <f t="array" ref="Q23">INDEX(tblPrices[cv_2022], MATCH(tblEnterpriseUnits[[#This Row],[Products]],tblPrices[Products],0), 0)* tblEnterpriseUnits[[#This Row],[cv_2022]]/10^6</f>
        <v>0</v>
      </c>
      <c r="R23" s="62" cm="1">
        <f t="array" ref="R23">INDEX(tblPrices[cv_2023], MATCH(tblEnterpriseUnits[[#This Row],[Products]],tblPrices[Products],0), 0)* tblEnterpriseUnits[[#This Row],[cv_2023]]/10^6</f>
        <v>0</v>
      </c>
      <c r="S23" s="62" cm="1">
        <f t="array" ref="S23">INDEX(tblPrices[cv_2024], MATCH(tblEnterpriseUnits[[#This Row],[Products]],tblPrices[Products],0), 0)* tblEnterpriseUnits[[#This Row],[cv_2024]]/10^6</f>
        <v>0</v>
      </c>
      <c r="T23" s="62" cm="1">
        <f t="array" ref="T23">INDEX(tblPrices[cv_2025], MATCH(tblEnterpriseUnits[[#This Row],[Products]],tblPrices[Products],0), 0)* tblEnterpriseUnits[[#This Row],[cv_2025]]/10^6</f>
        <v>0</v>
      </c>
      <c r="U23" s="62" cm="1">
        <f t="array" ref="U23">INDEX(tblPrices[cv_2026], MATCH(tblEnterpriseUnits[[#This Row],[Products]],tblPrices[Products],0), 0)* tblEnterpriseUnits[[#This Row],[cv_2026]]/10^6</f>
        <v>0</v>
      </c>
      <c r="V23" s="62" cm="1">
        <f t="array" ref="V23">INDEX(tblPrices[cv_2027], MATCH(tblEnterpriseUnits[[#This Row],[Products]],tblPrices[Products],0), 0)* tblEnterpriseUnits[[#This Row],[cv_2027]]/10^6</f>
        <v>0</v>
      </c>
      <c r="W23" s="62" cm="1">
        <f t="array" ref="W23">INDEX(tblPrices[cv_2028], MATCH(tblEnterpriseUnits[[#This Row],[Products]],tblPrices[Products],0), 0)* tblEnterpriseUnits[[#This Row],[cv_2028]]/10^6</f>
        <v>0</v>
      </c>
      <c r="X23" s="1">
        <v>10</v>
      </c>
    </row>
    <row r="24" spans="1:24" s="1" customFormat="1" ht="13.15">
      <c r="A24" s="9" t="s">
        <v>162</v>
      </c>
      <c r="B24" s="8">
        <v>0</v>
      </c>
      <c r="C24" s="8">
        <v>0</v>
      </c>
      <c r="D24" s="8"/>
      <c r="E24" s="8"/>
      <c r="F24" s="8"/>
      <c r="G24" s="8"/>
      <c r="H24" s="8"/>
      <c r="I24" s="8"/>
      <c r="J24" s="8"/>
      <c r="K24" s="8"/>
      <c r="L24" s="8"/>
      <c r="M24" s="62" cm="1">
        <f t="array" ref="M24">INDEX(tblPrices[cv_2018], MATCH(tblEnterpriseUnits[[#This Row],[Products]],tblPrices[Products],0), 0)* tblEnterpriseUnits[[#This Row],[cv_2018]]/10^6</f>
        <v>0</v>
      </c>
      <c r="N24" s="62" cm="1">
        <f t="array" ref="N24">INDEX(tblPrices[cv_2019], MATCH(tblEnterpriseUnits[[#This Row],[Products]],tblPrices[Products],0), 0)* tblEnterpriseUnits[[#This Row],[cv_2019]]/10^6</f>
        <v>0</v>
      </c>
      <c r="O24" s="62" cm="1">
        <f t="array" ref="O24">INDEX(tblPrices[cv_2020], MATCH(tblEnterpriseUnits[[#This Row],[Products]],tblPrices[Products],0), 0)* tblEnterpriseUnits[[#This Row],[cv_2020]]/10^6</f>
        <v>0</v>
      </c>
      <c r="P24" s="62" cm="1">
        <f t="array" ref="P24">INDEX(tblPrices[cv_2021], MATCH(tblEnterpriseUnits[[#This Row],[Products]],tblPrices[Products],0), 0)* tblEnterpriseUnits[[#This Row],[cv_2021]]/10^6</f>
        <v>0</v>
      </c>
      <c r="Q24" s="62" cm="1">
        <f t="array" ref="Q24">INDEX(tblPrices[cv_2022], MATCH(tblEnterpriseUnits[[#This Row],[Products]],tblPrices[Products],0), 0)* tblEnterpriseUnits[[#This Row],[cv_2022]]/10^6</f>
        <v>0</v>
      </c>
      <c r="R24" s="62" cm="1">
        <f t="array" ref="R24">INDEX(tblPrices[cv_2023], MATCH(tblEnterpriseUnits[[#This Row],[Products]],tblPrices[Products],0), 0)* tblEnterpriseUnits[[#This Row],[cv_2023]]/10^6</f>
        <v>0</v>
      </c>
      <c r="S24" s="62" cm="1">
        <f t="array" ref="S24">INDEX(tblPrices[cv_2024], MATCH(tblEnterpriseUnits[[#This Row],[Products]],tblPrices[Products],0), 0)* tblEnterpriseUnits[[#This Row],[cv_2024]]/10^6</f>
        <v>0</v>
      </c>
      <c r="T24" s="62" cm="1">
        <f t="array" ref="T24">INDEX(tblPrices[cv_2025], MATCH(tblEnterpriseUnits[[#This Row],[Products]],tblPrices[Products],0), 0)* tblEnterpriseUnits[[#This Row],[cv_2025]]/10^6</f>
        <v>0</v>
      </c>
      <c r="U24" s="62" cm="1">
        <f t="array" ref="U24">INDEX(tblPrices[cv_2026], MATCH(tblEnterpriseUnits[[#This Row],[Products]],tblPrices[Products],0), 0)* tblEnterpriseUnits[[#This Row],[cv_2026]]/10^6</f>
        <v>0</v>
      </c>
      <c r="V24" s="62" cm="1">
        <f t="array" ref="V24">INDEX(tblPrices[cv_2027], MATCH(tblEnterpriseUnits[[#This Row],[Products]],tblPrices[Products],0), 0)* tblEnterpriseUnits[[#This Row],[cv_2027]]/10^6</f>
        <v>0</v>
      </c>
      <c r="W24" s="62" cm="1">
        <f t="array" ref="W24">INDEX(tblPrices[cv_2028], MATCH(tblEnterpriseUnits[[#This Row],[Products]],tblPrices[Products],0), 0)* tblEnterpriseUnits[[#This Row],[cv_2028]]/10^6</f>
        <v>0</v>
      </c>
      <c r="X24" s="1">
        <v>10</v>
      </c>
    </row>
    <row r="25" spans="1:24" s="1" customFormat="1" ht="13.15">
      <c r="A25" s="9" t="s">
        <v>163</v>
      </c>
      <c r="B25" s="8">
        <v>1750</v>
      </c>
      <c r="C25" s="8">
        <v>2500</v>
      </c>
      <c r="D25" s="8"/>
      <c r="E25" s="8"/>
      <c r="F25" s="8"/>
      <c r="G25" s="8"/>
      <c r="H25" s="8"/>
      <c r="I25" s="8"/>
      <c r="J25" s="8"/>
      <c r="K25" s="8"/>
      <c r="L25" s="8"/>
      <c r="M25" s="62" cm="1">
        <f t="array" ref="M25">INDEX(tblPrices[cv_2018], MATCH(tblEnterpriseUnits[[#This Row],[Products]],tblPrices[Products],0), 0)* tblEnterpriseUnits[[#This Row],[cv_2018]]/10^6</f>
        <v>0.2</v>
      </c>
      <c r="N25" s="62" cm="1">
        <f t="array" ref="N25">INDEX(tblPrices[cv_2019], MATCH(tblEnterpriseUnits[[#This Row],[Products]],tblPrices[Products],0), 0)* tblEnterpriseUnits[[#This Row],[cv_2019]]/10^6</f>
        <v>0.3</v>
      </c>
      <c r="O25" s="62" cm="1">
        <f t="array" ref="O25">INDEX(tblPrices[cv_2020], MATCH(tblEnterpriseUnits[[#This Row],[Products]],tblPrices[Products],0), 0)* tblEnterpriseUnits[[#This Row],[cv_2020]]/10^6</f>
        <v>0</v>
      </c>
      <c r="P25" s="62" cm="1">
        <f t="array" ref="P25">INDEX(tblPrices[cv_2021], MATCH(tblEnterpriseUnits[[#This Row],[Products]],tblPrices[Products],0), 0)* tblEnterpriseUnits[[#This Row],[cv_2021]]/10^6</f>
        <v>0</v>
      </c>
      <c r="Q25" s="62" cm="1">
        <f t="array" ref="Q25">INDEX(tblPrices[cv_2022], MATCH(tblEnterpriseUnits[[#This Row],[Products]],tblPrices[Products],0), 0)* tblEnterpriseUnits[[#This Row],[cv_2022]]/10^6</f>
        <v>0</v>
      </c>
      <c r="R25" s="62" cm="1">
        <f t="array" ref="R25">INDEX(tblPrices[cv_2023], MATCH(tblEnterpriseUnits[[#This Row],[Products]],tblPrices[Products],0), 0)* tblEnterpriseUnits[[#This Row],[cv_2023]]/10^6</f>
        <v>0</v>
      </c>
      <c r="S25" s="62" cm="1">
        <f t="array" ref="S25">INDEX(tblPrices[cv_2024], MATCH(tblEnterpriseUnits[[#This Row],[Products]],tblPrices[Products],0), 0)* tblEnterpriseUnits[[#This Row],[cv_2024]]/10^6</f>
        <v>0</v>
      </c>
      <c r="T25" s="62" cm="1">
        <f t="array" ref="T25">INDEX(tblPrices[cv_2025], MATCH(tblEnterpriseUnits[[#This Row],[Products]],tblPrices[Products],0), 0)* tblEnterpriseUnits[[#This Row],[cv_2025]]/10^6</f>
        <v>0</v>
      </c>
      <c r="U25" s="62" cm="1">
        <f t="array" ref="U25">INDEX(tblPrices[cv_2026], MATCH(tblEnterpriseUnits[[#This Row],[Products]],tblPrices[Products],0), 0)* tblEnterpriseUnits[[#This Row],[cv_2026]]/10^6</f>
        <v>0</v>
      </c>
      <c r="V25" s="62" cm="1">
        <f t="array" ref="V25">INDEX(tblPrices[cv_2027], MATCH(tblEnterpriseUnits[[#This Row],[Products]],tblPrices[Products],0), 0)* tblEnterpriseUnits[[#This Row],[cv_2027]]/10^6</f>
        <v>0</v>
      </c>
      <c r="W25" s="62" cm="1">
        <f t="array" ref="W25">INDEX(tblPrices[cv_2028], MATCH(tblEnterpriseUnits[[#This Row],[Products]],tblPrices[Products],0), 0)* tblEnterpriseUnits[[#This Row],[cv_2028]]/10^6</f>
        <v>0</v>
      </c>
      <c r="X25" s="1">
        <v>10</v>
      </c>
    </row>
    <row r="26" spans="1:24" s="1" customFormat="1" ht="13.15">
      <c r="A26" s="9" t="s">
        <v>164</v>
      </c>
      <c r="B26" s="8">
        <v>318978</v>
      </c>
      <c r="C26" s="8">
        <v>662127</v>
      </c>
      <c r="D26" s="8"/>
      <c r="E26" s="8"/>
      <c r="F26" s="8"/>
      <c r="G26" s="8"/>
      <c r="H26" s="8"/>
      <c r="I26" s="8"/>
      <c r="J26" s="8"/>
      <c r="K26" s="8"/>
      <c r="L26" s="8"/>
      <c r="M26" s="62" cm="1">
        <f t="array" ref="M26">INDEX(tblPrices[cv_2018], MATCH(tblEnterpriseUnits[[#This Row],[Products]],tblPrices[Products],0), 0)* tblEnterpriseUnits[[#This Row],[cv_2018]]/10^6</f>
        <v>27.845733580000022</v>
      </c>
      <c r="N26" s="62" cm="1">
        <f t="array" ref="N26">INDEX(tblPrices[cv_2019], MATCH(tblEnterpriseUnits[[#This Row],[Products]],tblPrices[Products],0), 0)* tblEnterpriseUnits[[#This Row],[cv_2019]]/10^6</f>
        <v>42.58184399999999</v>
      </c>
      <c r="O26" s="62" cm="1">
        <f t="array" ref="O26">INDEX(tblPrices[cv_2020], MATCH(tblEnterpriseUnits[[#This Row],[Products]],tblPrices[Products],0), 0)* tblEnterpriseUnits[[#This Row],[cv_2020]]/10^6</f>
        <v>0</v>
      </c>
      <c r="P26" s="62" cm="1">
        <f t="array" ref="P26">INDEX(tblPrices[cv_2021], MATCH(tblEnterpriseUnits[[#This Row],[Products]],tblPrices[Products],0), 0)* tblEnterpriseUnits[[#This Row],[cv_2021]]/10^6</f>
        <v>0</v>
      </c>
      <c r="Q26" s="62" cm="1">
        <f t="array" ref="Q26">INDEX(tblPrices[cv_2022], MATCH(tblEnterpriseUnits[[#This Row],[Products]],tblPrices[Products],0), 0)* tblEnterpriseUnits[[#This Row],[cv_2022]]/10^6</f>
        <v>0</v>
      </c>
      <c r="R26" s="62" cm="1">
        <f t="array" ref="R26">INDEX(tblPrices[cv_2023], MATCH(tblEnterpriseUnits[[#This Row],[Products]],tblPrices[Products],0), 0)* tblEnterpriseUnits[[#This Row],[cv_2023]]/10^6</f>
        <v>0</v>
      </c>
      <c r="S26" s="62" cm="1">
        <f t="array" ref="S26">INDEX(tblPrices[cv_2024], MATCH(tblEnterpriseUnits[[#This Row],[Products]],tblPrices[Products],0), 0)* tblEnterpriseUnits[[#This Row],[cv_2024]]/10^6</f>
        <v>0</v>
      </c>
      <c r="T26" s="62" cm="1">
        <f t="array" ref="T26">INDEX(tblPrices[cv_2025], MATCH(tblEnterpriseUnits[[#This Row],[Products]],tblPrices[Products],0), 0)* tblEnterpriseUnits[[#This Row],[cv_2025]]/10^6</f>
        <v>0</v>
      </c>
      <c r="U26" s="62" cm="1">
        <f t="array" ref="U26">INDEX(tblPrices[cv_2026], MATCH(tblEnterpriseUnits[[#This Row],[Products]],tblPrices[Products],0), 0)* tblEnterpriseUnits[[#This Row],[cv_2026]]/10^6</f>
        <v>0</v>
      </c>
      <c r="V26" s="62" cm="1">
        <f t="array" ref="V26">INDEX(tblPrices[cv_2027], MATCH(tblEnterpriseUnits[[#This Row],[Products]],tblPrices[Products],0), 0)* tblEnterpriseUnits[[#This Row],[cv_2027]]/10^6</f>
        <v>0</v>
      </c>
      <c r="W26" s="62" cm="1">
        <f t="array" ref="W26">INDEX(tblPrices[cv_2028], MATCH(tblEnterpriseUnits[[#This Row],[Products]],tblPrices[Products],0), 0)* tblEnterpriseUnits[[#This Row],[cv_2028]]/10^6</f>
        <v>0</v>
      </c>
      <c r="X26" s="1">
        <v>25</v>
      </c>
    </row>
    <row r="27" spans="1:24" s="1" customFormat="1" ht="13.15">
      <c r="A27" s="9" t="s">
        <v>165</v>
      </c>
      <c r="B27" s="8">
        <v>39696.299999999996</v>
      </c>
      <c r="C27" s="8">
        <v>46239.899999999994</v>
      </c>
      <c r="D27" s="8"/>
      <c r="E27" s="8"/>
      <c r="F27" s="8"/>
      <c r="G27" s="8"/>
      <c r="H27" s="8"/>
      <c r="I27" s="8"/>
      <c r="J27" s="8"/>
      <c r="K27" s="8"/>
      <c r="L27" s="8"/>
      <c r="M27" s="62" cm="1">
        <f t="array" ref="M27">INDEX(tblPrices[cv_2018], MATCH(tblEnterpriseUnits[[#This Row],[Products]],tblPrices[Products],0), 0)* tblEnterpriseUnits[[#This Row],[cv_2018]]/10^6</f>
        <v>7.7258835779999968</v>
      </c>
      <c r="N27" s="62" cm="1">
        <f t="array" ref="N27">INDEX(tblPrices[cv_2019], MATCH(tblEnterpriseUnits[[#This Row],[Products]],tblPrices[Products],0), 0)* tblEnterpriseUnits[[#This Row],[cv_2019]]/10^6</f>
        <v>5.4231268000000004</v>
      </c>
      <c r="O27" s="62" cm="1">
        <f t="array" ref="O27">INDEX(tblPrices[cv_2020], MATCH(tblEnterpriseUnits[[#This Row],[Products]],tblPrices[Products],0), 0)* tblEnterpriseUnits[[#This Row],[cv_2020]]/10^6</f>
        <v>0</v>
      </c>
      <c r="P27" s="62" cm="1">
        <f t="array" ref="P27">INDEX(tblPrices[cv_2021], MATCH(tblEnterpriseUnits[[#This Row],[Products]],tblPrices[Products],0), 0)* tblEnterpriseUnits[[#This Row],[cv_2021]]/10^6</f>
        <v>0</v>
      </c>
      <c r="Q27" s="62" cm="1">
        <f t="array" ref="Q27">INDEX(tblPrices[cv_2022], MATCH(tblEnterpriseUnits[[#This Row],[Products]],tblPrices[Products],0), 0)* tblEnterpriseUnits[[#This Row],[cv_2022]]/10^6</f>
        <v>0</v>
      </c>
      <c r="R27" s="62" cm="1">
        <f t="array" ref="R27">INDEX(tblPrices[cv_2023], MATCH(tblEnterpriseUnits[[#This Row],[Products]],tblPrices[Products],0), 0)* tblEnterpriseUnits[[#This Row],[cv_2023]]/10^6</f>
        <v>0</v>
      </c>
      <c r="S27" s="62" cm="1">
        <f t="array" ref="S27">INDEX(tblPrices[cv_2024], MATCH(tblEnterpriseUnits[[#This Row],[Products]],tblPrices[Products],0), 0)* tblEnterpriseUnits[[#This Row],[cv_2024]]/10^6</f>
        <v>0</v>
      </c>
      <c r="T27" s="62" cm="1">
        <f t="array" ref="T27">INDEX(tblPrices[cv_2025], MATCH(tblEnterpriseUnits[[#This Row],[Products]],tblPrices[Products],0), 0)* tblEnterpriseUnits[[#This Row],[cv_2025]]/10^6</f>
        <v>0</v>
      </c>
      <c r="U27" s="62" cm="1">
        <f t="array" ref="U27">INDEX(tblPrices[cv_2026], MATCH(tblEnterpriseUnits[[#This Row],[Products]],tblPrices[Products],0), 0)* tblEnterpriseUnits[[#This Row],[cv_2026]]/10^6</f>
        <v>0</v>
      </c>
      <c r="V27" s="62" cm="1">
        <f t="array" ref="V27">INDEX(tblPrices[cv_2027], MATCH(tblEnterpriseUnits[[#This Row],[Products]],tblPrices[Products],0), 0)* tblEnterpriseUnits[[#This Row],[cv_2027]]/10^6</f>
        <v>0</v>
      </c>
      <c r="W27" s="62" cm="1">
        <f t="array" ref="W27">INDEX(tblPrices[cv_2028], MATCH(tblEnterpriseUnits[[#This Row],[Products]],tblPrices[Products],0), 0)* tblEnterpriseUnits[[#This Row],[cv_2028]]/10^6</f>
        <v>0</v>
      </c>
      <c r="X27" s="1">
        <v>25</v>
      </c>
    </row>
    <row r="28" spans="1:24" s="1" customFormat="1" ht="13.15">
      <c r="A28" s="9" t="s">
        <v>166</v>
      </c>
      <c r="B28" s="8">
        <v>0</v>
      </c>
      <c r="C28" s="8">
        <v>0</v>
      </c>
      <c r="D28" s="8"/>
      <c r="E28" s="8"/>
      <c r="F28" s="8"/>
      <c r="G28" s="8"/>
      <c r="H28" s="8"/>
      <c r="I28" s="8"/>
      <c r="J28" s="8"/>
      <c r="K28" s="8"/>
      <c r="L28" s="8"/>
      <c r="M28" s="62" cm="1">
        <f t="array" ref="M28">INDEX(tblPrices[cv_2018], MATCH(tblEnterpriseUnits[[#This Row],[Products]],tblPrices[Products],0), 0)* tblEnterpriseUnits[[#This Row],[cv_2018]]/10^6</f>
        <v>0</v>
      </c>
      <c r="N28" s="62" cm="1">
        <f t="array" ref="N28">INDEX(tblPrices[cv_2019], MATCH(tblEnterpriseUnits[[#This Row],[Products]],tblPrices[Products],0), 0)* tblEnterpriseUnits[[#This Row],[cv_2019]]/10^6</f>
        <v>0</v>
      </c>
      <c r="O28" s="62" cm="1">
        <f t="array" ref="O28">INDEX(tblPrices[cv_2020], MATCH(tblEnterpriseUnits[[#This Row],[Products]],tblPrices[Products],0), 0)* tblEnterpriseUnits[[#This Row],[cv_2020]]/10^6</f>
        <v>0</v>
      </c>
      <c r="P28" s="62" cm="1">
        <f t="array" ref="P28">INDEX(tblPrices[cv_2021], MATCH(tblEnterpriseUnits[[#This Row],[Products]],tblPrices[Products],0), 0)* tblEnterpriseUnits[[#This Row],[cv_2021]]/10^6</f>
        <v>0</v>
      </c>
      <c r="Q28" s="62" cm="1">
        <f t="array" ref="Q28">INDEX(tblPrices[cv_2022], MATCH(tblEnterpriseUnits[[#This Row],[Products]],tblPrices[Products],0), 0)* tblEnterpriseUnits[[#This Row],[cv_2022]]/10^6</f>
        <v>0</v>
      </c>
      <c r="R28" s="62" cm="1">
        <f t="array" ref="R28">INDEX(tblPrices[cv_2023], MATCH(tblEnterpriseUnits[[#This Row],[Products]],tblPrices[Products],0), 0)* tblEnterpriseUnits[[#This Row],[cv_2023]]/10^6</f>
        <v>0</v>
      </c>
      <c r="S28" s="62" cm="1">
        <f t="array" ref="S28">INDEX(tblPrices[cv_2024], MATCH(tblEnterpriseUnits[[#This Row],[Products]],tblPrices[Products],0), 0)* tblEnterpriseUnits[[#This Row],[cv_2024]]/10^6</f>
        <v>0</v>
      </c>
      <c r="T28" s="62" cm="1">
        <f t="array" ref="T28">INDEX(tblPrices[cv_2025], MATCH(tblEnterpriseUnits[[#This Row],[Products]],tblPrices[Products],0), 0)* tblEnterpriseUnits[[#This Row],[cv_2025]]/10^6</f>
        <v>0</v>
      </c>
      <c r="U28" s="62" cm="1">
        <f t="array" ref="U28">INDEX(tblPrices[cv_2026], MATCH(tblEnterpriseUnits[[#This Row],[Products]],tblPrices[Products],0), 0)* tblEnterpriseUnits[[#This Row],[cv_2026]]/10^6</f>
        <v>0</v>
      </c>
      <c r="V28" s="62" cm="1">
        <f t="array" ref="V28">INDEX(tblPrices[cv_2027], MATCH(tblEnterpriseUnits[[#This Row],[Products]],tblPrices[Products],0), 0)* tblEnterpriseUnits[[#This Row],[cv_2027]]/10^6</f>
        <v>0</v>
      </c>
      <c r="W28" s="62" cm="1">
        <f t="array" ref="W28">INDEX(tblPrices[cv_2028], MATCH(tblEnterpriseUnits[[#This Row],[Products]],tblPrices[Products],0), 0)* tblEnterpriseUnits[[#This Row],[cv_2028]]/10^6</f>
        <v>0</v>
      </c>
      <c r="X28" s="1">
        <v>25</v>
      </c>
    </row>
    <row r="29" spans="1:24" s="1" customFormat="1" ht="13.15">
      <c r="A29" s="9" t="s">
        <v>0</v>
      </c>
      <c r="B29" s="8">
        <v>96063.950000000012</v>
      </c>
      <c r="C29" s="8">
        <v>65873.300000000017</v>
      </c>
      <c r="D29" s="8"/>
      <c r="E29" s="8"/>
      <c r="F29" s="8"/>
      <c r="G29" s="8"/>
      <c r="H29" s="8"/>
      <c r="I29" s="8"/>
      <c r="J29" s="8"/>
      <c r="K29" s="8"/>
      <c r="L29" s="8"/>
      <c r="M29" s="62" cm="1">
        <f t="array" ref="M29">INDEX(tblPrices[cv_2018], MATCH(tblEnterpriseUnits[[#This Row],[Products]],tblPrices[Products],0), 0)* tblEnterpriseUnits[[#This Row],[cv_2018]]/10^6</f>
        <v>5.6351367198170896</v>
      </c>
      <c r="N29" s="62" cm="1">
        <f t="array" ref="N29">INDEX(tblPrices[cv_2019], MATCH(tblEnterpriseUnits[[#This Row],[Products]],tblPrices[Products],0), 0)* tblEnterpriseUnits[[#This Row],[cv_2019]]/10^6</f>
        <v>3.0382158214285719</v>
      </c>
      <c r="O29" s="62" cm="1">
        <f t="array" ref="O29">INDEX(tblPrices[cv_2020], MATCH(tblEnterpriseUnits[[#This Row],[Products]],tblPrices[Products],0), 0)* tblEnterpriseUnits[[#This Row],[cv_2020]]/10^6</f>
        <v>0</v>
      </c>
      <c r="P29" s="62" cm="1">
        <f t="array" ref="P29">INDEX(tblPrices[cv_2021], MATCH(tblEnterpriseUnits[[#This Row],[Products]],tblPrices[Products],0), 0)* tblEnterpriseUnits[[#This Row],[cv_2021]]/10^6</f>
        <v>0</v>
      </c>
      <c r="Q29" s="62" cm="1">
        <f t="array" ref="Q29">INDEX(tblPrices[cv_2022], MATCH(tblEnterpriseUnits[[#This Row],[Products]],tblPrices[Products],0), 0)* tblEnterpriseUnits[[#This Row],[cv_2022]]/10^6</f>
        <v>0</v>
      </c>
      <c r="R29" s="62" cm="1">
        <f t="array" ref="R29">INDEX(tblPrices[cv_2023], MATCH(tblEnterpriseUnits[[#This Row],[Products]],tblPrices[Products],0), 0)* tblEnterpriseUnits[[#This Row],[cv_2023]]/10^6</f>
        <v>0</v>
      </c>
      <c r="S29" s="62" cm="1">
        <f t="array" ref="S29">INDEX(tblPrices[cv_2024], MATCH(tblEnterpriseUnits[[#This Row],[Products]],tblPrices[Products],0), 0)* tblEnterpriseUnits[[#This Row],[cv_2024]]/10^6</f>
        <v>0</v>
      </c>
      <c r="T29" s="62" cm="1">
        <f t="array" ref="T29">INDEX(tblPrices[cv_2025], MATCH(tblEnterpriseUnits[[#This Row],[Products]],tblPrices[Products],0), 0)* tblEnterpriseUnits[[#This Row],[cv_2025]]/10^6</f>
        <v>0</v>
      </c>
      <c r="U29" s="62" cm="1">
        <f t="array" ref="U29">INDEX(tblPrices[cv_2026], MATCH(tblEnterpriseUnits[[#This Row],[Products]],tblPrices[Products],0), 0)* tblEnterpriseUnits[[#This Row],[cv_2026]]/10^6</f>
        <v>0</v>
      </c>
      <c r="V29" s="62" cm="1">
        <f t="array" ref="V29">INDEX(tblPrices[cv_2027], MATCH(tblEnterpriseUnits[[#This Row],[Products]],tblPrices[Products],0), 0)* tblEnterpriseUnits[[#This Row],[cv_2027]]/10^6</f>
        <v>0</v>
      </c>
      <c r="W29" s="62" cm="1">
        <f t="array" ref="W29">INDEX(tblPrices[cv_2028], MATCH(tblEnterpriseUnits[[#This Row],[Products]],tblPrices[Products],0), 0)* tblEnterpriseUnits[[#This Row],[cv_2028]]/10^6</f>
        <v>0</v>
      </c>
      <c r="X29" s="1">
        <f>VLOOKUP(A29,Products!$A$29:$F$110,6,FALSE)</f>
        <v>40</v>
      </c>
    </row>
    <row r="30" spans="1:24" s="1" customFormat="1" ht="13.15">
      <c r="A30" s="9" t="s">
        <v>167</v>
      </c>
      <c r="B30" s="8">
        <v>594327</v>
      </c>
      <c r="C30" s="8">
        <v>460602</v>
      </c>
      <c r="D30" s="8"/>
      <c r="E30" s="8"/>
      <c r="F30" s="8"/>
      <c r="G30" s="8"/>
      <c r="H30" s="8"/>
      <c r="I30" s="8"/>
      <c r="J30" s="8"/>
      <c r="K30" s="8"/>
      <c r="L30" s="8"/>
      <c r="M30" s="62" cm="1">
        <f t="array" ref="M30">INDEX(tblPrices[cv_2018], MATCH(tblEnterpriseUnits[[#This Row],[Products]],tblPrices[Products],0), 0)* tblEnterpriseUnits[[#This Row],[cv_2018]]/10^6</f>
        <v>134.912229</v>
      </c>
      <c r="N30" s="62" cm="1">
        <f t="array" ref="N30">INDEX(tblPrices[cv_2019], MATCH(tblEnterpriseUnits[[#This Row],[Products]],tblPrices[Products],0), 0)* tblEnterpriseUnits[[#This Row],[cv_2019]]/10^6</f>
        <v>99.029430000000005</v>
      </c>
      <c r="O30" s="62" cm="1">
        <f t="array" ref="O30">INDEX(tblPrices[cv_2020], MATCH(tblEnterpriseUnits[[#This Row],[Products]],tblPrices[Products],0), 0)* tblEnterpriseUnits[[#This Row],[cv_2020]]/10^6</f>
        <v>0</v>
      </c>
      <c r="P30" s="62" cm="1">
        <f t="array" ref="P30">INDEX(tblPrices[cv_2021], MATCH(tblEnterpriseUnits[[#This Row],[Products]],tblPrices[Products],0), 0)* tblEnterpriseUnits[[#This Row],[cv_2021]]/10^6</f>
        <v>0</v>
      </c>
      <c r="Q30" s="62" cm="1">
        <f t="array" ref="Q30">INDEX(tblPrices[cv_2022], MATCH(tblEnterpriseUnits[[#This Row],[Products]],tblPrices[Products],0), 0)* tblEnterpriseUnits[[#This Row],[cv_2022]]/10^6</f>
        <v>0</v>
      </c>
      <c r="R30" s="62" cm="1">
        <f t="array" ref="R30">INDEX(tblPrices[cv_2023], MATCH(tblEnterpriseUnits[[#This Row],[Products]],tblPrices[Products],0), 0)* tblEnterpriseUnits[[#This Row],[cv_2023]]/10^6</f>
        <v>0</v>
      </c>
      <c r="S30" s="62" cm="1">
        <f t="array" ref="S30">INDEX(tblPrices[cv_2024], MATCH(tblEnterpriseUnits[[#This Row],[Products]],tblPrices[Products],0), 0)* tblEnterpriseUnits[[#This Row],[cv_2024]]/10^6</f>
        <v>0</v>
      </c>
      <c r="T30" s="62" cm="1">
        <f t="array" ref="T30">INDEX(tblPrices[cv_2025], MATCH(tblEnterpriseUnits[[#This Row],[Products]],tblPrices[Products],0), 0)* tblEnterpriseUnits[[#This Row],[cv_2025]]/10^6</f>
        <v>0</v>
      </c>
      <c r="U30" s="62" cm="1">
        <f t="array" ref="U30">INDEX(tblPrices[cv_2026], MATCH(tblEnterpriseUnits[[#This Row],[Products]],tblPrices[Products],0), 0)* tblEnterpriseUnits[[#This Row],[cv_2026]]/10^6</f>
        <v>0</v>
      </c>
      <c r="V30" s="62" cm="1">
        <f t="array" ref="V30">INDEX(tblPrices[cv_2027], MATCH(tblEnterpriseUnits[[#This Row],[Products]],tblPrices[Products],0), 0)* tblEnterpriseUnits[[#This Row],[cv_2027]]/10^6</f>
        <v>0</v>
      </c>
      <c r="W30" s="62" cm="1">
        <f t="array" ref="W30">INDEX(tblPrices[cv_2028], MATCH(tblEnterpriseUnits[[#This Row],[Products]],tblPrices[Products],0), 0)* tblEnterpriseUnits[[#This Row],[cv_2028]]/10^6</f>
        <v>0</v>
      </c>
      <c r="X30" s="1">
        <f>VLOOKUP(A30,Products!$A$29:$F$110,6,FALSE)</f>
        <v>40</v>
      </c>
    </row>
    <row r="31" spans="1:24" s="1" customFormat="1" ht="13.15">
      <c r="A31" s="9" t="s">
        <v>1</v>
      </c>
      <c r="B31" s="8">
        <v>49106.700000000012</v>
      </c>
      <c r="C31" s="8">
        <v>29361.400000000005</v>
      </c>
      <c r="D31" s="8"/>
      <c r="E31" s="8"/>
      <c r="F31" s="8"/>
      <c r="G31" s="8"/>
      <c r="H31" s="8"/>
      <c r="I31" s="8"/>
      <c r="J31" s="8"/>
      <c r="K31" s="8"/>
      <c r="L31" s="8"/>
      <c r="M31" s="62" cm="1">
        <f t="array" ref="M31">INDEX(tblPrices[cv_2018], MATCH(tblEnterpriseUnits[[#This Row],[Products]],tblPrices[Products],0), 0)* tblEnterpriseUnits[[#This Row],[cv_2018]]/10^6</f>
        <v>3.1355079991532855</v>
      </c>
      <c r="N31" s="62" cm="1">
        <f t="array" ref="N31">INDEX(tblPrices[cv_2019], MATCH(tblEnterpriseUnits[[#This Row],[Products]],tblPrices[Products],0), 0)* tblEnterpriseUnits[[#This Row],[cv_2019]]/10^6</f>
        <v>1.8217738999999999</v>
      </c>
      <c r="O31" s="62" cm="1">
        <f t="array" ref="O31">INDEX(tblPrices[cv_2020], MATCH(tblEnterpriseUnits[[#This Row],[Products]],tblPrices[Products],0), 0)* tblEnterpriseUnits[[#This Row],[cv_2020]]/10^6</f>
        <v>0</v>
      </c>
      <c r="P31" s="62" cm="1">
        <f t="array" ref="P31">INDEX(tblPrices[cv_2021], MATCH(tblEnterpriseUnits[[#This Row],[Products]],tblPrices[Products],0), 0)* tblEnterpriseUnits[[#This Row],[cv_2021]]/10^6</f>
        <v>0</v>
      </c>
      <c r="Q31" s="62" cm="1">
        <f t="array" ref="Q31">INDEX(tblPrices[cv_2022], MATCH(tblEnterpriseUnits[[#This Row],[Products]],tblPrices[Products],0), 0)* tblEnterpriseUnits[[#This Row],[cv_2022]]/10^6</f>
        <v>0</v>
      </c>
      <c r="R31" s="62" cm="1">
        <f t="array" ref="R31">INDEX(tblPrices[cv_2023], MATCH(tblEnterpriseUnits[[#This Row],[Products]],tblPrices[Products],0), 0)* tblEnterpriseUnits[[#This Row],[cv_2023]]/10^6</f>
        <v>0</v>
      </c>
      <c r="S31" s="62" cm="1">
        <f t="array" ref="S31">INDEX(tblPrices[cv_2024], MATCH(tblEnterpriseUnits[[#This Row],[Products]],tblPrices[Products],0), 0)* tblEnterpriseUnits[[#This Row],[cv_2024]]/10^6</f>
        <v>0</v>
      </c>
      <c r="T31" s="62" cm="1">
        <f t="array" ref="T31">INDEX(tblPrices[cv_2025], MATCH(tblEnterpriseUnits[[#This Row],[Products]],tblPrices[Products],0), 0)* tblEnterpriseUnits[[#This Row],[cv_2025]]/10^6</f>
        <v>0</v>
      </c>
      <c r="U31" s="62" cm="1">
        <f t="array" ref="U31">INDEX(tblPrices[cv_2026], MATCH(tblEnterpriseUnits[[#This Row],[Products]],tblPrices[Products],0), 0)* tblEnterpriseUnits[[#This Row],[cv_2026]]/10^6</f>
        <v>0</v>
      </c>
      <c r="V31" s="62" cm="1">
        <f t="array" ref="V31">INDEX(tblPrices[cv_2027], MATCH(tblEnterpriseUnits[[#This Row],[Products]],tblPrices[Products],0), 0)* tblEnterpriseUnits[[#This Row],[cv_2027]]/10^6</f>
        <v>0</v>
      </c>
      <c r="W31" s="62" cm="1">
        <f t="array" ref="W31">INDEX(tblPrices[cv_2028], MATCH(tblEnterpriseUnits[[#This Row],[Products]],tblPrices[Products],0), 0)* tblEnterpriseUnits[[#This Row],[cv_2028]]/10^6</f>
        <v>0</v>
      </c>
      <c r="X31" s="1">
        <f>VLOOKUP(A31,Products!$A$29:$F$110,6,FALSE)</f>
        <v>40</v>
      </c>
    </row>
    <row r="32" spans="1:24" s="1" customFormat="1" ht="13.15">
      <c r="A32" s="9" t="s">
        <v>168</v>
      </c>
      <c r="B32" s="8">
        <v>0</v>
      </c>
      <c r="C32" s="8">
        <v>0</v>
      </c>
      <c r="D32" s="8"/>
      <c r="E32" s="8"/>
      <c r="F32" s="8"/>
      <c r="G32" s="8"/>
      <c r="H32" s="8"/>
      <c r="I32" s="8"/>
      <c r="J32" s="8"/>
      <c r="K32" s="8"/>
      <c r="L32" s="8"/>
      <c r="M32" s="62" cm="1">
        <f t="array" ref="M32">INDEX(tblPrices[cv_2018], MATCH(tblEnterpriseUnits[[#This Row],[Products]],tblPrices[Products],0), 0)* tblEnterpriseUnits[[#This Row],[cv_2018]]/10^6</f>
        <v>0</v>
      </c>
      <c r="N32" s="62" cm="1">
        <f t="array" ref="N32">INDEX(tblPrices[cv_2019], MATCH(tblEnterpriseUnits[[#This Row],[Products]],tblPrices[Products],0), 0)* tblEnterpriseUnits[[#This Row],[cv_2019]]/10^6</f>
        <v>0</v>
      </c>
      <c r="O32" s="62" cm="1">
        <f t="array" ref="O32">INDEX(tblPrices[cv_2020], MATCH(tblEnterpriseUnits[[#This Row],[Products]],tblPrices[Products],0), 0)* tblEnterpriseUnits[[#This Row],[cv_2020]]/10^6</f>
        <v>0</v>
      </c>
      <c r="P32" s="62" cm="1">
        <f t="array" ref="P32">INDEX(tblPrices[cv_2021], MATCH(tblEnterpriseUnits[[#This Row],[Products]],tblPrices[Products],0), 0)* tblEnterpriseUnits[[#This Row],[cv_2021]]/10^6</f>
        <v>0</v>
      </c>
      <c r="Q32" s="62" cm="1">
        <f t="array" ref="Q32">INDEX(tblPrices[cv_2022], MATCH(tblEnterpriseUnits[[#This Row],[Products]],tblPrices[Products],0), 0)* tblEnterpriseUnits[[#This Row],[cv_2022]]/10^6</f>
        <v>0</v>
      </c>
      <c r="R32" s="62" cm="1">
        <f t="array" ref="R32">INDEX(tblPrices[cv_2023], MATCH(tblEnterpriseUnits[[#This Row],[Products]],tblPrices[Products],0), 0)* tblEnterpriseUnits[[#This Row],[cv_2023]]/10^6</f>
        <v>0</v>
      </c>
      <c r="S32" s="62" cm="1">
        <f t="array" ref="S32">INDEX(tblPrices[cv_2024], MATCH(tblEnterpriseUnits[[#This Row],[Products]],tblPrices[Products],0), 0)* tblEnterpriseUnits[[#This Row],[cv_2024]]/10^6</f>
        <v>0</v>
      </c>
      <c r="T32" s="62" cm="1">
        <f t="array" ref="T32">INDEX(tblPrices[cv_2025], MATCH(tblEnterpriseUnits[[#This Row],[Products]],tblPrices[Products],0), 0)* tblEnterpriseUnits[[#This Row],[cv_2025]]/10^6</f>
        <v>0</v>
      </c>
      <c r="U32" s="62" cm="1">
        <f t="array" ref="U32">INDEX(tblPrices[cv_2026], MATCH(tblEnterpriseUnits[[#This Row],[Products]],tblPrices[Products],0), 0)* tblEnterpriseUnits[[#This Row],[cv_2026]]/10^6</f>
        <v>0</v>
      </c>
      <c r="V32" s="62" cm="1">
        <f t="array" ref="V32">INDEX(tblPrices[cv_2027], MATCH(tblEnterpriseUnits[[#This Row],[Products]],tblPrices[Products],0), 0)* tblEnterpriseUnits[[#This Row],[cv_2027]]/10^6</f>
        <v>0</v>
      </c>
      <c r="W32" s="62" cm="1">
        <f t="array" ref="W32">INDEX(tblPrices[cv_2028], MATCH(tblEnterpriseUnits[[#This Row],[Products]],tblPrices[Products],0), 0)* tblEnterpriseUnits[[#This Row],[cv_2028]]/10^6</f>
        <v>0</v>
      </c>
      <c r="X32" s="1">
        <f>VLOOKUP(A32,Products!$A$29:$F$110,6,FALSE)</f>
        <v>40</v>
      </c>
    </row>
    <row r="33" spans="1:24" s="1" customFormat="1">
      <c r="A33" s="15" t="s">
        <v>169</v>
      </c>
      <c r="B33" s="8">
        <v>0</v>
      </c>
      <c r="C33" s="8">
        <v>0</v>
      </c>
      <c r="D33" s="8"/>
      <c r="E33" s="8"/>
      <c r="F33" s="8"/>
      <c r="G33" s="8"/>
      <c r="H33" s="8"/>
      <c r="I33" s="8"/>
      <c r="J33" s="8"/>
      <c r="K33" s="8"/>
      <c r="L33" s="8"/>
      <c r="M33" s="62" cm="1">
        <f t="array" ref="M33">INDEX(tblPrices[cv_2018], MATCH(tblEnterpriseUnits[[#This Row],[Products]],tblPrices[Products],0), 0)* tblEnterpriseUnits[[#This Row],[cv_2018]]/10^6</f>
        <v>0</v>
      </c>
      <c r="N33" s="62" cm="1">
        <f t="array" ref="N33">INDEX(tblPrices[cv_2019], MATCH(tblEnterpriseUnits[[#This Row],[Products]],tblPrices[Products],0), 0)* tblEnterpriseUnits[[#This Row],[cv_2019]]/10^6</f>
        <v>0</v>
      </c>
      <c r="O33" s="62" cm="1">
        <f t="array" ref="O33">INDEX(tblPrices[cv_2020], MATCH(tblEnterpriseUnits[[#This Row],[Products]],tblPrices[Products],0), 0)* tblEnterpriseUnits[[#This Row],[cv_2020]]/10^6</f>
        <v>0</v>
      </c>
      <c r="P33" s="62" cm="1">
        <f t="array" ref="P33">INDEX(tblPrices[cv_2021], MATCH(tblEnterpriseUnits[[#This Row],[Products]],tblPrices[Products],0), 0)* tblEnterpriseUnits[[#This Row],[cv_2021]]/10^6</f>
        <v>0</v>
      </c>
      <c r="Q33" s="62" cm="1">
        <f t="array" ref="Q33">INDEX(tblPrices[cv_2022], MATCH(tblEnterpriseUnits[[#This Row],[Products]],tblPrices[Products],0), 0)* tblEnterpriseUnits[[#This Row],[cv_2022]]/10^6</f>
        <v>0</v>
      </c>
      <c r="R33" s="62" cm="1">
        <f t="array" ref="R33">INDEX(tblPrices[cv_2023], MATCH(tblEnterpriseUnits[[#This Row],[Products]],tblPrices[Products],0), 0)* tblEnterpriseUnits[[#This Row],[cv_2023]]/10^6</f>
        <v>0</v>
      </c>
      <c r="S33" s="62" cm="1">
        <f t="array" ref="S33">INDEX(tblPrices[cv_2024], MATCH(tblEnterpriseUnits[[#This Row],[Products]],tblPrices[Products],0), 0)* tblEnterpriseUnits[[#This Row],[cv_2024]]/10^6</f>
        <v>0</v>
      </c>
      <c r="T33" s="62" cm="1">
        <f t="array" ref="T33">INDEX(tblPrices[cv_2025], MATCH(tblEnterpriseUnits[[#This Row],[Products]],tblPrices[Products],0), 0)* tblEnterpriseUnits[[#This Row],[cv_2025]]/10^6</f>
        <v>0</v>
      </c>
      <c r="U33" s="62" cm="1">
        <f t="array" ref="U33">INDEX(tblPrices[cv_2026], MATCH(tblEnterpriseUnits[[#This Row],[Products]],tblPrices[Products],0), 0)* tblEnterpriseUnits[[#This Row],[cv_2026]]/10^6</f>
        <v>0</v>
      </c>
      <c r="V33" s="62" cm="1">
        <f t="array" ref="V33">INDEX(tblPrices[cv_2027], MATCH(tblEnterpriseUnits[[#This Row],[Products]],tblPrices[Products],0), 0)* tblEnterpriseUnits[[#This Row],[cv_2027]]/10^6</f>
        <v>0</v>
      </c>
      <c r="W33" s="62" cm="1">
        <f t="array" ref="W33">INDEX(tblPrices[cv_2028], MATCH(tblEnterpriseUnits[[#This Row],[Products]],tblPrices[Products],0), 0)* tblEnterpriseUnits[[#This Row],[cv_2028]]/10^6</f>
        <v>0</v>
      </c>
      <c r="X33" s="1">
        <f>VLOOKUP(A33,Products!$A$29:$F$110,6,FALSE)</f>
        <v>40</v>
      </c>
    </row>
    <row r="34" spans="1:24" s="1" customFormat="1">
      <c r="A34" s="15" t="s">
        <v>2</v>
      </c>
      <c r="B34" s="8">
        <v>0</v>
      </c>
      <c r="C34" s="8">
        <v>0</v>
      </c>
      <c r="D34" s="8"/>
      <c r="E34" s="8"/>
      <c r="F34" s="8"/>
      <c r="G34" s="8"/>
      <c r="H34" s="8"/>
      <c r="I34" s="8"/>
      <c r="J34" s="8"/>
      <c r="K34" s="8"/>
      <c r="L34" s="8"/>
      <c r="M34" s="62" cm="1">
        <f t="array" ref="M34">INDEX(tblPrices[cv_2018], MATCH(tblEnterpriseUnits[[#This Row],[Products]],tblPrices[Products],0), 0)* tblEnterpriseUnits[[#This Row],[cv_2018]]/10^6</f>
        <v>0</v>
      </c>
      <c r="N34" s="62" cm="1">
        <f t="array" ref="N34">INDEX(tblPrices[cv_2019], MATCH(tblEnterpriseUnits[[#This Row],[Products]],tblPrices[Products],0), 0)* tblEnterpriseUnits[[#This Row],[cv_2019]]/10^6</f>
        <v>0</v>
      </c>
      <c r="O34" s="62" cm="1">
        <f t="array" ref="O34">INDEX(tblPrices[cv_2020], MATCH(tblEnterpriseUnits[[#This Row],[Products]],tblPrices[Products],0), 0)* tblEnterpriseUnits[[#This Row],[cv_2020]]/10^6</f>
        <v>0</v>
      </c>
      <c r="P34" s="62" cm="1">
        <f t="array" ref="P34">INDEX(tblPrices[cv_2021], MATCH(tblEnterpriseUnits[[#This Row],[Products]],tblPrices[Products],0), 0)* tblEnterpriseUnits[[#This Row],[cv_2021]]/10^6</f>
        <v>0</v>
      </c>
      <c r="Q34" s="62" cm="1">
        <f t="array" ref="Q34">INDEX(tblPrices[cv_2022], MATCH(tblEnterpriseUnits[[#This Row],[Products]],tblPrices[Products],0), 0)* tblEnterpriseUnits[[#This Row],[cv_2022]]/10^6</f>
        <v>0</v>
      </c>
      <c r="R34" s="62" cm="1">
        <f t="array" ref="R34">INDEX(tblPrices[cv_2023], MATCH(tblEnterpriseUnits[[#This Row],[Products]],tblPrices[Products],0), 0)* tblEnterpriseUnits[[#This Row],[cv_2023]]/10^6</f>
        <v>0</v>
      </c>
      <c r="S34" s="62" cm="1">
        <f t="array" ref="S34">INDEX(tblPrices[cv_2024], MATCH(tblEnterpriseUnits[[#This Row],[Products]],tblPrices[Products],0), 0)* tblEnterpriseUnits[[#This Row],[cv_2024]]/10^6</f>
        <v>0</v>
      </c>
      <c r="T34" s="62" cm="1">
        <f t="array" ref="T34">INDEX(tblPrices[cv_2025], MATCH(tblEnterpriseUnits[[#This Row],[Products]],tblPrices[Products],0), 0)* tblEnterpriseUnits[[#This Row],[cv_2025]]/10^6</f>
        <v>0</v>
      </c>
      <c r="U34" s="62" cm="1">
        <f t="array" ref="U34">INDEX(tblPrices[cv_2026], MATCH(tblEnterpriseUnits[[#This Row],[Products]],tblPrices[Products],0), 0)* tblEnterpriseUnits[[#This Row],[cv_2026]]/10^6</f>
        <v>0</v>
      </c>
      <c r="V34" s="62" cm="1">
        <f t="array" ref="V34">INDEX(tblPrices[cv_2027], MATCH(tblEnterpriseUnits[[#This Row],[Products]],tblPrices[Products],0), 0)* tblEnterpriseUnits[[#This Row],[cv_2027]]/10^6</f>
        <v>0</v>
      </c>
      <c r="W34" s="62" cm="1">
        <f t="array" ref="W34">INDEX(tblPrices[cv_2028], MATCH(tblEnterpriseUnits[[#This Row],[Products]],tblPrices[Products],0), 0)* tblEnterpriseUnits[[#This Row],[cv_2028]]/10^6</f>
        <v>0</v>
      </c>
      <c r="X34" s="1">
        <f>VLOOKUP(A34,Products!$A$29:$F$110,6,FALSE)</f>
        <v>40</v>
      </c>
    </row>
    <row r="35" spans="1:24" s="1" customFormat="1">
      <c r="A35" s="15" t="s">
        <v>170</v>
      </c>
      <c r="B35" s="8">
        <v>0</v>
      </c>
      <c r="C35" s="8">
        <v>0</v>
      </c>
      <c r="D35" s="8"/>
      <c r="E35" s="8"/>
      <c r="F35" s="8"/>
      <c r="G35" s="8"/>
      <c r="H35" s="8"/>
      <c r="I35" s="8"/>
      <c r="J35" s="8"/>
      <c r="K35" s="8"/>
      <c r="L35" s="8"/>
      <c r="M35" s="62" cm="1">
        <f t="array" ref="M35">INDEX(tblPrices[cv_2018], MATCH(tblEnterpriseUnits[[#This Row],[Products]],tblPrices[Products],0), 0)* tblEnterpriseUnits[[#This Row],[cv_2018]]/10^6</f>
        <v>0</v>
      </c>
      <c r="N35" s="62" cm="1">
        <f t="array" ref="N35">INDEX(tblPrices[cv_2019], MATCH(tblEnterpriseUnits[[#This Row],[Products]],tblPrices[Products],0), 0)* tblEnterpriseUnits[[#This Row],[cv_2019]]/10^6</f>
        <v>0</v>
      </c>
      <c r="O35" s="62" cm="1">
        <f t="array" ref="O35">INDEX(tblPrices[cv_2020], MATCH(tblEnterpriseUnits[[#This Row],[Products]],tblPrices[Products],0), 0)* tblEnterpriseUnits[[#This Row],[cv_2020]]/10^6</f>
        <v>0</v>
      </c>
      <c r="P35" s="62" cm="1">
        <f t="array" ref="P35">INDEX(tblPrices[cv_2021], MATCH(tblEnterpriseUnits[[#This Row],[Products]],tblPrices[Products],0), 0)* tblEnterpriseUnits[[#This Row],[cv_2021]]/10^6</f>
        <v>0</v>
      </c>
      <c r="Q35" s="62" cm="1">
        <f t="array" ref="Q35">INDEX(tblPrices[cv_2022], MATCH(tblEnterpriseUnits[[#This Row],[Products]],tblPrices[Products],0), 0)* tblEnterpriseUnits[[#This Row],[cv_2022]]/10^6</f>
        <v>0</v>
      </c>
      <c r="R35" s="62" cm="1">
        <f t="array" ref="R35">INDEX(tblPrices[cv_2023], MATCH(tblEnterpriseUnits[[#This Row],[Products]],tblPrices[Products],0), 0)* tblEnterpriseUnits[[#This Row],[cv_2023]]/10^6</f>
        <v>0</v>
      </c>
      <c r="S35" s="62" cm="1">
        <f t="array" ref="S35">INDEX(tblPrices[cv_2024], MATCH(tblEnterpriseUnits[[#This Row],[Products]],tblPrices[Products],0), 0)* tblEnterpriseUnits[[#This Row],[cv_2024]]/10^6</f>
        <v>0</v>
      </c>
      <c r="T35" s="62" cm="1">
        <f t="array" ref="T35">INDEX(tblPrices[cv_2025], MATCH(tblEnterpriseUnits[[#This Row],[Products]],tblPrices[Products],0), 0)* tblEnterpriseUnits[[#This Row],[cv_2025]]/10^6</f>
        <v>0</v>
      </c>
      <c r="U35" s="62" cm="1">
        <f t="array" ref="U35">INDEX(tblPrices[cv_2026], MATCH(tblEnterpriseUnits[[#This Row],[Products]],tblPrices[Products],0), 0)* tblEnterpriseUnits[[#This Row],[cv_2026]]/10^6</f>
        <v>0</v>
      </c>
      <c r="V35" s="62" cm="1">
        <f t="array" ref="V35">INDEX(tblPrices[cv_2027], MATCH(tblEnterpriseUnits[[#This Row],[Products]],tblPrices[Products],0), 0)* tblEnterpriseUnits[[#This Row],[cv_2027]]/10^6</f>
        <v>0</v>
      </c>
      <c r="W35" s="62" cm="1">
        <f t="array" ref="W35">INDEX(tblPrices[cv_2028], MATCH(tblEnterpriseUnits[[#This Row],[Products]],tblPrices[Products],0), 0)* tblEnterpriseUnits[[#This Row],[cv_2028]]/10^6</f>
        <v>0</v>
      </c>
      <c r="X35" s="1">
        <f>VLOOKUP(A35,Products!$A$29:$F$110,6,FALSE)</f>
        <v>40</v>
      </c>
    </row>
    <row r="36" spans="1:24" s="1" customFormat="1">
      <c r="A36" s="15" t="s">
        <v>171</v>
      </c>
      <c r="B36" s="8">
        <v>53867.399999999987</v>
      </c>
      <c r="C36" s="8">
        <v>69013.199999999983</v>
      </c>
      <c r="D36" s="8"/>
      <c r="E36" s="8"/>
      <c r="F36" s="8"/>
      <c r="G36" s="8"/>
      <c r="H36" s="8"/>
      <c r="I36" s="8"/>
      <c r="J36" s="8"/>
      <c r="K36" s="8"/>
      <c r="L36" s="8"/>
      <c r="M36" s="62" cm="1">
        <f t="array" ref="M36">INDEX(tblPrices[cv_2018], MATCH(tblEnterpriseUnits[[#This Row],[Products]],tblPrices[Products],0), 0)* tblEnterpriseUnits[[#This Row],[cv_2018]]/10^6</f>
        <v>19.487660895999987</v>
      </c>
      <c r="N36" s="62" cm="1">
        <f t="array" ref="N36">INDEX(tblPrices[cv_2019], MATCH(tblEnterpriseUnits[[#This Row],[Products]],tblPrices[Products],0), 0)* tblEnterpriseUnits[[#This Row],[cv_2019]]/10^6</f>
        <v>17.136421657060176</v>
      </c>
      <c r="O36" s="62" cm="1">
        <f t="array" ref="O36">INDEX(tblPrices[cv_2020], MATCH(tblEnterpriseUnits[[#This Row],[Products]],tblPrices[Products],0), 0)* tblEnterpriseUnits[[#This Row],[cv_2020]]/10^6</f>
        <v>0</v>
      </c>
      <c r="P36" s="62" cm="1">
        <f t="array" ref="P36">INDEX(tblPrices[cv_2021], MATCH(tblEnterpriseUnits[[#This Row],[Products]],tblPrices[Products],0), 0)* tblEnterpriseUnits[[#This Row],[cv_2021]]/10^6</f>
        <v>0</v>
      </c>
      <c r="Q36" s="62" cm="1">
        <f t="array" ref="Q36">INDEX(tblPrices[cv_2022], MATCH(tblEnterpriseUnits[[#This Row],[Products]],tblPrices[Products],0), 0)* tblEnterpriseUnits[[#This Row],[cv_2022]]/10^6</f>
        <v>0</v>
      </c>
      <c r="R36" s="62" cm="1">
        <f t="array" ref="R36">INDEX(tblPrices[cv_2023], MATCH(tblEnterpriseUnits[[#This Row],[Products]],tblPrices[Products],0), 0)* tblEnterpriseUnits[[#This Row],[cv_2023]]/10^6</f>
        <v>0</v>
      </c>
      <c r="S36" s="62" cm="1">
        <f t="array" ref="S36">INDEX(tblPrices[cv_2024], MATCH(tblEnterpriseUnits[[#This Row],[Products]],tblPrices[Products],0), 0)* tblEnterpriseUnits[[#This Row],[cv_2024]]/10^6</f>
        <v>0</v>
      </c>
      <c r="T36" s="62" cm="1">
        <f t="array" ref="T36">INDEX(tblPrices[cv_2025], MATCH(tblEnterpriseUnits[[#This Row],[Products]],tblPrices[Products],0), 0)* tblEnterpriseUnits[[#This Row],[cv_2025]]/10^6</f>
        <v>0</v>
      </c>
      <c r="U36" s="62" cm="1">
        <f t="array" ref="U36">INDEX(tblPrices[cv_2026], MATCH(tblEnterpriseUnits[[#This Row],[Products]],tblPrices[Products],0), 0)* tblEnterpriseUnits[[#This Row],[cv_2026]]/10^6</f>
        <v>0</v>
      </c>
      <c r="V36" s="62" cm="1">
        <f t="array" ref="V36">INDEX(tblPrices[cv_2027], MATCH(tblEnterpriseUnits[[#This Row],[Products]],tblPrices[Products],0), 0)* tblEnterpriseUnits[[#This Row],[cv_2027]]/10^6</f>
        <v>0</v>
      </c>
      <c r="W36" s="62" cm="1">
        <f t="array" ref="W36">INDEX(tblPrices[cv_2028], MATCH(tblEnterpriseUnits[[#This Row],[Products]],tblPrices[Products],0), 0)* tblEnterpriseUnits[[#This Row],[cv_2028]]/10^6</f>
        <v>0</v>
      </c>
      <c r="X36" s="1">
        <f>VLOOKUP(A36,Products!$A$29:$F$110,6,FALSE)</f>
        <v>40</v>
      </c>
    </row>
    <row r="37" spans="1:24" s="1" customFormat="1">
      <c r="A37" s="15" t="s">
        <v>172</v>
      </c>
      <c r="B37" s="8">
        <v>4852.1600000000008</v>
      </c>
      <c r="C37" s="8">
        <v>2953.5</v>
      </c>
      <c r="D37" s="8"/>
      <c r="E37" s="8"/>
      <c r="F37" s="8"/>
      <c r="G37" s="8"/>
      <c r="H37" s="8"/>
      <c r="I37" s="8"/>
      <c r="J37" s="8"/>
      <c r="K37" s="8"/>
      <c r="L37" s="8"/>
      <c r="M37" s="62" cm="1">
        <f t="array" ref="M37">INDEX(tblPrices[cv_2018], MATCH(tblEnterpriseUnits[[#This Row],[Products]],tblPrices[Products],0), 0)* tblEnterpriseUnits[[#This Row],[cv_2018]]/10^6</f>
        <v>6.0897074199999981</v>
      </c>
      <c r="N37" s="62" cm="1">
        <f t="array" ref="N37">INDEX(tblPrices[cv_2019], MATCH(tblEnterpriseUnits[[#This Row],[Products]],tblPrices[Products],0), 0)* tblEnterpriseUnits[[#This Row],[cv_2019]]/10^6</f>
        <v>2.6413021800000029</v>
      </c>
      <c r="O37" s="62" cm="1">
        <f t="array" ref="O37">INDEX(tblPrices[cv_2020], MATCH(tblEnterpriseUnits[[#This Row],[Products]],tblPrices[Products],0), 0)* tblEnterpriseUnits[[#This Row],[cv_2020]]/10^6</f>
        <v>0</v>
      </c>
      <c r="P37" s="62" cm="1">
        <f t="array" ref="P37">INDEX(tblPrices[cv_2021], MATCH(tblEnterpriseUnits[[#This Row],[Products]],tblPrices[Products],0), 0)* tblEnterpriseUnits[[#This Row],[cv_2021]]/10^6</f>
        <v>0</v>
      </c>
      <c r="Q37" s="62" cm="1">
        <f t="array" ref="Q37">INDEX(tblPrices[cv_2022], MATCH(tblEnterpriseUnits[[#This Row],[Products]],tblPrices[Products],0), 0)* tblEnterpriseUnits[[#This Row],[cv_2022]]/10^6</f>
        <v>0</v>
      </c>
      <c r="R37" s="62" cm="1">
        <f t="array" ref="R37">INDEX(tblPrices[cv_2023], MATCH(tblEnterpriseUnits[[#This Row],[Products]],tblPrices[Products],0), 0)* tblEnterpriseUnits[[#This Row],[cv_2023]]/10^6</f>
        <v>0</v>
      </c>
      <c r="S37" s="62" cm="1">
        <f t="array" ref="S37">INDEX(tblPrices[cv_2024], MATCH(tblEnterpriseUnits[[#This Row],[Products]],tblPrices[Products],0), 0)* tblEnterpriseUnits[[#This Row],[cv_2024]]/10^6</f>
        <v>0</v>
      </c>
      <c r="T37" s="62" cm="1">
        <f t="array" ref="T37">INDEX(tblPrices[cv_2025], MATCH(tblEnterpriseUnits[[#This Row],[Products]],tblPrices[Products],0), 0)* tblEnterpriseUnits[[#This Row],[cv_2025]]/10^6</f>
        <v>0</v>
      </c>
      <c r="U37" s="62" cm="1">
        <f t="array" ref="U37">INDEX(tblPrices[cv_2026], MATCH(tblEnterpriseUnits[[#This Row],[Products]],tblPrices[Products],0), 0)* tblEnterpriseUnits[[#This Row],[cv_2026]]/10^6</f>
        <v>0</v>
      </c>
      <c r="V37" s="62" cm="1">
        <f t="array" ref="V37">INDEX(tblPrices[cv_2027], MATCH(tblEnterpriseUnits[[#This Row],[Products]],tblPrices[Products],0), 0)* tblEnterpriseUnits[[#This Row],[cv_2027]]/10^6</f>
        <v>0</v>
      </c>
      <c r="W37" s="62" cm="1">
        <f t="array" ref="W37">INDEX(tblPrices[cv_2028], MATCH(tblEnterpriseUnits[[#This Row],[Products]],tblPrices[Products],0), 0)* tblEnterpriseUnits[[#This Row],[cv_2028]]/10^6</f>
        <v>0</v>
      </c>
      <c r="X37" s="1">
        <f>VLOOKUP(A37,Products!$A$29:$F$110,6,FALSE)</f>
        <v>40</v>
      </c>
    </row>
    <row r="38" spans="1:24" s="1" customFormat="1">
      <c r="A38" s="15" t="s">
        <v>173</v>
      </c>
      <c r="B38" s="8">
        <v>0</v>
      </c>
      <c r="C38" s="8">
        <v>0</v>
      </c>
      <c r="D38" s="8"/>
      <c r="E38" s="8"/>
      <c r="F38" s="8"/>
      <c r="G38" s="8"/>
      <c r="H38" s="8"/>
      <c r="I38" s="8"/>
      <c r="J38" s="8"/>
      <c r="K38" s="8"/>
      <c r="L38" s="8"/>
      <c r="M38" s="62" cm="1">
        <f t="array" ref="M38">INDEX(tblPrices[cv_2018], MATCH(tblEnterpriseUnits[[#This Row],[Products]],tblPrices[Products],0), 0)* tblEnterpriseUnits[[#This Row],[cv_2018]]/10^6</f>
        <v>0</v>
      </c>
      <c r="N38" s="62" cm="1">
        <f t="array" ref="N38">INDEX(tblPrices[cv_2019], MATCH(tblEnterpriseUnits[[#This Row],[Products]],tblPrices[Products],0), 0)* tblEnterpriseUnits[[#This Row],[cv_2019]]/10^6</f>
        <v>0</v>
      </c>
      <c r="O38" s="62" cm="1">
        <f t="array" ref="O38">INDEX(tblPrices[cv_2020], MATCH(tblEnterpriseUnits[[#This Row],[Products]],tblPrices[Products],0), 0)* tblEnterpriseUnits[[#This Row],[cv_2020]]/10^6</f>
        <v>0</v>
      </c>
      <c r="P38" s="62" cm="1">
        <f t="array" ref="P38">INDEX(tblPrices[cv_2021], MATCH(tblEnterpriseUnits[[#This Row],[Products]],tblPrices[Products],0), 0)* tblEnterpriseUnits[[#This Row],[cv_2021]]/10^6</f>
        <v>0</v>
      </c>
      <c r="Q38" s="62" cm="1">
        <f t="array" ref="Q38">INDEX(tblPrices[cv_2022], MATCH(tblEnterpriseUnits[[#This Row],[Products]],tblPrices[Products],0), 0)* tblEnterpriseUnits[[#This Row],[cv_2022]]/10^6</f>
        <v>0</v>
      </c>
      <c r="R38" s="62" cm="1">
        <f t="array" ref="R38">INDEX(tblPrices[cv_2023], MATCH(tblEnterpriseUnits[[#This Row],[Products]],tblPrices[Products],0), 0)* tblEnterpriseUnits[[#This Row],[cv_2023]]/10^6</f>
        <v>0</v>
      </c>
      <c r="S38" s="62" cm="1">
        <f t="array" ref="S38">INDEX(tblPrices[cv_2024], MATCH(tblEnterpriseUnits[[#This Row],[Products]],tblPrices[Products],0), 0)* tblEnterpriseUnits[[#This Row],[cv_2024]]/10^6</f>
        <v>0</v>
      </c>
      <c r="T38" s="62" cm="1">
        <f t="array" ref="T38">INDEX(tblPrices[cv_2025], MATCH(tblEnterpriseUnits[[#This Row],[Products]],tblPrices[Products],0), 0)* tblEnterpriseUnits[[#This Row],[cv_2025]]/10^6</f>
        <v>0</v>
      </c>
      <c r="U38" s="62" cm="1">
        <f t="array" ref="U38">INDEX(tblPrices[cv_2026], MATCH(tblEnterpriseUnits[[#This Row],[Products]],tblPrices[Products],0), 0)* tblEnterpriseUnits[[#This Row],[cv_2026]]/10^6</f>
        <v>0</v>
      </c>
      <c r="V38" s="62" cm="1">
        <f t="array" ref="V38">INDEX(tblPrices[cv_2027], MATCH(tblEnterpriseUnits[[#This Row],[Products]],tblPrices[Products],0), 0)* tblEnterpriseUnits[[#This Row],[cv_2027]]/10^6</f>
        <v>0</v>
      </c>
      <c r="W38" s="62" cm="1">
        <f t="array" ref="W38">INDEX(tblPrices[cv_2028], MATCH(tblEnterpriseUnits[[#This Row],[Products]],tblPrices[Products],0), 0)* tblEnterpriseUnits[[#This Row],[cv_2028]]/10^6</f>
        <v>0</v>
      </c>
      <c r="X38" s="1">
        <f>VLOOKUP(A38,Products!$A$29:$F$110,6,FALSE)</f>
        <v>50</v>
      </c>
    </row>
    <row r="39" spans="1:24">
      <c r="A39" s="15" t="s">
        <v>174</v>
      </c>
      <c r="B39" s="8">
        <v>0</v>
      </c>
      <c r="C39" s="8">
        <v>0</v>
      </c>
      <c r="D39" s="8"/>
      <c r="E39" s="8"/>
      <c r="F39" s="8"/>
      <c r="G39" s="8"/>
      <c r="H39" s="8"/>
      <c r="I39" s="8"/>
      <c r="J39" s="8"/>
      <c r="K39" s="8"/>
      <c r="L39" s="8"/>
      <c r="M39" s="62" cm="1">
        <f t="array" ref="M39">INDEX(tblPrices[cv_2018], MATCH(tblEnterpriseUnits[[#This Row],[Products]],tblPrices[Products],0), 0)* tblEnterpriseUnits[[#This Row],[cv_2018]]/10^6</f>
        <v>0</v>
      </c>
      <c r="N39" s="62" cm="1">
        <f t="array" ref="N39">INDEX(tblPrices[cv_2019], MATCH(tblEnterpriseUnits[[#This Row],[Products]],tblPrices[Products],0), 0)* tblEnterpriseUnits[[#This Row],[cv_2019]]/10^6</f>
        <v>0</v>
      </c>
      <c r="O39" s="62" cm="1">
        <f t="array" ref="O39">INDEX(tblPrices[cv_2020], MATCH(tblEnterpriseUnits[[#This Row],[Products]],tblPrices[Products],0), 0)* tblEnterpriseUnits[[#This Row],[cv_2020]]/10^6</f>
        <v>0</v>
      </c>
      <c r="P39" s="62" cm="1">
        <f t="array" ref="P39">INDEX(tblPrices[cv_2021], MATCH(tblEnterpriseUnits[[#This Row],[Products]],tblPrices[Products],0), 0)* tblEnterpriseUnits[[#This Row],[cv_2021]]/10^6</f>
        <v>0</v>
      </c>
      <c r="Q39" s="62" cm="1">
        <f t="array" ref="Q39">INDEX(tblPrices[cv_2022], MATCH(tblEnterpriseUnits[[#This Row],[Products]],tblPrices[Products],0), 0)* tblEnterpriseUnits[[#This Row],[cv_2022]]/10^6</f>
        <v>0</v>
      </c>
      <c r="R39" s="62" cm="1">
        <f t="array" ref="R39">INDEX(tblPrices[cv_2023], MATCH(tblEnterpriseUnits[[#This Row],[Products]],tblPrices[Products],0), 0)* tblEnterpriseUnits[[#This Row],[cv_2023]]/10^6</f>
        <v>0</v>
      </c>
      <c r="S39" s="62" cm="1">
        <f t="array" ref="S39">INDEX(tblPrices[cv_2024], MATCH(tblEnterpriseUnits[[#This Row],[Products]],tblPrices[Products],0), 0)* tblEnterpriseUnits[[#This Row],[cv_2024]]/10^6</f>
        <v>0</v>
      </c>
      <c r="T39" s="62" cm="1">
        <f t="array" ref="T39">INDEX(tblPrices[cv_2025], MATCH(tblEnterpriseUnits[[#This Row],[Products]],tblPrices[Products],0), 0)* tblEnterpriseUnits[[#This Row],[cv_2025]]/10^6</f>
        <v>0</v>
      </c>
      <c r="U39" s="62" cm="1">
        <f t="array" ref="U39">INDEX(tblPrices[cv_2026], MATCH(tblEnterpriseUnits[[#This Row],[Products]],tblPrices[Products],0), 0)* tblEnterpriseUnits[[#This Row],[cv_2026]]/10^6</f>
        <v>0</v>
      </c>
      <c r="V39" s="62" cm="1">
        <f t="array" ref="V39">INDEX(tblPrices[cv_2027], MATCH(tblEnterpriseUnits[[#This Row],[Products]],tblPrices[Products],0), 0)* tblEnterpriseUnits[[#This Row],[cv_2027]]/10^6</f>
        <v>0</v>
      </c>
      <c r="W39" s="62" cm="1">
        <f t="array" ref="W39">INDEX(tblPrices[cv_2028], MATCH(tblEnterpriseUnits[[#This Row],[Products]],tblPrices[Products],0), 0)* tblEnterpriseUnits[[#This Row],[cv_2028]]/10^6</f>
        <v>0</v>
      </c>
      <c r="X39" s="1">
        <f>VLOOKUP(A39,Products!$A$29:$F$110,6,FALSE)</f>
        <v>50</v>
      </c>
    </row>
    <row r="40" spans="1:24">
      <c r="A40" s="15" t="s">
        <v>175</v>
      </c>
      <c r="B40" s="8">
        <v>0</v>
      </c>
      <c r="C40" s="8">
        <v>0</v>
      </c>
      <c r="D40" s="8"/>
      <c r="E40" s="8"/>
      <c r="F40" s="8"/>
      <c r="G40" s="8"/>
      <c r="H40" s="8"/>
      <c r="I40" s="8"/>
      <c r="J40" s="8"/>
      <c r="K40" s="8"/>
      <c r="L40" s="8"/>
      <c r="M40" s="62" cm="1">
        <f t="array" ref="M40">INDEX(tblPrices[cv_2018], MATCH(tblEnterpriseUnits[[#This Row],[Products]],tblPrices[Products],0), 0)* tblEnterpriseUnits[[#This Row],[cv_2018]]/10^6</f>
        <v>0</v>
      </c>
      <c r="N40" s="62" cm="1">
        <f t="array" ref="N40">INDEX(tblPrices[cv_2019], MATCH(tblEnterpriseUnits[[#This Row],[Products]],tblPrices[Products],0), 0)* tblEnterpriseUnits[[#This Row],[cv_2019]]/10^6</f>
        <v>0</v>
      </c>
      <c r="O40" s="62" cm="1">
        <f t="array" ref="O40">INDEX(tblPrices[cv_2020], MATCH(tblEnterpriseUnits[[#This Row],[Products]],tblPrices[Products],0), 0)* tblEnterpriseUnits[[#This Row],[cv_2020]]/10^6</f>
        <v>0</v>
      </c>
      <c r="P40" s="62" cm="1">
        <f t="array" ref="P40">INDEX(tblPrices[cv_2021], MATCH(tblEnterpriseUnits[[#This Row],[Products]],tblPrices[Products],0), 0)* tblEnterpriseUnits[[#This Row],[cv_2021]]/10^6</f>
        <v>0</v>
      </c>
      <c r="Q40" s="62" cm="1">
        <f t="array" ref="Q40">INDEX(tblPrices[cv_2022], MATCH(tblEnterpriseUnits[[#This Row],[Products]],tblPrices[Products],0), 0)* tblEnterpriseUnits[[#This Row],[cv_2022]]/10^6</f>
        <v>0</v>
      </c>
      <c r="R40" s="62" cm="1">
        <f t="array" ref="R40">INDEX(tblPrices[cv_2023], MATCH(tblEnterpriseUnits[[#This Row],[Products]],tblPrices[Products],0), 0)* tblEnterpriseUnits[[#This Row],[cv_2023]]/10^6</f>
        <v>0</v>
      </c>
      <c r="S40" s="62" cm="1">
        <f t="array" ref="S40">INDEX(tblPrices[cv_2024], MATCH(tblEnterpriseUnits[[#This Row],[Products]],tblPrices[Products],0), 0)* tblEnterpriseUnits[[#This Row],[cv_2024]]/10^6</f>
        <v>0</v>
      </c>
      <c r="T40" s="62" cm="1">
        <f t="array" ref="T40">INDEX(tblPrices[cv_2025], MATCH(tblEnterpriseUnits[[#This Row],[Products]],tblPrices[Products],0), 0)* tblEnterpriseUnits[[#This Row],[cv_2025]]/10^6</f>
        <v>0</v>
      </c>
      <c r="U40" s="62" cm="1">
        <f t="array" ref="U40">INDEX(tblPrices[cv_2026], MATCH(tblEnterpriseUnits[[#This Row],[Products]],tblPrices[Products],0), 0)* tblEnterpriseUnits[[#This Row],[cv_2026]]/10^6</f>
        <v>0</v>
      </c>
      <c r="V40" s="62" cm="1">
        <f t="array" ref="V40">INDEX(tblPrices[cv_2027], MATCH(tblEnterpriseUnits[[#This Row],[Products]],tblPrices[Products],0), 0)* tblEnterpriseUnits[[#This Row],[cv_2027]]/10^6</f>
        <v>0</v>
      </c>
      <c r="W40" s="62" cm="1">
        <f t="array" ref="W40">INDEX(tblPrices[cv_2028], MATCH(tblEnterpriseUnits[[#This Row],[Products]],tblPrices[Products],0), 0)* tblEnterpriseUnits[[#This Row],[cv_2028]]/10^6</f>
        <v>0</v>
      </c>
      <c r="X40" s="1">
        <f>VLOOKUP(A40,Products!$A$29:$F$110,6,FALSE)</f>
        <v>50</v>
      </c>
    </row>
    <row r="41" spans="1:24">
      <c r="A41" s="15" t="s">
        <v>176</v>
      </c>
      <c r="B41" s="8">
        <v>0</v>
      </c>
      <c r="C41" s="8">
        <v>0</v>
      </c>
      <c r="D41" s="8"/>
      <c r="E41" s="8"/>
      <c r="F41" s="8"/>
      <c r="G41" s="8"/>
      <c r="H41" s="8"/>
      <c r="I41" s="8"/>
      <c r="J41" s="8"/>
      <c r="K41" s="8"/>
      <c r="L41" s="8"/>
      <c r="M41" s="62" cm="1">
        <f t="array" ref="M41">INDEX(tblPrices[cv_2018], MATCH(tblEnterpriseUnits[[#This Row],[Products]],tblPrices[Products],0), 0)* tblEnterpriseUnits[[#This Row],[cv_2018]]/10^6</f>
        <v>0</v>
      </c>
      <c r="N41" s="62" cm="1">
        <f t="array" ref="N41">INDEX(tblPrices[cv_2019], MATCH(tblEnterpriseUnits[[#This Row],[Products]],tblPrices[Products],0), 0)* tblEnterpriseUnits[[#This Row],[cv_2019]]/10^6</f>
        <v>0</v>
      </c>
      <c r="O41" s="62" cm="1">
        <f t="array" ref="O41">INDEX(tblPrices[cv_2020], MATCH(tblEnterpriseUnits[[#This Row],[Products]],tblPrices[Products],0), 0)* tblEnterpriseUnits[[#This Row],[cv_2020]]/10^6</f>
        <v>0</v>
      </c>
      <c r="P41" s="62" cm="1">
        <f t="array" ref="P41">INDEX(tblPrices[cv_2021], MATCH(tblEnterpriseUnits[[#This Row],[Products]],tblPrices[Products],0), 0)* tblEnterpriseUnits[[#This Row],[cv_2021]]/10^6</f>
        <v>0</v>
      </c>
      <c r="Q41" s="62" cm="1">
        <f t="array" ref="Q41">INDEX(tblPrices[cv_2022], MATCH(tblEnterpriseUnits[[#This Row],[Products]],tblPrices[Products],0), 0)* tblEnterpriseUnits[[#This Row],[cv_2022]]/10^6</f>
        <v>0</v>
      </c>
      <c r="R41" s="62" cm="1">
        <f t="array" ref="R41">INDEX(tblPrices[cv_2023], MATCH(tblEnterpriseUnits[[#This Row],[Products]],tblPrices[Products],0), 0)* tblEnterpriseUnits[[#This Row],[cv_2023]]/10^6</f>
        <v>0</v>
      </c>
      <c r="S41" s="62" cm="1">
        <f t="array" ref="S41">INDEX(tblPrices[cv_2024], MATCH(tblEnterpriseUnits[[#This Row],[Products]],tblPrices[Products],0), 0)* tblEnterpriseUnits[[#This Row],[cv_2024]]/10^6</f>
        <v>0</v>
      </c>
      <c r="T41" s="62" cm="1">
        <f t="array" ref="T41">INDEX(tblPrices[cv_2025], MATCH(tblEnterpriseUnits[[#This Row],[Products]],tblPrices[Products],0), 0)* tblEnterpriseUnits[[#This Row],[cv_2025]]/10^6</f>
        <v>0</v>
      </c>
      <c r="U41" s="62" cm="1">
        <f t="array" ref="U41">INDEX(tblPrices[cv_2026], MATCH(tblEnterpriseUnits[[#This Row],[Products]],tblPrices[Products],0), 0)* tblEnterpriseUnits[[#This Row],[cv_2026]]/10^6</f>
        <v>0</v>
      </c>
      <c r="V41" s="62" cm="1">
        <f t="array" ref="V41">INDEX(tblPrices[cv_2027], MATCH(tblEnterpriseUnits[[#This Row],[Products]],tblPrices[Products],0), 0)* tblEnterpriseUnits[[#This Row],[cv_2027]]/10^6</f>
        <v>0</v>
      </c>
      <c r="W41" s="62" cm="1">
        <f t="array" ref="W41">INDEX(tblPrices[cv_2028], MATCH(tblEnterpriseUnits[[#This Row],[Products]],tblPrices[Products],0), 0)* tblEnterpriseUnits[[#This Row],[cv_2028]]/10^6</f>
        <v>0</v>
      </c>
      <c r="X41" s="1">
        <f>VLOOKUP(A41,Products!$A$29:$F$110,6,FALSE)</f>
        <v>50</v>
      </c>
    </row>
    <row r="42" spans="1:24">
      <c r="A42" s="15" t="s">
        <v>177</v>
      </c>
      <c r="B42" s="8">
        <v>0</v>
      </c>
      <c r="C42" s="8">
        <v>0</v>
      </c>
      <c r="D42" s="8"/>
      <c r="E42" s="8"/>
      <c r="F42" s="8"/>
      <c r="G42" s="8"/>
      <c r="H42" s="8"/>
      <c r="I42" s="8"/>
      <c r="J42" s="8"/>
      <c r="K42" s="8"/>
      <c r="L42" s="8"/>
      <c r="M42" s="62" cm="1">
        <f t="array" ref="M42">INDEX(tblPrices[cv_2018], MATCH(tblEnterpriseUnits[[#This Row],[Products]],tblPrices[Products],0), 0)* tblEnterpriseUnits[[#This Row],[cv_2018]]/10^6</f>
        <v>0</v>
      </c>
      <c r="N42" s="62" cm="1">
        <f t="array" ref="N42">INDEX(tblPrices[cv_2019], MATCH(tblEnterpriseUnits[[#This Row],[Products]],tblPrices[Products],0), 0)* tblEnterpriseUnits[[#This Row],[cv_2019]]/10^6</f>
        <v>0</v>
      </c>
      <c r="O42" s="62" cm="1">
        <f t="array" ref="O42">INDEX(tblPrices[cv_2020], MATCH(tblEnterpriseUnits[[#This Row],[Products]],tblPrices[Products],0), 0)* tblEnterpriseUnits[[#This Row],[cv_2020]]/10^6</f>
        <v>0</v>
      </c>
      <c r="P42" s="62" cm="1">
        <f t="array" ref="P42">INDEX(tblPrices[cv_2021], MATCH(tblEnterpriseUnits[[#This Row],[Products]],tblPrices[Products],0), 0)* tblEnterpriseUnits[[#This Row],[cv_2021]]/10^6</f>
        <v>0</v>
      </c>
      <c r="Q42" s="62" cm="1">
        <f t="array" ref="Q42">INDEX(tblPrices[cv_2022], MATCH(tblEnterpriseUnits[[#This Row],[Products]],tblPrices[Products],0), 0)* tblEnterpriseUnits[[#This Row],[cv_2022]]/10^6</f>
        <v>0</v>
      </c>
      <c r="R42" s="62" cm="1">
        <f t="array" ref="R42">INDEX(tblPrices[cv_2023], MATCH(tblEnterpriseUnits[[#This Row],[Products]],tblPrices[Products],0), 0)* tblEnterpriseUnits[[#This Row],[cv_2023]]/10^6</f>
        <v>0</v>
      </c>
      <c r="S42" s="62" cm="1">
        <f t="array" ref="S42">INDEX(tblPrices[cv_2024], MATCH(tblEnterpriseUnits[[#This Row],[Products]],tblPrices[Products],0), 0)* tblEnterpriseUnits[[#This Row],[cv_2024]]/10^6</f>
        <v>0</v>
      </c>
      <c r="T42" s="62" cm="1">
        <f t="array" ref="T42">INDEX(tblPrices[cv_2025], MATCH(tblEnterpriseUnits[[#This Row],[Products]],tblPrices[Products],0), 0)* tblEnterpriseUnits[[#This Row],[cv_2025]]/10^6</f>
        <v>0</v>
      </c>
      <c r="U42" s="62" cm="1">
        <f t="array" ref="U42">INDEX(tblPrices[cv_2026], MATCH(tblEnterpriseUnits[[#This Row],[Products]],tblPrices[Products],0), 0)* tblEnterpriseUnits[[#This Row],[cv_2026]]/10^6</f>
        <v>0</v>
      </c>
      <c r="V42" s="62" cm="1">
        <f t="array" ref="V42">INDEX(tblPrices[cv_2027], MATCH(tblEnterpriseUnits[[#This Row],[Products]],tblPrices[Products],0), 0)* tblEnterpriseUnits[[#This Row],[cv_2027]]/10^6</f>
        <v>0</v>
      </c>
      <c r="W42" s="62" cm="1">
        <f t="array" ref="W42">INDEX(tblPrices[cv_2028], MATCH(tblEnterpriseUnits[[#This Row],[Products]],tblPrices[Products],0), 0)* tblEnterpriseUnits[[#This Row],[cv_2028]]/10^6</f>
        <v>0</v>
      </c>
      <c r="X42" s="1">
        <f>VLOOKUP(A42,Products!$A$29:$F$110,6,FALSE)</f>
        <v>50</v>
      </c>
    </row>
    <row r="43" spans="1:24">
      <c r="A43" s="15" t="s">
        <v>178</v>
      </c>
      <c r="B43" s="8">
        <v>0</v>
      </c>
      <c r="C43" s="8">
        <v>0</v>
      </c>
      <c r="D43" s="8"/>
      <c r="E43" s="8"/>
      <c r="F43" s="8"/>
      <c r="G43" s="8"/>
      <c r="H43" s="8"/>
      <c r="I43" s="8"/>
      <c r="J43" s="8"/>
      <c r="K43" s="8"/>
      <c r="L43" s="8"/>
      <c r="M43" s="62" cm="1">
        <f t="array" ref="M43">INDEX(tblPrices[cv_2018], MATCH(tblEnterpriseUnits[[#This Row],[Products]],tblPrices[Products],0), 0)* tblEnterpriseUnits[[#This Row],[cv_2018]]/10^6</f>
        <v>0</v>
      </c>
      <c r="N43" s="62" cm="1">
        <f t="array" ref="N43">INDEX(tblPrices[cv_2019], MATCH(tblEnterpriseUnits[[#This Row],[Products]],tblPrices[Products],0), 0)* tblEnterpriseUnits[[#This Row],[cv_2019]]/10^6</f>
        <v>0</v>
      </c>
      <c r="O43" s="62" cm="1">
        <f t="array" ref="O43">INDEX(tblPrices[cv_2020], MATCH(tblEnterpriseUnits[[#This Row],[Products]],tblPrices[Products],0), 0)* tblEnterpriseUnits[[#This Row],[cv_2020]]/10^6</f>
        <v>0</v>
      </c>
      <c r="P43" s="62" cm="1">
        <f t="array" ref="P43">INDEX(tblPrices[cv_2021], MATCH(tblEnterpriseUnits[[#This Row],[Products]],tblPrices[Products],0), 0)* tblEnterpriseUnits[[#This Row],[cv_2021]]/10^6</f>
        <v>0</v>
      </c>
      <c r="Q43" s="62" cm="1">
        <f t="array" ref="Q43">INDEX(tblPrices[cv_2022], MATCH(tblEnterpriseUnits[[#This Row],[Products]],tblPrices[Products],0), 0)* tblEnterpriseUnits[[#This Row],[cv_2022]]/10^6</f>
        <v>0</v>
      </c>
      <c r="R43" s="62" cm="1">
        <f t="array" ref="R43">INDEX(tblPrices[cv_2023], MATCH(tblEnterpriseUnits[[#This Row],[Products]],tblPrices[Products],0), 0)* tblEnterpriseUnits[[#This Row],[cv_2023]]/10^6</f>
        <v>0</v>
      </c>
      <c r="S43" s="62" cm="1">
        <f t="array" ref="S43">INDEX(tblPrices[cv_2024], MATCH(tblEnterpriseUnits[[#This Row],[Products]],tblPrices[Products],0), 0)* tblEnterpriseUnits[[#This Row],[cv_2024]]/10^6</f>
        <v>0</v>
      </c>
      <c r="T43" s="62" cm="1">
        <f t="array" ref="T43">INDEX(tblPrices[cv_2025], MATCH(tblEnterpriseUnits[[#This Row],[Products]],tblPrices[Products],0), 0)* tblEnterpriseUnits[[#This Row],[cv_2025]]/10^6</f>
        <v>0</v>
      </c>
      <c r="U43" s="62" cm="1">
        <f t="array" ref="U43">INDEX(tblPrices[cv_2026], MATCH(tblEnterpriseUnits[[#This Row],[Products]],tblPrices[Products],0), 0)* tblEnterpriseUnits[[#This Row],[cv_2026]]/10^6</f>
        <v>0</v>
      </c>
      <c r="V43" s="62" cm="1">
        <f t="array" ref="V43">INDEX(tblPrices[cv_2027], MATCH(tblEnterpriseUnits[[#This Row],[Products]],tblPrices[Products],0), 0)* tblEnterpriseUnits[[#This Row],[cv_2027]]/10^6</f>
        <v>0</v>
      </c>
      <c r="W43" s="62" cm="1">
        <f t="array" ref="W43">INDEX(tblPrices[cv_2028], MATCH(tblEnterpriseUnits[[#This Row],[Products]],tblPrices[Products],0), 0)* tblEnterpriseUnits[[#This Row],[cv_2028]]/10^6</f>
        <v>0</v>
      </c>
      <c r="X43" s="1">
        <f>VLOOKUP(A43,Products!$A$29:$F$110,6,FALSE)</f>
        <v>100</v>
      </c>
    </row>
    <row r="44" spans="1:24">
      <c r="A44" s="15" t="s">
        <v>179</v>
      </c>
      <c r="B44" s="8">
        <v>0</v>
      </c>
      <c r="C44" s="8">
        <v>0</v>
      </c>
      <c r="D44" s="8"/>
      <c r="E44" s="8"/>
      <c r="F44" s="8"/>
      <c r="G44" s="8"/>
      <c r="H44" s="8"/>
      <c r="I44" s="8"/>
      <c r="J44" s="8"/>
      <c r="K44" s="8"/>
      <c r="L44" s="8"/>
      <c r="M44" s="62" cm="1">
        <f t="array" ref="M44">INDEX(tblPrices[cv_2018], MATCH(tblEnterpriseUnits[[#This Row],[Products]],tblPrices[Products],0), 0)* tblEnterpriseUnits[[#This Row],[cv_2018]]/10^6</f>
        <v>0</v>
      </c>
      <c r="N44" s="62" cm="1">
        <f t="array" ref="N44">INDEX(tblPrices[cv_2019], MATCH(tblEnterpriseUnits[[#This Row],[Products]],tblPrices[Products],0), 0)* tblEnterpriseUnits[[#This Row],[cv_2019]]/10^6</f>
        <v>0</v>
      </c>
      <c r="O44" s="62" cm="1">
        <f t="array" ref="O44">INDEX(tblPrices[cv_2020], MATCH(tblEnterpriseUnits[[#This Row],[Products]],tblPrices[Products],0), 0)* tblEnterpriseUnits[[#This Row],[cv_2020]]/10^6</f>
        <v>0</v>
      </c>
      <c r="P44" s="62" cm="1">
        <f t="array" ref="P44">INDEX(tblPrices[cv_2021], MATCH(tblEnterpriseUnits[[#This Row],[Products]],tblPrices[Products],0), 0)* tblEnterpriseUnits[[#This Row],[cv_2021]]/10^6</f>
        <v>0</v>
      </c>
      <c r="Q44" s="62" cm="1">
        <f t="array" ref="Q44">INDEX(tblPrices[cv_2022], MATCH(tblEnterpriseUnits[[#This Row],[Products]],tblPrices[Products],0), 0)* tblEnterpriseUnits[[#This Row],[cv_2022]]/10^6</f>
        <v>0</v>
      </c>
      <c r="R44" s="62" cm="1">
        <f t="array" ref="R44">INDEX(tblPrices[cv_2023], MATCH(tblEnterpriseUnits[[#This Row],[Products]],tblPrices[Products],0), 0)* tblEnterpriseUnits[[#This Row],[cv_2023]]/10^6</f>
        <v>0</v>
      </c>
      <c r="S44" s="62" cm="1">
        <f t="array" ref="S44">INDEX(tblPrices[cv_2024], MATCH(tblEnterpriseUnits[[#This Row],[Products]],tblPrices[Products],0), 0)* tblEnterpriseUnits[[#This Row],[cv_2024]]/10^6</f>
        <v>0</v>
      </c>
      <c r="T44" s="62" cm="1">
        <f t="array" ref="T44">INDEX(tblPrices[cv_2025], MATCH(tblEnterpriseUnits[[#This Row],[Products]],tblPrices[Products],0), 0)* tblEnterpriseUnits[[#This Row],[cv_2025]]/10^6</f>
        <v>0</v>
      </c>
      <c r="U44" s="62" cm="1">
        <f t="array" ref="U44">INDEX(tblPrices[cv_2026], MATCH(tblEnterpriseUnits[[#This Row],[Products]],tblPrices[Products],0), 0)* tblEnterpriseUnits[[#This Row],[cv_2026]]/10^6</f>
        <v>0</v>
      </c>
      <c r="V44" s="62" cm="1">
        <f t="array" ref="V44">INDEX(tblPrices[cv_2027], MATCH(tblEnterpriseUnits[[#This Row],[Products]],tblPrices[Products],0), 0)* tblEnterpriseUnits[[#This Row],[cv_2027]]/10^6</f>
        <v>0</v>
      </c>
      <c r="W44" s="62" cm="1">
        <f t="array" ref="W44">INDEX(tblPrices[cv_2028], MATCH(tblEnterpriseUnits[[#This Row],[Products]],tblPrices[Products],0), 0)* tblEnterpriseUnits[[#This Row],[cv_2028]]/10^6</f>
        <v>0</v>
      </c>
      <c r="X44" s="1">
        <f>VLOOKUP(A44,Products!$A$29:$F$110,6,FALSE)</f>
        <v>100</v>
      </c>
    </row>
    <row r="45" spans="1:24">
      <c r="A45" s="15" t="s">
        <v>3</v>
      </c>
      <c r="B45" s="8">
        <v>153265.35999999996</v>
      </c>
      <c r="C45" s="8">
        <v>187961.77499999999</v>
      </c>
      <c r="D45" s="8"/>
      <c r="E45" s="8"/>
      <c r="F45" s="8"/>
      <c r="G45" s="8"/>
      <c r="H45" s="8"/>
      <c r="I45" s="8"/>
      <c r="J45" s="8"/>
      <c r="K45" s="8"/>
      <c r="L45" s="8"/>
      <c r="M45" s="62" cm="1">
        <f t="array" ref="M45">INDEX(tblPrices[cv_2018], MATCH(tblEnterpriseUnits[[#This Row],[Products]],tblPrices[Products],0), 0)* tblEnterpriseUnits[[#This Row],[cv_2018]]/10^6</f>
        <v>17.402795749351512</v>
      </c>
      <c r="N45" s="62" cm="1">
        <f t="array" ref="N45">INDEX(tblPrices[cv_2019], MATCH(tblEnterpriseUnits[[#This Row],[Products]],tblPrices[Products],0), 0)* tblEnterpriseUnits[[#This Row],[cv_2019]]/10^6</f>
        <v>15.97498802168831</v>
      </c>
      <c r="O45" s="62" cm="1">
        <f t="array" ref="O45">INDEX(tblPrices[cv_2020], MATCH(tblEnterpriseUnits[[#This Row],[Products]],tblPrices[Products],0), 0)* tblEnterpriseUnits[[#This Row],[cv_2020]]/10^6</f>
        <v>0</v>
      </c>
      <c r="P45" s="62" cm="1">
        <f t="array" ref="P45">INDEX(tblPrices[cv_2021], MATCH(tblEnterpriseUnits[[#This Row],[Products]],tblPrices[Products],0), 0)* tblEnterpriseUnits[[#This Row],[cv_2021]]/10^6</f>
        <v>0</v>
      </c>
      <c r="Q45" s="62" cm="1">
        <f t="array" ref="Q45">INDEX(tblPrices[cv_2022], MATCH(tblEnterpriseUnits[[#This Row],[Products]],tblPrices[Products],0), 0)* tblEnterpriseUnits[[#This Row],[cv_2022]]/10^6</f>
        <v>0</v>
      </c>
      <c r="R45" s="62" cm="1">
        <f t="array" ref="R45">INDEX(tblPrices[cv_2023], MATCH(tblEnterpriseUnits[[#This Row],[Products]],tblPrices[Products],0), 0)* tblEnterpriseUnits[[#This Row],[cv_2023]]/10^6</f>
        <v>0</v>
      </c>
      <c r="S45" s="62" cm="1">
        <f t="array" ref="S45">INDEX(tblPrices[cv_2024], MATCH(tblEnterpriseUnits[[#This Row],[Products]],tblPrices[Products],0), 0)* tblEnterpriseUnits[[#This Row],[cv_2024]]/10^6</f>
        <v>0</v>
      </c>
      <c r="T45" s="62" cm="1">
        <f t="array" ref="T45">INDEX(tblPrices[cv_2025], MATCH(tblEnterpriseUnits[[#This Row],[Products]],tblPrices[Products],0), 0)* tblEnterpriseUnits[[#This Row],[cv_2025]]/10^6</f>
        <v>0</v>
      </c>
      <c r="U45" s="62" cm="1">
        <f t="array" ref="U45">INDEX(tblPrices[cv_2026], MATCH(tblEnterpriseUnits[[#This Row],[Products]],tblPrices[Products],0), 0)* tblEnterpriseUnits[[#This Row],[cv_2026]]/10^6</f>
        <v>0</v>
      </c>
      <c r="V45" s="62" cm="1">
        <f t="array" ref="V45">INDEX(tblPrices[cv_2027], MATCH(tblEnterpriseUnits[[#This Row],[Products]],tblPrices[Products],0), 0)* tblEnterpriseUnits[[#This Row],[cv_2027]]/10^6</f>
        <v>0</v>
      </c>
      <c r="W45" s="62" cm="1">
        <f t="array" ref="W45">INDEX(tblPrices[cv_2028], MATCH(tblEnterpriseUnits[[#This Row],[Products]],tblPrices[Products],0), 0)* tblEnterpriseUnits[[#This Row],[cv_2028]]/10^6</f>
        <v>0</v>
      </c>
      <c r="X45" s="1">
        <f>VLOOKUP(A45,Products!$A$29:$F$110,6,FALSE)</f>
        <v>100</v>
      </c>
    </row>
    <row r="46" spans="1:24">
      <c r="A46" s="15" t="s">
        <v>180</v>
      </c>
      <c r="B46" s="8">
        <v>0</v>
      </c>
      <c r="C46" s="8">
        <v>0</v>
      </c>
      <c r="D46" s="8"/>
      <c r="E46" s="8"/>
      <c r="F46" s="8"/>
      <c r="G46" s="8"/>
      <c r="H46" s="8"/>
      <c r="I46" s="8"/>
      <c r="J46" s="8"/>
      <c r="K46" s="8"/>
      <c r="L46" s="8"/>
      <c r="M46" s="62" cm="1">
        <f t="array" ref="M46">INDEX(tblPrices[cv_2018], MATCH(tblEnterpriseUnits[[#This Row],[Products]],tblPrices[Products],0), 0)* tblEnterpriseUnits[[#This Row],[cv_2018]]/10^6</f>
        <v>0</v>
      </c>
      <c r="N46" s="62" cm="1">
        <f t="array" ref="N46">INDEX(tblPrices[cv_2019], MATCH(tblEnterpriseUnits[[#This Row],[Products]],tblPrices[Products],0), 0)* tblEnterpriseUnits[[#This Row],[cv_2019]]/10^6</f>
        <v>0</v>
      </c>
      <c r="O46" s="62" cm="1">
        <f t="array" ref="O46">INDEX(tblPrices[cv_2020], MATCH(tblEnterpriseUnits[[#This Row],[Products]],tblPrices[Products],0), 0)* tblEnterpriseUnits[[#This Row],[cv_2020]]/10^6</f>
        <v>0</v>
      </c>
      <c r="P46" s="62" cm="1">
        <f t="array" ref="P46">INDEX(tblPrices[cv_2021], MATCH(tblEnterpriseUnits[[#This Row],[Products]],tblPrices[Products],0), 0)* tblEnterpriseUnits[[#This Row],[cv_2021]]/10^6</f>
        <v>0</v>
      </c>
      <c r="Q46" s="62" cm="1">
        <f t="array" ref="Q46">INDEX(tblPrices[cv_2022], MATCH(tblEnterpriseUnits[[#This Row],[Products]],tblPrices[Products],0), 0)* tblEnterpriseUnits[[#This Row],[cv_2022]]/10^6</f>
        <v>0</v>
      </c>
      <c r="R46" s="62" cm="1">
        <f t="array" ref="R46">INDEX(tblPrices[cv_2023], MATCH(tblEnterpriseUnits[[#This Row],[Products]],tblPrices[Products],0), 0)* tblEnterpriseUnits[[#This Row],[cv_2023]]/10^6</f>
        <v>0</v>
      </c>
      <c r="S46" s="62" cm="1">
        <f t="array" ref="S46">INDEX(tblPrices[cv_2024], MATCH(tblEnterpriseUnits[[#This Row],[Products]],tblPrices[Products],0), 0)* tblEnterpriseUnits[[#This Row],[cv_2024]]/10^6</f>
        <v>0</v>
      </c>
      <c r="T46" s="62" cm="1">
        <f t="array" ref="T46">INDEX(tblPrices[cv_2025], MATCH(tblEnterpriseUnits[[#This Row],[Products]],tblPrices[Products],0), 0)* tblEnterpriseUnits[[#This Row],[cv_2025]]/10^6</f>
        <v>0</v>
      </c>
      <c r="U46" s="62" cm="1">
        <f t="array" ref="U46">INDEX(tblPrices[cv_2026], MATCH(tblEnterpriseUnits[[#This Row],[Products]],tblPrices[Products],0), 0)* tblEnterpriseUnits[[#This Row],[cv_2026]]/10^6</f>
        <v>0</v>
      </c>
      <c r="V46" s="62" cm="1">
        <f t="array" ref="V46">INDEX(tblPrices[cv_2027], MATCH(tblEnterpriseUnits[[#This Row],[Products]],tblPrices[Products],0), 0)* tblEnterpriseUnits[[#This Row],[cv_2027]]/10^6</f>
        <v>0</v>
      </c>
      <c r="W46" s="62" cm="1">
        <f t="array" ref="W46">INDEX(tblPrices[cv_2028], MATCH(tblEnterpriseUnits[[#This Row],[Products]],tblPrices[Products],0), 0)* tblEnterpriseUnits[[#This Row],[cv_2028]]/10^6</f>
        <v>0</v>
      </c>
      <c r="X46" s="1">
        <f>VLOOKUP(A46,Products!$A$29:$F$110,6,FALSE)</f>
        <v>100</v>
      </c>
    </row>
    <row r="47" spans="1:24">
      <c r="A47" s="15" t="s">
        <v>181</v>
      </c>
      <c r="B47" s="8">
        <v>150000</v>
      </c>
      <c r="C47" s="8">
        <v>200000</v>
      </c>
      <c r="D47" s="8"/>
      <c r="E47" s="8"/>
      <c r="F47" s="8"/>
      <c r="G47" s="8"/>
      <c r="H47" s="8"/>
      <c r="I47" s="8"/>
      <c r="J47" s="8"/>
      <c r="K47" s="8"/>
      <c r="L47" s="8"/>
      <c r="M47" s="62" cm="1">
        <f t="array" ref="M47">INDEX(tblPrices[cv_2018], MATCH(tblEnterpriseUnits[[#This Row],[Products]],tblPrices[Products],0), 0)* tblEnterpriseUnits[[#This Row],[cv_2018]]/10^6</f>
        <v>25.5</v>
      </c>
      <c r="N47" s="62" cm="1">
        <f t="array" ref="N47">INDEX(tblPrices[cv_2019], MATCH(tblEnterpriseUnits[[#This Row],[Products]],tblPrices[Products],0), 0)* tblEnterpriseUnits[[#This Row],[cv_2019]]/10^6</f>
        <v>45</v>
      </c>
      <c r="O47" s="62" cm="1">
        <f t="array" ref="O47">INDEX(tblPrices[cv_2020], MATCH(tblEnterpriseUnits[[#This Row],[Products]],tblPrices[Products],0), 0)* tblEnterpriseUnits[[#This Row],[cv_2020]]/10^6</f>
        <v>0</v>
      </c>
      <c r="P47" s="62" cm="1">
        <f t="array" ref="P47">INDEX(tblPrices[cv_2021], MATCH(tblEnterpriseUnits[[#This Row],[Products]],tblPrices[Products],0), 0)* tblEnterpriseUnits[[#This Row],[cv_2021]]/10^6</f>
        <v>0</v>
      </c>
      <c r="Q47" s="62" cm="1">
        <f t="array" ref="Q47">INDEX(tblPrices[cv_2022], MATCH(tblEnterpriseUnits[[#This Row],[Products]],tblPrices[Products],0), 0)* tblEnterpriseUnits[[#This Row],[cv_2022]]/10^6</f>
        <v>0</v>
      </c>
      <c r="R47" s="62" cm="1">
        <f t="array" ref="R47">INDEX(tblPrices[cv_2023], MATCH(tblEnterpriseUnits[[#This Row],[Products]],tblPrices[Products],0), 0)* tblEnterpriseUnits[[#This Row],[cv_2023]]/10^6</f>
        <v>0</v>
      </c>
      <c r="S47" s="62" cm="1">
        <f t="array" ref="S47">INDEX(tblPrices[cv_2024], MATCH(tblEnterpriseUnits[[#This Row],[Products]],tblPrices[Products],0), 0)* tblEnterpriseUnits[[#This Row],[cv_2024]]/10^6</f>
        <v>0</v>
      </c>
      <c r="T47" s="62" cm="1">
        <f t="array" ref="T47">INDEX(tblPrices[cv_2025], MATCH(tblEnterpriseUnits[[#This Row],[Products]],tblPrices[Products],0), 0)* tblEnterpriseUnits[[#This Row],[cv_2025]]/10^6</f>
        <v>0</v>
      </c>
      <c r="U47" s="62" cm="1">
        <f t="array" ref="U47">INDEX(tblPrices[cv_2026], MATCH(tblEnterpriseUnits[[#This Row],[Products]],tblPrices[Products],0), 0)* tblEnterpriseUnits[[#This Row],[cv_2026]]/10^6</f>
        <v>0</v>
      </c>
      <c r="V47" s="62" cm="1">
        <f t="array" ref="V47">INDEX(tblPrices[cv_2027], MATCH(tblEnterpriseUnits[[#This Row],[Products]],tblPrices[Products],0), 0)* tblEnterpriseUnits[[#This Row],[cv_2027]]/10^6</f>
        <v>0</v>
      </c>
      <c r="W47" s="62" cm="1">
        <f t="array" ref="W47">INDEX(tblPrices[cv_2028], MATCH(tblEnterpriseUnits[[#This Row],[Products]],tblPrices[Products],0), 0)* tblEnterpriseUnits[[#This Row],[cv_2028]]/10^6</f>
        <v>0</v>
      </c>
      <c r="X47" s="1">
        <f>VLOOKUP(A47,Products!$A$29:$F$110,6,FALSE)</f>
        <v>100</v>
      </c>
    </row>
    <row r="48" spans="1:24">
      <c r="A48" s="15" t="s">
        <v>4</v>
      </c>
      <c r="B48" s="8">
        <v>999.99999999999977</v>
      </c>
      <c r="C48" s="8">
        <v>2300</v>
      </c>
      <c r="D48" s="8"/>
      <c r="E48" s="8"/>
      <c r="F48" s="8"/>
      <c r="G48" s="8"/>
      <c r="H48" s="8"/>
      <c r="I48" s="8"/>
      <c r="J48" s="8"/>
      <c r="K48" s="8"/>
      <c r="L48" s="8"/>
      <c r="M48" s="62" cm="1">
        <f t="array" ref="M48">INDEX(tblPrices[cv_2018], MATCH(tblEnterpriseUnits[[#This Row],[Products]],tblPrices[Products],0), 0)* tblEnterpriseUnits[[#This Row],[cv_2018]]/10^6</f>
        <v>0.16999999999999998</v>
      </c>
      <c r="N48" s="62" cm="1">
        <f t="array" ref="N48">INDEX(tblPrices[cv_2019], MATCH(tblEnterpriseUnits[[#This Row],[Products]],tblPrices[Products],0), 0)* tblEnterpriseUnits[[#This Row],[cv_2019]]/10^6</f>
        <v>0.28749999999999998</v>
      </c>
      <c r="O48" s="62" cm="1">
        <f t="array" ref="O48">INDEX(tblPrices[cv_2020], MATCH(tblEnterpriseUnits[[#This Row],[Products]],tblPrices[Products],0), 0)* tblEnterpriseUnits[[#This Row],[cv_2020]]/10^6</f>
        <v>0</v>
      </c>
      <c r="P48" s="62" cm="1">
        <f t="array" ref="P48">INDEX(tblPrices[cv_2021], MATCH(tblEnterpriseUnits[[#This Row],[Products]],tblPrices[Products],0), 0)* tblEnterpriseUnits[[#This Row],[cv_2021]]/10^6</f>
        <v>0</v>
      </c>
      <c r="Q48" s="62" cm="1">
        <f t="array" ref="Q48">INDEX(tblPrices[cv_2022], MATCH(tblEnterpriseUnits[[#This Row],[Products]],tblPrices[Products],0), 0)* tblEnterpriseUnits[[#This Row],[cv_2022]]/10^6</f>
        <v>0</v>
      </c>
      <c r="R48" s="62" cm="1">
        <f t="array" ref="R48">INDEX(tblPrices[cv_2023], MATCH(tblEnterpriseUnits[[#This Row],[Products]],tblPrices[Products],0), 0)* tblEnterpriseUnits[[#This Row],[cv_2023]]/10^6</f>
        <v>0</v>
      </c>
      <c r="S48" s="62" cm="1">
        <f t="array" ref="S48">INDEX(tblPrices[cv_2024], MATCH(tblEnterpriseUnits[[#This Row],[Products]],tblPrices[Products],0), 0)* tblEnterpriseUnits[[#This Row],[cv_2024]]/10^6</f>
        <v>0</v>
      </c>
      <c r="T48" s="62" cm="1">
        <f t="array" ref="T48">INDEX(tblPrices[cv_2025], MATCH(tblEnterpriseUnits[[#This Row],[Products]],tblPrices[Products],0), 0)* tblEnterpriseUnits[[#This Row],[cv_2025]]/10^6</f>
        <v>0</v>
      </c>
      <c r="U48" s="62" cm="1">
        <f t="array" ref="U48">INDEX(tblPrices[cv_2026], MATCH(tblEnterpriseUnits[[#This Row],[Products]],tblPrices[Products],0), 0)* tblEnterpriseUnits[[#This Row],[cv_2026]]/10^6</f>
        <v>0</v>
      </c>
      <c r="V48" s="62" cm="1">
        <f t="array" ref="V48">INDEX(tblPrices[cv_2027], MATCH(tblEnterpriseUnits[[#This Row],[Products]],tblPrices[Products],0), 0)* tblEnterpriseUnits[[#This Row],[cv_2027]]/10^6</f>
        <v>0</v>
      </c>
      <c r="W48" s="62" cm="1">
        <f t="array" ref="W48">INDEX(tblPrices[cv_2028], MATCH(tblEnterpriseUnits[[#This Row],[Products]],tblPrices[Products],0), 0)* tblEnterpriseUnits[[#This Row],[cv_2028]]/10^6</f>
        <v>0</v>
      </c>
      <c r="X48" s="1">
        <f>VLOOKUP(A48,Products!$A$29:$F$110,6,FALSE)</f>
        <v>100</v>
      </c>
    </row>
    <row r="49" spans="1:24">
      <c r="A49" s="15" t="s">
        <v>43</v>
      </c>
      <c r="B49" s="8">
        <v>0</v>
      </c>
      <c r="C49" s="8">
        <v>0</v>
      </c>
      <c r="D49" s="8"/>
      <c r="E49" s="8"/>
      <c r="F49" s="8"/>
      <c r="G49" s="8"/>
      <c r="H49" s="8"/>
      <c r="I49" s="8"/>
      <c r="J49" s="8"/>
      <c r="K49" s="8"/>
      <c r="L49" s="8"/>
      <c r="M49" s="62" cm="1">
        <f t="array" ref="M49">INDEX(tblPrices[cv_2018], MATCH(tblEnterpriseUnits[[#This Row],[Products]],tblPrices[Products],0), 0)* tblEnterpriseUnits[[#This Row],[cv_2018]]/10^6</f>
        <v>0</v>
      </c>
      <c r="N49" s="62" cm="1">
        <f t="array" ref="N49">INDEX(tblPrices[cv_2019], MATCH(tblEnterpriseUnits[[#This Row],[Products]],tblPrices[Products],0), 0)* tblEnterpriseUnits[[#This Row],[cv_2019]]/10^6</f>
        <v>0</v>
      </c>
      <c r="O49" s="62" cm="1">
        <f t="array" ref="O49">INDEX(tblPrices[cv_2020], MATCH(tblEnterpriseUnits[[#This Row],[Products]],tblPrices[Products],0), 0)* tblEnterpriseUnits[[#This Row],[cv_2020]]/10^6</f>
        <v>0</v>
      </c>
      <c r="P49" s="62" cm="1">
        <f t="array" ref="P49">INDEX(tblPrices[cv_2021], MATCH(tblEnterpriseUnits[[#This Row],[Products]],tblPrices[Products],0), 0)* tblEnterpriseUnits[[#This Row],[cv_2021]]/10^6</f>
        <v>0</v>
      </c>
      <c r="Q49" s="62" cm="1">
        <f t="array" ref="Q49">INDEX(tblPrices[cv_2022], MATCH(tblEnterpriseUnits[[#This Row],[Products]],tblPrices[Products],0), 0)* tblEnterpriseUnits[[#This Row],[cv_2022]]/10^6</f>
        <v>0</v>
      </c>
      <c r="R49" s="62" cm="1">
        <f t="array" ref="R49">INDEX(tblPrices[cv_2023], MATCH(tblEnterpriseUnits[[#This Row],[Products]],tblPrices[Products],0), 0)* tblEnterpriseUnits[[#This Row],[cv_2023]]/10^6</f>
        <v>0</v>
      </c>
      <c r="S49" s="62" cm="1">
        <f t="array" ref="S49">INDEX(tblPrices[cv_2024], MATCH(tblEnterpriseUnits[[#This Row],[Products]],tblPrices[Products],0), 0)* tblEnterpriseUnits[[#This Row],[cv_2024]]/10^6</f>
        <v>0</v>
      </c>
      <c r="T49" s="62" cm="1">
        <f t="array" ref="T49">INDEX(tblPrices[cv_2025], MATCH(tblEnterpriseUnits[[#This Row],[Products]],tblPrices[Products],0), 0)* tblEnterpriseUnits[[#This Row],[cv_2025]]/10^6</f>
        <v>0</v>
      </c>
      <c r="U49" s="62" cm="1">
        <f t="array" ref="U49">INDEX(tblPrices[cv_2026], MATCH(tblEnterpriseUnits[[#This Row],[Products]],tblPrices[Products],0), 0)* tblEnterpriseUnits[[#This Row],[cv_2026]]/10^6</f>
        <v>0</v>
      </c>
      <c r="V49" s="62" cm="1">
        <f t="array" ref="V49">INDEX(tblPrices[cv_2027], MATCH(tblEnterpriseUnits[[#This Row],[Products]],tblPrices[Products],0), 0)* tblEnterpriseUnits[[#This Row],[cv_2027]]/10^6</f>
        <v>0</v>
      </c>
      <c r="W49" s="62" cm="1">
        <f t="array" ref="W49">INDEX(tblPrices[cv_2028], MATCH(tblEnterpriseUnits[[#This Row],[Products]],tblPrices[Products],0), 0)* tblEnterpriseUnits[[#This Row],[cv_2028]]/10^6</f>
        <v>0</v>
      </c>
      <c r="X49" s="1">
        <f>VLOOKUP(A49,Products!$A$29:$F$110,6,FALSE)</f>
        <v>100</v>
      </c>
    </row>
    <row r="50" spans="1:24">
      <c r="A50" s="15" t="s">
        <v>44</v>
      </c>
      <c r="B50" s="8">
        <v>0</v>
      </c>
      <c r="C50" s="8">
        <v>0</v>
      </c>
      <c r="D50" s="8"/>
      <c r="E50" s="8"/>
      <c r="F50" s="8"/>
      <c r="G50" s="8"/>
      <c r="H50" s="8"/>
      <c r="I50" s="8"/>
      <c r="J50" s="8"/>
      <c r="K50" s="8"/>
      <c r="L50" s="8"/>
      <c r="M50" s="62" cm="1">
        <f t="array" ref="M50">INDEX(tblPrices[cv_2018], MATCH(tblEnterpriseUnits[[#This Row],[Products]],tblPrices[Products],0), 0)* tblEnterpriseUnits[[#This Row],[cv_2018]]/10^6</f>
        <v>0</v>
      </c>
      <c r="N50" s="62" cm="1">
        <f t="array" ref="N50">INDEX(tblPrices[cv_2019], MATCH(tblEnterpriseUnits[[#This Row],[Products]],tblPrices[Products],0), 0)* tblEnterpriseUnits[[#This Row],[cv_2019]]/10^6</f>
        <v>0</v>
      </c>
      <c r="O50" s="62" cm="1">
        <f t="array" ref="O50">INDEX(tblPrices[cv_2020], MATCH(tblEnterpriseUnits[[#This Row],[Products]],tblPrices[Products],0), 0)* tblEnterpriseUnits[[#This Row],[cv_2020]]/10^6</f>
        <v>0</v>
      </c>
      <c r="P50" s="62" cm="1">
        <f t="array" ref="P50">INDEX(tblPrices[cv_2021], MATCH(tblEnterpriseUnits[[#This Row],[Products]],tblPrices[Products],0), 0)* tblEnterpriseUnits[[#This Row],[cv_2021]]/10^6</f>
        <v>0</v>
      </c>
      <c r="Q50" s="62" cm="1">
        <f t="array" ref="Q50">INDEX(tblPrices[cv_2022], MATCH(tblEnterpriseUnits[[#This Row],[Products]],tblPrices[Products],0), 0)* tblEnterpriseUnits[[#This Row],[cv_2022]]/10^6</f>
        <v>0</v>
      </c>
      <c r="R50" s="62" cm="1">
        <f t="array" ref="R50">INDEX(tblPrices[cv_2023], MATCH(tblEnterpriseUnits[[#This Row],[Products]],tblPrices[Products],0), 0)* tblEnterpriseUnits[[#This Row],[cv_2023]]/10^6</f>
        <v>0</v>
      </c>
      <c r="S50" s="62" cm="1">
        <f t="array" ref="S50">INDEX(tblPrices[cv_2024], MATCH(tblEnterpriseUnits[[#This Row],[Products]],tblPrices[Products],0), 0)* tblEnterpriseUnits[[#This Row],[cv_2024]]/10^6</f>
        <v>0</v>
      </c>
      <c r="T50" s="62" cm="1">
        <f t="array" ref="T50">INDEX(tblPrices[cv_2025], MATCH(tblEnterpriseUnits[[#This Row],[Products]],tblPrices[Products],0), 0)* tblEnterpriseUnits[[#This Row],[cv_2025]]/10^6</f>
        <v>0</v>
      </c>
      <c r="U50" s="62" cm="1">
        <f t="array" ref="U50">INDEX(tblPrices[cv_2026], MATCH(tblEnterpriseUnits[[#This Row],[Products]],tblPrices[Products],0), 0)* tblEnterpriseUnits[[#This Row],[cv_2026]]/10^6</f>
        <v>0</v>
      </c>
      <c r="V50" s="62" cm="1">
        <f t="array" ref="V50">INDEX(tblPrices[cv_2027], MATCH(tblEnterpriseUnits[[#This Row],[Products]],tblPrices[Products],0), 0)* tblEnterpriseUnits[[#This Row],[cv_2027]]/10^6</f>
        <v>0</v>
      </c>
      <c r="W50" s="62" cm="1">
        <f t="array" ref="W50">INDEX(tblPrices[cv_2028], MATCH(tblEnterpriseUnits[[#This Row],[Products]],tblPrices[Products],0), 0)* tblEnterpriseUnits[[#This Row],[cv_2028]]/10^6</f>
        <v>0</v>
      </c>
      <c r="X50" s="1">
        <f>VLOOKUP(A50,Products!$A$29:$F$110,6,FALSE)</f>
        <v>100</v>
      </c>
    </row>
    <row r="51" spans="1:24">
      <c r="A51" s="15" t="s">
        <v>40</v>
      </c>
      <c r="B51" s="8">
        <v>0</v>
      </c>
      <c r="C51" s="8">
        <v>0</v>
      </c>
      <c r="D51" s="8"/>
      <c r="E51" s="8"/>
      <c r="F51" s="8"/>
      <c r="G51" s="8"/>
      <c r="H51" s="8"/>
      <c r="I51" s="8"/>
      <c r="J51" s="8"/>
      <c r="K51" s="8"/>
      <c r="L51" s="8"/>
      <c r="M51" s="62" cm="1">
        <f t="array" ref="M51">INDEX(tblPrices[cv_2018], MATCH(tblEnterpriseUnits[[#This Row],[Products]],tblPrices[Products],0), 0)* tblEnterpriseUnits[[#This Row],[cv_2018]]/10^6</f>
        <v>0</v>
      </c>
      <c r="N51" s="62" cm="1">
        <f t="array" ref="N51">INDEX(tblPrices[cv_2019], MATCH(tblEnterpriseUnits[[#This Row],[Products]],tblPrices[Products],0), 0)* tblEnterpriseUnits[[#This Row],[cv_2019]]/10^6</f>
        <v>0</v>
      </c>
      <c r="O51" s="62" cm="1">
        <f t="array" ref="O51">INDEX(tblPrices[cv_2020], MATCH(tblEnterpriseUnits[[#This Row],[Products]],tblPrices[Products],0), 0)* tblEnterpriseUnits[[#This Row],[cv_2020]]/10^6</f>
        <v>0</v>
      </c>
      <c r="P51" s="62" cm="1">
        <f t="array" ref="P51">INDEX(tblPrices[cv_2021], MATCH(tblEnterpriseUnits[[#This Row],[Products]],tblPrices[Products],0), 0)* tblEnterpriseUnits[[#This Row],[cv_2021]]/10^6</f>
        <v>0</v>
      </c>
      <c r="Q51" s="62" cm="1">
        <f t="array" ref="Q51">INDEX(tblPrices[cv_2022], MATCH(tblEnterpriseUnits[[#This Row],[Products]],tblPrices[Products],0), 0)* tblEnterpriseUnits[[#This Row],[cv_2022]]/10^6</f>
        <v>0</v>
      </c>
      <c r="R51" s="62" cm="1">
        <f t="array" ref="R51">INDEX(tblPrices[cv_2023], MATCH(tblEnterpriseUnits[[#This Row],[Products]],tblPrices[Products],0), 0)* tblEnterpriseUnits[[#This Row],[cv_2023]]/10^6</f>
        <v>0</v>
      </c>
      <c r="S51" s="62" cm="1">
        <f t="array" ref="S51">INDEX(tblPrices[cv_2024], MATCH(tblEnterpriseUnits[[#This Row],[Products]],tblPrices[Products],0), 0)* tblEnterpriseUnits[[#This Row],[cv_2024]]/10^6</f>
        <v>0</v>
      </c>
      <c r="T51" s="62" cm="1">
        <f t="array" ref="T51">INDEX(tblPrices[cv_2025], MATCH(tblEnterpriseUnits[[#This Row],[Products]],tblPrices[Products],0), 0)* tblEnterpriseUnits[[#This Row],[cv_2025]]/10^6</f>
        <v>0</v>
      </c>
      <c r="U51" s="62" cm="1">
        <f t="array" ref="U51">INDEX(tblPrices[cv_2026], MATCH(tblEnterpriseUnits[[#This Row],[Products]],tblPrices[Products],0), 0)* tblEnterpriseUnits[[#This Row],[cv_2026]]/10^6</f>
        <v>0</v>
      </c>
      <c r="V51" s="62" cm="1">
        <f t="array" ref="V51">INDEX(tblPrices[cv_2027], MATCH(tblEnterpriseUnits[[#This Row],[Products]],tblPrices[Products],0), 0)* tblEnterpriseUnits[[#This Row],[cv_2027]]/10^6</f>
        <v>0</v>
      </c>
      <c r="W51" s="62" cm="1">
        <f t="array" ref="W51">INDEX(tblPrices[cv_2028], MATCH(tblEnterpriseUnits[[#This Row],[Products]],tblPrices[Products],0), 0)* tblEnterpriseUnits[[#This Row],[cv_2028]]/10^6</f>
        <v>0</v>
      </c>
      <c r="X51" s="1">
        <f>VLOOKUP(A51,Products!$A$29:$F$110,6,FALSE)</f>
        <v>100</v>
      </c>
    </row>
    <row r="52" spans="1:24">
      <c r="A52" s="15" t="s">
        <v>5</v>
      </c>
      <c r="B52" s="8">
        <v>0</v>
      </c>
      <c r="C52" s="8">
        <v>0</v>
      </c>
      <c r="D52" s="8"/>
      <c r="E52" s="8"/>
      <c r="F52" s="8"/>
      <c r="G52" s="8"/>
      <c r="H52" s="8"/>
      <c r="I52" s="8"/>
      <c r="J52" s="8"/>
      <c r="K52" s="8"/>
      <c r="L52" s="8"/>
      <c r="M52" s="62" cm="1">
        <f t="array" ref="M52">INDEX(tblPrices[cv_2018], MATCH(tblEnterpriseUnits[[#This Row],[Products]],tblPrices[Products],0), 0)* tblEnterpriseUnits[[#This Row],[cv_2018]]/10^6</f>
        <v>0</v>
      </c>
      <c r="N52" s="62" cm="1">
        <f t="array" ref="N52">INDEX(tblPrices[cv_2019], MATCH(tblEnterpriseUnits[[#This Row],[Products]],tblPrices[Products],0), 0)* tblEnterpriseUnits[[#This Row],[cv_2019]]/10^6</f>
        <v>0</v>
      </c>
      <c r="O52" s="62" cm="1">
        <f t="array" ref="O52">INDEX(tblPrices[cv_2020], MATCH(tblEnterpriseUnits[[#This Row],[Products]],tblPrices[Products],0), 0)* tblEnterpriseUnits[[#This Row],[cv_2020]]/10^6</f>
        <v>0</v>
      </c>
      <c r="P52" s="62" cm="1">
        <f t="array" ref="P52">INDEX(tblPrices[cv_2021], MATCH(tblEnterpriseUnits[[#This Row],[Products]],tblPrices[Products],0), 0)* tblEnterpriseUnits[[#This Row],[cv_2021]]/10^6</f>
        <v>0</v>
      </c>
      <c r="Q52" s="62" cm="1">
        <f t="array" ref="Q52">INDEX(tblPrices[cv_2022], MATCH(tblEnterpriseUnits[[#This Row],[Products]],tblPrices[Products],0), 0)* tblEnterpriseUnits[[#This Row],[cv_2022]]/10^6</f>
        <v>0</v>
      </c>
      <c r="R52" s="62" cm="1">
        <f t="array" ref="R52">INDEX(tblPrices[cv_2023], MATCH(tblEnterpriseUnits[[#This Row],[Products]],tblPrices[Products],0), 0)* tblEnterpriseUnits[[#This Row],[cv_2023]]/10^6</f>
        <v>0</v>
      </c>
      <c r="S52" s="62" cm="1">
        <f t="array" ref="S52">INDEX(tblPrices[cv_2024], MATCH(tblEnterpriseUnits[[#This Row],[Products]],tblPrices[Products],0), 0)* tblEnterpriseUnits[[#This Row],[cv_2024]]/10^6</f>
        <v>0</v>
      </c>
      <c r="T52" s="62" cm="1">
        <f t="array" ref="T52">INDEX(tblPrices[cv_2025], MATCH(tblEnterpriseUnits[[#This Row],[Products]],tblPrices[Products],0), 0)* tblEnterpriseUnits[[#This Row],[cv_2025]]/10^6</f>
        <v>0</v>
      </c>
      <c r="U52" s="62" cm="1">
        <f t="array" ref="U52">INDEX(tblPrices[cv_2026], MATCH(tblEnterpriseUnits[[#This Row],[Products]],tblPrices[Products],0), 0)* tblEnterpriseUnits[[#This Row],[cv_2026]]/10^6</f>
        <v>0</v>
      </c>
      <c r="V52" s="62" cm="1">
        <f t="array" ref="V52">INDEX(tblPrices[cv_2027], MATCH(tblEnterpriseUnits[[#This Row],[Products]],tblPrices[Products],0), 0)* tblEnterpriseUnits[[#This Row],[cv_2027]]/10^6</f>
        <v>0</v>
      </c>
      <c r="W52" s="62" cm="1">
        <f t="array" ref="W52">INDEX(tblPrices[cv_2028], MATCH(tblEnterpriseUnits[[#This Row],[Products]],tblPrices[Products],0), 0)* tblEnterpriseUnits[[#This Row],[cv_2028]]/10^6</f>
        <v>0</v>
      </c>
      <c r="X52" s="1">
        <f>VLOOKUP(A52,Products!$A$29:$F$110,6,FALSE)</f>
        <v>100</v>
      </c>
    </row>
    <row r="53" spans="1:24">
      <c r="A53" s="15" t="s">
        <v>45</v>
      </c>
      <c r="B53" s="8">
        <v>0</v>
      </c>
      <c r="C53" s="8">
        <v>1254.150000000001</v>
      </c>
      <c r="D53" s="8"/>
      <c r="E53" s="8"/>
      <c r="F53" s="8"/>
      <c r="G53" s="8"/>
      <c r="H53" s="8"/>
      <c r="I53" s="8"/>
      <c r="J53" s="8"/>
      <c r="K53" s="8"/>
      <c r="L53" s="8"/>
      <c r="M53" s="62" cm="1">
        <f t="array" ref="M53">INDEX(tblPrices[cv_2018], MATCH(tblEnterpriseUnits[[#This Row],[Products]],tblPrices[Products],0), 0)* tblEnterpriseUnits[[#This Row],[cv_2018]]/10^6</f>
        <v>0</v>
      </c>
      <c r="N53" s="62" cm="1">
        <f t="array" ref="N53">INDEX(tblPrices[cv_2019], MATCH(tblEnterpriseUnits[[#This Row],[Products]],tblPrices[Products],0), 0)* tblEnterpriseUnits[[#This Row],[cv_2019]]/10^6</f>
        <v>0.25835490000000022</v>
      </c>
      <c r="O53" s="62" cm="1">
        <f t="array" ref="O53">INDEX(tblPrices[cv_2020], MATCH(tblEnterpriseUnits[[#This Row],[Products]],tblPrices[Products],0), 0)* tblEnterpriseUnits[[#This Row],[cv_2020]]/10^6</f>
        <v>0</v>
      </c>
      <c r="P53" s="62" cm="1">
        <f t="array" ref="P53">INDEX(tblPrices[cv_2021], MATCH(tblEnterpriseUnits[[#This Row],[Products]],tblPrices[Products],0), 0)* tblEnterpriseUnits[[#This Row],[cv_2021]]/10^6</f>
        <v>0</v>
      </c>
      <c r="Q53" s="62" cm="1">
        <f t="array" ref="Q53">INDEX(tblPrices[cv_2022], MATCH(tblEnterpriseUnits[[#This Row],[Products]],tblPrices[Products],0), 0)* tblEnterpriseUnits[[#This Row],[cv_2022]]/10^6</f>
        <v>0</v>
      </c>
      <c r="R53" s="62" cm="1">
        <f t="array" ref="R53">INDEX(tblPrices[cv_2023], MATCH(tblEnterpriseUnits[[#This Row],[Products]],tblPrices[Products],0), 0)* tblEnterpriseUnits[[#This Row],[cv_2023]]/10^6</f>
        <v>0</v>
      </c>
      <c r="S53" s="62" cm="1">
        <f t="array" ref="S53">INDEX(tblPrices[cv_2024], MATCH(tblEnterpriseUnits[[#This Row],[Products]],tblPrices[Products],0), 0)* tblEnterpriseUnits[[#This Row],[cv_2024]]/10^6</f>
        <v>0</v>
      </c>
      <c r="T53" s="62" cm="1">
        <f t="array" ref="T53">INDEX(tblPrices[cv_2025], MATCH(tblEnterpriseUnits[[#This Row],[Products]],tblPrices[Products],0), 0)* tblEnterpriseUnits[[#This Row],[cv_2025]]/10^6</f>
        <v>0</v>
      </c>
      <c r="U53" s="62" cm="1">
        <f t="array" ref="U53">INDEX(tblPrices[cv_2026], MATCH(tblEnterpriseUnits[[#This Row],[Products]],tblPrices[Products],0), 0)* tblEnterpriseUnits[[#This Row],[cv_2026]]/10^6</f>
        <v>0</v>
      </c>
      <c r="V53" s="62" cm="1">
        <f t="array" ref="V53">INDEX(tblPrices[cv_2027], MATCH(tblEnterpriseUnits[[#This Row],[Products]],tblPrices[Products],0), 0)* tblEnterpriseUnits[[#This Row],[cv_2027]]/10^6</f>
        <v>0</v>
      </c>
      <c r="W53" s="62" cm="1">
        <f t="array" ref="W53">INDEX(tblPrices[cv_2028], MATCH(tblEnterpriseUnits[[#This Row],[Products]],tblPrices[Products],0), 0)* tblEnterpriseUnits[[#This Row],[cv_2028]]/10^6</f>
        <v>0</v>
      </c>
      <c r="X53" s="1">
        <f>VLOOKUP(A53,Products!$A$29:$F$110,6,FALSE)</f>
        <v>100</v>
      </c>
    </row>
    <row r="54" spans="1:24">
      <c r="A54" s="15" t="s">
        <v>182</v>
      </c>
      <c r="B54" s="8">
        <v>0</v>
      </c>
      <c r="C54" s="8">
        <v>0</v>
      </c>
      <c r="D54" s="8"/>
      <c r="E54" s="8"/>
      <c r="F54" s="8"/>
      <c r="G54" s="8"/>
      <c r="H54" s="8"/>
      <c r="I54" s="8"/>
      <c r="J54" s="8"/>
      <c r="K54" s="8"/>
      <c r="L54" s="8"/>
      <c r="M54" s="62" cm="1">
        <f t="array" ref="M54">INDEX(tblPrices[cv_2018], MATCH(tblEnterpriseUnits[[#This Row],[Products]],tblPrices[Products],0), 0)* tblEnterpriseUnits[[#This Row],[cv_2018]]/10^6</f>
        <v>0</v>
      </c>
      <c r="N54" s="62" cm="1">
        <f t="array" ref="N54">INDEX(tblPrices[cv_2019], MATCH(tblEnterpriseUnits[[#This Row],[Products]],tblPrices[Products],0), 0)* tblEnterpriseUnits[[#This Row],[cv_2019]]/10^6</f>
        <v>0</v>
      </c>
      <c r="O54" s="62" cm="1">
        <f t="array" ref="O54">INDEX(tblPrices[cv_2020], MATCH(tblEnterpriseUnits[[#This Row],[Products]],tblPrices[Products],0), 0)* tblEnterpriseUnits[[#This Row],[cv_2020]]/10^6</f>
        <v>0</v>
      </c>
      <c r="P54" s="62" cm="1">
        <f t="array" ref="P54">INDEX(tblPrices[cv_2021], MATCH(tblEnterpriseUnits[[#This Row],[Products]],tblPrices[Products],0), 0)* tblEnterpriseUnits[[#This Row],[cv_2021]]/10^6</f>
        <v>0</v>
      </c>
      <c r="Q54" s="62" cm="1">
        <f t="array" ref="Q54">INDEX(tblPrices[cv_2022], MATCH(tblEnterpriseUnits[[#This Row],[Products]],tblPrices[Products],0), 0)* tblEnterpriseUnits[[#This Row],[cv_2022]]/10^6</f>
        <v>0</v>
      </c>
      <c r="R54" s="62" cm="1">
        <f t="array" ref="R54">INDEX(tblPrices[cv_2023], MATCH(tblEnterpriseUnits[[#This Row],[Products]],tblPrices[Products],0), 0)* tblEnterpriseUnits[[#This Row],[cv_2023]]/10^6</f>
        <v>0</v>
      </c>
      <c r="S54" s="62" cm="1">
        <f t="array" ref="S54">INDEX(tblPrices[cv_2024], MATCH(tblEnterpriseUnits[[#This Row],[Products]],tblPrices[Products],0), 0)* tblEnterpriseUnits[[#This Row],[cv_2024]]/10^6</f>
        <v>0</v>
      </c>
      <c r="T54" s="62" cm="1">
        <f t="array" ref="T54">INDEX(tblPrices[cv_2025], MATCH(tblEnterpriseUnits[[#This Row],[Products]],tblPrices[Products],0), 0)* tblEnterpriseUnits[[#This Row],[cv_2025]]/10^6</f>
        <v>0</v>
      </c>
      <c r="U54" s="62" cm="1">
        <f t="array" ref="U54">INDEX(tblPrices[cv_2026], MATCH(tblEnterpriseUnits[[#This Row],[Products]],tblPrices[Products],0), 0)* tblEnterpriseUnits[[#This Row],[cv_2026]]/10^6</f>
        <v>0</v>
      </c>
      <c r="V54" s="62" cm="1">
        <f t="array" ref="V54">INDEX(tblPrices[cv_2027], MATCH(tblEnterpriseUnits[[#This Row],[Products]],tblPrices[Products],0), 0)* tblEnterpriseUnits[[#This Row],[cv_2027]]/10^6</f>
        <v>0</v>
      </c>
      <c r="W54" s="62" cm="1">
        <f t="array" ref="W54">INDEX(tblPrices[cv_2028], MATCH(tblEnterpriseUnits[[#This Row],[Products]],tblPrices[Products],0), 0)* tblEnterpriseUnits[[#This Row],[cv_2028]]/10^6</f>
        <v>0</v>
      </c>
      <c r="X54" s="1">
        <f>VLOOKUP(A54,Products!$A$29:$F$110,6,FALSE)</f>
        <v>100</v>
      </c>
    </row>
    <row r="55" spans="1:24">
      <c r="A55" s="15" t="s">
        <v>183</v>
      </c>
      <c r="B55" s="8">
        <v>0</v>
      </c>
      <c r="C55" s="8">
        <v>0</v>
      </c>
      <c r="D55" s="8"/>
      <c r="E55" s="8"/>
      <c r="F55" s="8"/>
      <c r="G55" s="8"/>
      <c r="H55" s="8"/>
      <c r="I55" s="8"/>
      <c r="J55" s="8"/>
      <c r="K55" s="8"/>
      <c r="L55" s="8"/>
      <c r="M55" s="62" cm="1">
        <f t="array" ref="M55">INDEX(tblPrices[cv_2018], MATCH(tblEnterpriseUnits[[#This Row],[Products]],tblPrices[Products],0), 0)* tblEnterpriseUnits[[#This Row],[cv_2018]]/10^6</f>
        <v>0</v>
      </c>
      <c r="N55" s="62" cm="1">
        <f t="array" ref="N55">INDEX(tblPrices[cv_2019], MATCH(tblEnterpriseUnits[[#This Row],[Products]],tblPrices[Products],0), 0)* tblEnterpriseUnits[[#This Row],[cv_2019]]/10^6</f>
        <v>0</v>
      </c>
      <c r="O55" s="62" cm="1">
        <f t="array" ref="O55">INDEX(tblPrices[cv_2020], MATCH(tblEnterpriseUnits[[#This Row],[Products]],tblPrices[Products],0), 0)* tblEnterpriseUnits[[#This Row],[cv_2020]]/10^6</f>
        <v>0</v>
      </c>
      <c r="P55" s="62" cm="1">
        <f t="array" ref="P55">INDEX(tblPrices[cv_2021], MATCH(tblEnterpriseUnits[[#This Row],[Products]],tblPrices[Products],0), 0)* tblEnterpriseUnits[[#This Row],[cv_2021]]/10^6</f>
        <v>0</v>
      </c>
      <c r="Q55" s="62" cm="1">
        <f t="array" ref="Q55">INDEX(tblPrices[cv_2022], MATCH(tblEnterpriseUnits[[#This Row],[Products]],tblPrices[Products],0), 0)* tblEnterpriseUnits[[#This Row],[cv_2022]]/10^6</f>
        <v>0</v>
      </c>
      <c r="R55" s="62" cm="1">
        <f t="array" ref="R55">INDEX(tblPrices[cv_2023], MATCH(tblEnterpriseUnits[[#This Row],[Products]],tblPrices[Products],0), 0)* tblEnterpriseUnits[[#This Row],[cv_2023]]/10^6</f>
        <v>0</v>
      </c>
      <c r="S55" s="62" cm="1">
        <f t="array" ref="S55">INDEX(tblPrices[cv_2024], MATCH(tblEnterpriseUnits[[#This Row],[Products]],tblPrices[Products],0), 0)* tblEnterpriseUnits[[#This Row],[cv_2024]]/10^6</f>
        <v>0</v>
      </c>
      <c r="T55" s="62" cm="1">
        <f t="array" ref="T55">INDEX(tblPrices[cv_2025], MATCH(tblEnterpriseUnits[[#This Row],[Products]],tblPrices[Products],0), 0)* tblEnterpriseUnits[[#This Row],[cv_2025]]/10^6</f>
        <v>0</v>
      </c>
      <c r="U55" s="62" cm="1">
        <f t="array" ref="U55">INDEX(tblPrices[cv_2026], MATCH(tblEnterpriseUnits[[#This Row],[Products]],tblPrices[Products],0), 0)* tblEnterpriseUnits[[#This Row],[cv_2026]]/10^6</f>
        <v>0</v>
      </c>
      <c r="V55" s="62" cm="1">
        <f t="array" ref="V55">INDEX(tblPrices[cv_2027], MATCH(tblEnterpriseUnits[[#This Row],[Products]],tblPrices[Products],0), 0)* tblEnterpriseUnits[[#This Row],[cv_2027]]/10^6</f>
        <v>0</v>
      </c>
      <c r="W55" s="62" cm="1">
        <f t="array" ref="W55">INDEX(tblPrices[cv_2028], MATCH(tblEnterpriseUnits[[#This Row],[Products]],tblPrices[Products],0), 0)* tblEnterpriseUnits[[#This Row],[cv_2028]]/10^6</f>
        <v>0</v>
      </c>
      <c r="X55" s="1">
        <f>VLOOKUP(A55,Products!$A$29:$F$110,6,FALSE)</f>
        <v>100</v>
      </c>
    </row>
    <row r="56" spans="1:24">
      <c r="A56" s="15" t="s">
        <v>6</v>
      </c>
      <c r="B56" s="8">
        <v>19894.555882352935</v>
      </c>
      <c r="C56" s="8">
        <v>27193.549999999996</v>
      </c>
      <c r="D56" s="8"/>
      <c r="E56" s="8"/>
      <c r="F56" s="8"/>
      <c r="G56" s="8"/>
      <c r="H56" s="8"/>
      <c r="I56" s="8"/>
      <c r="J56" s="8"/>
      <c r="K56" s="8"/>
      <c r="L56" s="8"/>
      <c r="M56" s="62" cm="1">
        <f t="array" ref="M56">INDEX(tblPrices[cv_2018], MATCH(tblEnterpriseUnits[[#This Row],[Products]],tblPrices[Products],0), 0)* tblEnterpriseUnits[[#This Row],[cv_2018]]/10^6</f>
        <v>16.588733492415091</v>
      </c>
      <c r="N56" s="62" cm="1">
        <f t="array" ref="N56">INDEX(tblPrices[cv_2019], MATCH(tblEnterpriseUnits[[#This Row],[Products]],tblPrices[Products],0), 0)* tblEnterpriseUnits[[#This Row],[cv_2019]]/10^6</f>
        <v>14.333371694942644</v>
      </c>
      <c r="O56" s="62" cm="1">
        <f t="array" ref="O56">INDEX(tblPrices[cv_2020], MATCH(tblEnterpriseUnits[[#This Row],[Products]],tblPrices[Products],0), 0)* tblEnterpriseUnits[[#This Row],[cv_2020]]/10^6</f>
        <v>0</v>
      </c>
      <c r="P56" s="62" cm="1">
        <f t="array" ref="P56">INDEX(tblPrices[cv_2021], MATCH(tblEnterpriseUnits[[#This Row],[Products]],tblPrices[Products],0), 0)* tblEnterpriseUnits[[#This Row],[cv_2021]]/10^6</f>
        <v>0</v>
      </c>
      <c r="Q56" s="62" cm="1">
        <f t="array" ref="Q56">INDEX(tblPrices[cv_2022], MATCH(tblEnterpriseUnits[[#This Row],[Products]],tblPrices[Products],0), 0)* tblEnterpriseUnits[[#This Row],[cv_2022]]/10^6</f>
        <v>0</v>
      </c>
      <c r="R56" s="62" cm="1">
        <f t="array" ref="R56">INDEX(tblPrices[cv_2023], MATCH(tblEnterpriseUnits[[#This Row],[Products]],tblPrices[Products],0), 0)* tblEnterpriseUnits[[#This Row],[cv_2023]]/10^6</f>
        <v>0</v>
      </c>
      <c r="S56" s="62" cm="1">
        <f t="array" ref="S56">INDEX(tblPrices[cv_2024], MATCH(tblEnterpriseUnits[[#This Row],[Products]],tblPrices[Products],0), 0)* tblEnterpriseUnits[[#This Row],[cv_2024]]/10^6</f>
        <v>0</v>
      </c>
      <c r="T56" s="62" cm="1">
        <f t="array" ref="T56">INDEX(tblPrices[cv_2025], MATCH(tblEnterpriseUnits[[#This Row],[Products]],tblPrices[Products],0), 0)* tblEnterpriseUnits[[#This Row],[cv_2025]]/10^6</f>
        <v>0</v>
      </c>
      <c r="U56" s="62" cm="1">
        <f t="array" ref="U56">INDEX(tblPrices[cv_2026], MATCH(tblEnterpriseUnits[[#This Row],[Products]],tblPrices[Products],0), 0)* tblEnterpriseUnits[[#This Row],[cv_2026]]/10^6</f>
        <v>0</v>
      </c>
      <c r="V56" s="62" cm="1">
        <f t="array" ref="V56">INDEX(tblPrices[cv_2027], MATCH(tblEnterpriseUnits[[#This Row],[Products]],tblPrices[Products],0), 0)* tblEnterpriseUnits[[#This Row],[cv_2027]]/10^6</f>
        <v>0</v>
      </c>
      <c r="W56" s="62" cm="1">
        <f t="array" ref="W56">INDEX(tblPrices[cv_2028], MATCH(tblEnterpriseUnits[[#This Row],[Products]],tblPrices[Products],0), 0)* tblEnterpriseUnits[[#This Row],[cv_2028]]/10^6</f>
        <v>0</v>
      </c>
      <c r="X56" s="1">
        <f>VLOOKUP(A56,Products!$A$29:$F$110,6,FALSE)</f>
        <v>100</v>
      </c>
    </row>
    <row r="57" spans="1:24">
      <c r="A57" s="15" t="s">
        <v>7</v>
      </c>
      <c r="B57" s="8">
        <v>12000</v>
      </c>
      <c r="C57" s="8">
        <v>14022.12</v>
      </c>
      <c r="D57" s="8"/>
      <c r="E57" s="8"/>
      <c r="F57" s="8"/>
      <c r="G57" s="8"/>
      <c r="H57" s="8"/>
      <c r="I57" s="8"/>
      <c r="J57" s="8"/>
      <c r="K57" s="8"/>
      <c r="L57" s="8"/>
      <c r="M57" s="62" cm="1">
        <f t="array" ref="M57">INDEX(tblPrices[cv_2018], MATCH(tblEnterpriseUnits[[#This Row],[Products]],tblPrices[Products],0), 0)* tblEnterpriseUnits[[#This Row],[cv_2018]]/10^6</f>
        <v>3.6</v>
      </c>
      <c r="N57" s="62" cm="1">
        <f t="array" ref="N57">INDEX(tblPrices[cv_2019], MATCH(tblEnterpriseUnits[[#This Row],[Products]],tblPrices[Products],0), 0)* tblEnterpriseUnits[[#This Row],[cv_2019]]/10^6</f>
        <v>2.8916211626679251</v>
      </c>
      <c r="O57" s="62" cm="1">
        <f t="array" ref="O57">INDEX(tblPrices[cv_2020], MATCH(tblEnterpriseUnits[[#This Row],[Products]],tblPrices[Products],0), 0)* tblEnterpriseUnits[[#This Row],[cv_2020]]/10^6</f>
        <v>0</v>
      </c>
      <c r="P57" s="62" cm="1">
        <f t="array" ref="P57">INDEX(tblPrices[cv_2021], MATCH(tblEnterpriseUnits[[#This Row],[Products]],tblPrices[Products],0), 0)* tblEnterpriseUnits[[#This Row],[cv_2021]]/10^6</f>
        <v>0</v>
      </c>
      <c r="Q57" s="62" cm="1">
        <f t="array" ref="Q57">INDEX(tblPrices[cv_2022], MATCH(tblEnterpriseUnits[[#This Row],[Products]],tblPrices[Products],0), 0)* tblEnterpriseUnits[[#This Row],[cv_2022]]/10^6</f>
        <v>0</v>
      </c>
      <c r="R57" s="62" cm="1">
        <f t="array" ref="R57">INDEX(tblPrices[cv_2023], MATCH(tblEnterpriseUnits[[#This Row],[Products]],tblPrices[Products],0), 0)* tblEnterpriseUnits[[#This Row],[cv_2023]]/10^6</f>
        <v>0</v>
      </c>
      <c r="S57" s="62" cm="1">
        <f t="array" ref="S57">INDEX(tblPrices[cv_2024], MATCH(tblEnterpriseUnits[[#This Row],[Products]],tblPrices[Products],0), 0)* tblEnterpriseUnits[[#This Row],[cv_2024]]/10^6</f>
        <v>0</v>
      </c>
      <c r="T57" s="62" cm="1">
        <f t="array" ref="T57">INDEX(tblPrices[cv_2025], MATCH(tblEnterpriseUnits[[#This Row],[Products]],tblPrices[Products],0), 0)* tblEnterpriseUnits[[#This Row],[cv_2025]]/10^6</f>
        <v>0</v>
      </c>
      <c r="U57" s="62" cm="1">
        <f t="array" ref="U57">INDEX(tblPrices[cv_2026], MATCH(tblEnterpriseUnits[[#This Row],[Products]],tblPrices[Products],0), 0)* tblEnterpriseUnits[[#This Row],[cv_2026]]/10^6</f>
        <v>0</v>
      </c>
      <c r="V57" s="62" cm="1">
        <f t="array" ref="V57">INDEX(tblPrices[cv_2027], MATCH(tblEnterpriseUnits[[#This Row],[Products]],tblPrices[Products],0), 0)* tblEnterpriseUnits[[#This Row],[cv_2027]]/10^6</f>
        <v>0</v>
      </c>
      <c r="W57" s="62" cm="1">
        <f t="array" ref="W57">INDEX(tblPrices[cv_2028], MATCH(tblEnterpriseUnits[[#This Row],[Products]],tblPrices[Products],0), 0)* tblEnterpriseUnits[[#This Row],[cv_2028]]/10^6</f>
        <v>0</v>
      </c>
      <c r="X57" s="1">
        <f>VLOOKUP(A57,Products!$A$29:$F$110,6,FALSE)</f>
        <v>100</v>
      </c>
    </row>
    <row r="58" spans="1:24">
      <c r="A58" s="15" t="s">
        <v>8</v>
      </c>
      <c r="B58" s="8">
        <v>0</v>
      </c>
      <c r="C58" s="8">
        <v>1316.0000000000002</v>
      </c>
      <c r="D58" s="8"/>
      <c r="E58" s="8"/>
      <c r="F58" s="8"/>
      <c r="G58" s="8"/>
      <c r="H58" s="8"/>
      <c r="I58" s="8"/>
      <c r="J58" s="8"/>
      <c r="K58" s="8"/>
      <c r="L58" s="8"/>
      <c r="M58" s="62" cm="1">
        <f t="array" ref="M58">INDEX(tblPrices[cv_2018], MATCH(tblEnterpriseUnits[[#This Row],[Products]],tblPrices[Products],0), 0)* tblEnterpriseUnits[[#This Row],[cv_2018]]/10^6</f>
        <v>0</v>
      </c>
      <c r="N58" s="62" cm="1">
        <f t="array" ref="N58">INDEX(tblPrices[cv_2019], MATCH(tblEnterpriseUnits[[#This Row],[Products]],tblPrices[Products],0), 0)* tblEnterpriseUnits[[#This Row],[cv_2019]]/10^6</f>
        <v>2.2472610114375398</v>
      </c>
      <c r="O58" s="62" cm="1">
        <f t="array" ref="O58">INDEX(tblPrices[cv_2020], MATCH(tblEnterpriseUnits[[#This Row],[Products]],tblPrices[Products],0), 0)* tblEnterpriseUnits[[#This Row],[cv_2020]]/10^6</f>
        <v>0</v>
      </c>
      <c r="P58" s="62" cm="1">
        <f t="array" ref="P58">INDEX(tblPrices[cv_2021], MATCH(tblEnterpriseUnits[[#This Row],[Products]],tblPrices[Products],0), 0)* tblEnterpriseUnits[[#This Row],[cv_2021]]/10^6</f>
        <v>0</v>
      </c>
      <c r="Q58" s="62" cm="1">
        <f t="array" ref="Q58">INDEX(tblPrices[cv_2022], MATCH(tblEnterpriseUnits[[#This Row],[Products]],tblPrices[Products],0), 0)* tblEnterpriseUnits[[#This Row],[cv_2022]]/10^6</f>
        <v>0</v>
      </c>
      <c r="R58" s="62" cm="1">
        <f t="array" ref="R58">INDEX(tblPrices[cv_2023], MATCH(tblEnterpriseUnits[[#This Row],[Products]],tblPrices[Products],0), 0)* tblEnterpriseUnits[[#This Row],[cv_2023]]/10^6</f>
        <v>0</v>
      </c>
      <c r="S58" s="62" cm="1">
        <f t="array" ref="S58">INDEX(tblPrices[cv_2024], MATCH(tblEnterpriseUnits[[#This Row],[Products]],tblPrices[Products],0), 0)* tblEnterpriseUnits[[#This Row],[cv_2024]]/10^6</f>
        <v>0</v>
      </c>
      <c r="T58" s="62" cm="1">
        <f t="array" ref="T58">INDEX(tblPrices[cv_2025], MATCH(tblEnterpriseUnits[[#This Row],[Products]],tblPrices[Products],0), 0)* tblEnterpriseUnits[[#This Row],[cv_2025]]/10^6</f>
        <v>0</v>
      </c>
      <c r="U58" s="62" cm="1">
        <f t="array" ref="U58">INDEX(tblPrices[cv_2026], MATCH(tblEnterpriseUnits[[#This Row],[Products]],tblPrices[Products],0), 0)* tblEnterpriseUnits[[#This Row],[cv_2026]]/10^6</f>
        <v>0</v>
      </c>
      <c r="V58" s="62" cm="1">
        <f t="array" ref="V58">INDEX(tblPrices[cv_2027], MATCH(tblEnterpriseUnits[[#This Row],[Products]],tblPrices[Products],0), 0)* tblEnterpriseUnits[[#This Row],[cv_2027]]/10^6</f>
        <v>0</v>
      </c>
      <c r="W58" s="62" cm="1">
        <f t="array" ref="W58">INDEX(tblPrices[cv_2028], MATCH(tblEnterpriseUnits[[#This Row],[Products]],tblPrices[Products],0), 0)* tblEnterpriseUnits[[#This Row],[cv_2028]]/10^6</f>
        <v>0</v>
      </c>
      <c r="X58" s="1">
        <f>VLOOKUP(A58,Products!$A$29:$F$110,6,FALSE)</f>
        <v>100</v>
      </c>
    </row>
    <row r="59" spans="1:24">
      <c r="A59" s="15" t="s">
        <v>184</v>
      </c>
      <c r="B59" s="8">
        <v>1209.9999999999998</v>
      </c>
      <c r="C59" s="8">
        <v>4276.7999999999993</v>
      </c>
      <c r="D59" s="8"/>
      <c r="E59" s="8"/>
      <c r="F59" s="8"/>
      <c r="G59" s="8"/>
      <c r="H59" s="8"/>
      <c r="I59" s="8"/>
      <c r="J59" s="8"/>
      <c r="K59" s="8"/>
      <c r="L59" s="8"/>
      <c r="M59" s="62" cm="1">
        <f t="array" ref="M59">INDEX(tblPrices[cv_2018], MATCH(tblEnterpriseUnits[[#This Row],[Products]],tblPrices[Products],0), 0)* tblEnterpriseUnits[[#This Row],[cv_2018]]/10^6</f>
        <v>3.7670732814814811</v>
      </c>
      <c r="N59" s="62" cm="1">
        <f t="array" ref="N59">INDEX(tblPrices[cv_2019], MATCH(tblEnterpriseUnits[[#This Row],[Products]],tblPrices[Products],0), 0)* tblEnterpriseUnits[[#This Row],[cv_2019]]/10^6</f>
        <v>9.7461000163505584</v>
      </c>
      <c r="O59" s="62" cm="1">
        <f t="array" ref="O59">INDEX(tblPrices[cv_2020], MATCH(tblEnterpriseUnits[[#This Row],[Products]],tblPrices[Products],0), 0)* tblEnterpriseUnits[[#This Row],[cv_2020]]/10^6</f>
        <v>0</v>
      </c>
      <c r="P59" s="62" cm="1">
        <f t="array" ref="P59">INDEX(tblPrices[cv_2021], MATCH(tblEnterpriseUnits[[#This Row],[Products]],tblPrices[Products],0), 0)* tblEnterpriseUnits[[#This Row],[cv_2021]]/10^6</f>
        <v>0</v>
      </c>
      <c r="Q59" s="62" cm="1">
        <f t="array" ref="Q59">INDEX(tblPrices[cv_2022], MATCH(tblEnterpriseUnits[[#This Row],[Products]],tblPrices[Products],0), 0)* tblEnterpriseUnits[[#This Row],[cv_2022]]/10^6</f>
        <v>0</v>
      </c>
      <c r="R59" s="62" cm="1">
        <f t="array" ref="R59">INDEX(tblPrices[cv_2023], MATCH(tblEnterpriseUnits[[#This Row],[Products]],tblPrices[Products],0), 0)* tblEnterpriseUnits[[#This Row],[cv_2023]]/10^6</f>
        <v>0</v>
      </c>
      <c r="S59" s="62" cm="1">
        <f t="array" ref="S59">INDEX(tblPrices[cv_2024], MATCH(tblEnterpriseUnits[[#This Row],[Products]],tblPrices[Products],0), 0)* tblEnterpriseUnits[[#This Row],[cv_2024]]/10^6</f>
        <v>0</v>
      </c>
      <c r="T59" s="62" cm="1">
        <f t="array" ref="T59">INDEX(tblPrices[cv_2025], MATCH(tblEnterpriseUnits[[#This Row],[Products]],tblPrices[Products],0), 0)* tblEnterpriseUnits[[#This Row],[cv_2025]]/10^6</f>
        <v>0</v>
      </c>
      <c r="U59" s="62" cm="1">
        <f t="array" ref="U59">INDEX(tblPrices[cv_2026], MATCH(tblEnterpriseUnits[[#This Row],[Products]],tblPrices[Products],0), 0)* tblEnterpriseUnits[[#This Row],[cv_2026]]/10^6</f>
        <v>0</v>
      </c>
      <c r="V59" s="62" cm="1">
        <f t="array" ref="V59">INDEX(tblPrices[cv_2027], MATCH(tblEnterpriseUnits[[#This Row],[Products]],tblPrices[Products],0), 0)* tblEnterpriseUnits[[#This Row],[cv_2027]]/10^6</f>
        <v>0</v>
      </c>
      <c r="W59" s="62" cm="1">
        <f t="array" ref="W59">INDEX(tblPrices[cv_2028], MATCH(tblEnterpriseUnits[[#This Row],[Products]],tblPrices[Products],0), 0)* tblEnterpriseUnits[[#This Row],[cv_2028]]/10^6</f>
        <v>0</v>
      </c>
      <c r="X59" s="1">
        <f>VLOOKUP(A59,Products!$A$29:$F$110,6,FALSE)</f>
        <v>100</v>
      </c>
    </row>
    <row r="60" spans="1:24">
      <c r="A60" s="16" t="s">
        <v>185</v>
      </c>
      <c r="B60" s="8">
        <v>809.99999999999977</v>
      </c>
      <c r="C60" s="8">
        <v>1069.9999999999998</v>
      </c>
      <c r="D60" s="8"/>
      <c r="E60" s="8"/>
      <c r="F60" s="8"/>
      <c r="G60" s="8"/>
      <c r="H60" s="8"/>
      <c r="I60" s="8"/>
      <c r="J60" s="8"/>
      <c r="K60" s="8"/>
      <c r="L60" s="8"/>
      <c r="M60" s="62" cm="1">
        <f t="array" ref="M60">INDEX(tblPrices[cv_2018], MATCH(tblEnterpriseUnits[[#This Row],[Products]],tblPrices[Products],0), 0)* tblEnterpriseUnits[[#This Row],[cv_2018]]/10^6</f>
        <v>4.0013423606592928</v>
      </c>
      <c r="N60" s="62" cm="1">
        <f t="array" ref="N60">INDEX(tblPrices[cv_2019], MATCH(tblEnterpriseUnits[[#This Row],[Products]],tblPrices[Products],0), 0)* tblEnterpriseUnits[[#This Row],[cv_2019]]/10^6</f>
        <v>4.12170079187106</v>
      </c>
      <c r="O60" s="62" cm="1">
        <f t="array" ref="O60">INDEX(tblPrices[cv_2020], MATCH(tblEnterpriseUnits[[#This Row],[Products]],tblPrices[Products],0), 0)* tblEnterpriseUnits[[#This Row],[cv_2020]]/10^6</f>
        <v>0</v>
      </c>
      <c r="P60" s="62" cm="1">
        <f t="array" ref="P60">INDEX(tblPrices[cv_2021], MATCH(tblEnterpriseUnits[[#This Row],[Products]],tblPrices[Products],0), 0)* tblEnterpriseUnits[[#This Row],[cv_2021]]/10^6</f>
        <v>0</v>
      </c>
      <c r="Q60" s="62" cm="1">
        <f t="array" ref="Q60">INDEX(tblPrices[cv_2022], MATCH(tblEnterpriseUnits[[#This Row],[Products]],tblPrices[Products],0), 0)* tblEnterpriseUnits[[#This Row],[cv_2022]]/10^6</f>
        <v>0</v>
      </c>
      <c r="R60" s="62" cm="1">
        <f t="array" ref="R60">INDEX(tblPrices[cv_2023], MATCH(tblEnterpriseUnits[[#This Row],[Products]],tblPrices[Products],0), 0)* tblEnterpriseUnits[[#This Row],[cv_2023]]/10^6</f>
        <v>0</v>
      </c>
      <c r="S60" s="62" cm="1">
        <f t="array" ref="S60">INDEX(tblPrices[cv_2024], MATCH(tblEnterpriseUnits[[#This Row],[Products]],tblPrices[Products],0), 0)* tblEnterpriseUnits[[#This Row],[cv_2024]]/10^6</f>
        <v>0</v>
      </c>
      <c r="T60" s="62" cm="1">
        <f t="array" ref="T60">INDEX(tblPrices[cv_2025], MATCH(tblEnterpriseUnits[[#This Row],[Products]],tblPrices[Products],0), 0)* tblEnterpriseUnits[[#This Row],[cv_2025]]/10^6</f>
        <v>0</v>
      </c>
      <c r="U60" s="62" cm="1">
        <f t="array" ref="U60">INDEX(tblPrices[cv_2026], MATCH(tblEnterpriseUnits[[#This Row],[Products]],tblPrices[Products],0), 0)* tblEnterpriseUnits[[#This Row],[cv_2026]]/10^6</f>
        <v>0</v>
      </c>
      <c r="V60" s="62" cm="1">
        <f t="array" ref="V60">INDEX(tblPrices[cv_2027], MATCH(tblEnterpriseUnits[[#This Row],[Products]],tblPrices[Products],0), 0)* tblEnterpriseUnits[[#This Row],[cv_2027]]/10^6</f>
        <v>0</v>
      </c>
      <c r="W60" s="62" cm="1">
        <f t="array" ref="W60">INDEX(tblPrices[cv_2028], MATCH(tblEnterpriseUnits[[#This Row],[Products]],tblPrices[Products],0), 0)* tblEnterpriseUnits[[#This Row],[cv_2028]]/10^6</f>
        <v>0</v>
      </c>
      <c r="X60" s="1">
        <f>VLOOKUP(A60,Products!$A$29:$F$110,6,FALSE)</f>
        <v>100</v>
      </c>
    </row>
    <row r="61" spans="1:24">
      <c r="A61" s="15" t="s">
        <v>186</v>
      </c>
      <c r="B61" s="8">
        <v>0</v>
      </c>
      <c r="C61" s="8">
        <v>0</v>
      </c>
      <c r="D61" s="8"/>
      <c r="E61" s="8"/>
      <c r="F61" s="8"/>
      <c r="G61" s="8"/>
      <c r="H61" s="8"/>
      <c r="I61" s="8"/>
      <c r="J61" s="8"/>
      <c r="K61" s="8"/>
      <c r="L61" s="8"/>
      <c r="M61" s="62" cm="1">
        <f t="array" ref="M61">INDEX(tblPrices[cv_2018], MATCH(tblEnterpriseUnits[[#This Row],[Products]],tblPrices[Products],0), 0)* tblEnterpriseUnits[[#This Row],[cv_2018]]/10^6</f>
        <v>0</v>
      </c>
      <c r="N61" s="62" cm="1">
        <f t="array" ref="N61">INDEX(tblPrices[cv_2019], MATCH(tblEnterpriseUnits[[#This Row],[Products]],tblPrices[Products],0), 0)* tblEnterpriseUnits[[#This Row],[cv_2019]]/10^6</f>
        <v>0</v>
      </c>
      <c r="O61" s="62" cm="1">
        <f t="array" ref="O61">INDEX(tblPrices[cv_2020], MATCH(tblEnterpriseUnits[[#This Row],[Products]],tblPrices[Products],0), 0)* tblEnterpriseUnits[[#This Row],[cv_2020]]/10^6</f>
        <v>0</v>
      </c>
      <c r="P61" s="62" cm="1">
        <f t="array" ref="P61">INDEX(tblPrices[cv_2021], MATCH(tblEnterpriseUnits[[#This Row],[Products]],tblPrices[Products],0), 0)* tblEnterpriseUnits[[#This Row],[cv_2021]]/10^6</f>
        <v>0</v>
      </c>
      <c r="Q61" s="62" cm="1">
        <f t="array" ref="Q61">INDEX(tblPrices[cv_2022], MATCH(tblEnterpriseUnits[[#This Row],[Products]],tblPrices[Products],0), 0)* tblEnterpriseUnits[[#This Row],[cv_2022]]/10^6</f>
        <v>0</v>
      </c>
      <c r="R61" s="62" cm="1">
        <f t="array" ref="R61">INDEX(tblPrices[cv_2023], MATCH(tblEnterpriseUnits[[#This Row],[Products]],tblPrices[Products],0), 0)* tblEnterpriseUnits[[#This Row],[cv_2023]]/10^6</f>
        <v>0</v>
      </c>
      <c r="S61" s="62" cm="1">
        <f t="array" ref="S61">INDEX(tblPrices[cv_2024], MATCH(tblEnterpriseUnits[[#This Row],[Products]],tblPrices[Products],0), 0)* tblEnterpriseUnits[[#This Row],[cv_2024]]/10^6</f>
        <v>0</v>
      </c>
      <c r="T61" s="62" cm="1">
        <f t="array" ref="T61">INDEX(tblPrices[cv_2025], MATCH(tblEnterpriseUnits[[#This Row],[Products]],tblPrices[Products],0), 0)* tblEnterpriseUnits[[#This Row],[cv_2025]]/10^6</f>
        <v>0</v>
      </c>
      <c r="U61" s="62" cm="1">
        <f t="array" ref="U61">INDEX(tblPrices[cv_2026], MATCH(tblEnterpriseUnits[[#This Row],[Products]],tblPrices[Products],0), 0)* tblEnterpriseUnits[[#This Row],[cv_2026]]/10^6</f>
        <v>0</v>
      </c>
      <c r="V61" s="62" cm="1">
        <f t="array" ref="V61">INDEX(tblPrices[cv_2027], MATCH(tblEnterpriseUnits[[#This Row],[Products]],tblPrices[Products],0), 0)* tblEnterpriseUnits[[#This Row],[cv_2027]]/10^6</f>
        <v>0</v>
      </c>
      <c r="W61" s="62" cm="1">
        <f t="array" ref="W61">INDEX(tblPrices[cv_2028], MATCH(tblEnterpriseUnits[[#This Row],[Products]],tblPrices[Products],0), 0)* tblEnterpriseUnits[[#This Row],[cv_2028]]/10^6</f>
        <v>0</v>
      </c>
      <c r="X61" s="1">
        <f>VLOOKUP(A61,Products!$A$29:$F$110,6,FALSE)</f>
        <v>100</v>
      </c>
    </row>
    <row r="62" spans="1:24">
      <c r="A62" s="15" t="s">
        <v>47</v>
      </c>
      <c r="B62" s="8">
        <v>0</v>
      </c>
      <c r="C62" s="8">
        <v>0</v>
      </c>
      <c r="D62" s="8"/>
      <c r="E62" s="8"/>
      <c r="F62" s="8"/>
      <c r="G62" s="8"/>
      <c r="H62" s="8"/>
      <c r="I62" s="8"/>
      <c r="J62" s="8"/>
      <c r="K62" s="8"/>
      <c r="L62" s="8"/>
      <c r="M62" s="62" cm="1">
        <f t="array" ref="M62">INDEX(tblPrices[cv_2018], MATCH(tblEnterpriseUnits[[#This Row],[Products]],tblPrices[Products],0), 0)* tblEnterpriseUnits[[#This Row],[cv_2018]]/10^6</f>
        <v>0</v>
      </c>
      <c r="N62" s="62" cm="1">
        <f t="array" ref="N62">INDEX(tblPrices[cv_2019], MATCH(tblEnterpriseUnits[[#This Row],[Products]],tblPrices[Products],0), 0)* tblEnterpriseUnits[[#This Row],[cv_2019]]/10^6</f>
        <v>0</v>
      </c>
      <c r="O62" s="62" cm="1">
        <f t="array" ref="O62">INDEX(tblPrices[cv_2020], MATCH(tblEnterpriseUnits[[#This Row],[Products]],tblPrices[Products],0), 0)* tblEnterpriseUnits[[#This Row],[cv_2020]]/10^6</f>
        <v>0</v>
      </c>
      <c r="P62" s="62" cm="1">
        <f t="array" ref="P62">INDEX(tblPrices[cv_2021], MATCH(tblEnterpriseUnits[[#This Row],[Products]],tblPrices[Products],0), 0)* tblEnterpriseUnits[[#This Row],[cv_2021]]/10^6</f>
        <v>0</v>
      </c>
      <c r="Q62" s="62" cm="1">
        <f t="array" ref="Q62">INDEX(tblPrices[cv_2022], MATCH(tblEnterpriseUnits[[#This Row],[Products]],tblPrices[Products],0), 0)* tblEnterpriseUnits[[#This Row],[cv_2022]]/10^6</f>
        <v>0</v>
      </c>
      <c r="R62" s="62" cm="1">
        <f t="array" ref="R62">INDEX(tblPrices[cv_2023], MATCH(tblEnterpriseUnits[[#This Row],[Products]],tblPrices[Products],0), 0)* tblEnterpriseUnits[[#This Row],[cv_2023]]/10^6</f>
        <v>0</v>
      </c>
      <c r="S62" s="62" cm="1">
        <f t="array" ref="S62">INDEX(tblPrices[cv_2024], MATCH(tblEnterpriseUnits[[#This Row],[Products]],tblPrices[Products],0), 0)* tblEnterpriseUnits[[#This Row],[cv_2024]]/10^6</f>
        <v>0</v>
      </c>
      <c r="T62" s="62" cm="1">
        <f t="array" ref="T62">INDEX(tblPrices[cv_2025], MATCH(tblEnterpriseUnits[[#This Row],[Products]],tblPrices[Products],0), 0)* tblEnterpriseUnits[[#This Row],[cv_2025]]/10^6</f>
        <v>0</v>
      </c>
      <c r="U62" s="62" cm="1">
        <f t="array" ref="U62">INDEX(tblPrices[cv_2026], MATCH(tblEnterpriseUnits[[#This Row],[Products]],tblPrices[Products],0), 0)* tblEnterpriseUnits[[#This Row],[cv_2026]]/10^6</f>
        <v>0</v>
      </c>
      <c r="V62" s="62" cm="1">
        <f t="array" ref="V62">INDEX(tblPrices[cv_2027], MATCH(tblEnterpriseUnits[[#This Row],[Products]],tblPrices[Products],0), 0)* tblEnterpriseUnits[[#This Row],[cv_2027]]/10^6</f>
        <v>0</v>
      </c>
      <c r="W62" s="62" cm="1">
        <f t="array" ref="W62">INDEX(tblPrices[cv_2028], MATCH(tblEnterpriseUnits[[#This Row],[Products]],tblPrices[Products],0), 0)* tblEnterpriseUnits[[#This Row],[cv_2028]]/10^6</f>
        <v>0</v>
      </c>
      <c r="X62" s="1">
        <f>VLOOKUP(A62,Products!$A$29:$F$110,6,FALSE)</f>
        <v>200</v>
      </c>
    </row>
    <row r="63" spans="1:24">
      <c r="A63" s="15" t="s">
        <v>187</v>
      </c>
      <c r="B63" s="8">
        <v>0</v>
      </c>
      <c r="C63" s="8">
        <v>0</v>
      </c>
      <c r="D63" s="8"/>
      <c r="E63" s="8"/>
      <c r="F63" s="8"/>
      <c r="G63" s="8"/>
      <c r="H63" s="8"/>
      <c r="I63" s="8"/>
      <c r="J63" s="8"/>
      <c r="K63" s="8"/>
      <c r="L63" s="8"/>
      <c r="M63" s="62" cm="1">
        <f t="array" ref="M63">INDEX(tblPrices[cv_2018], MATCH(tblEnterpriseUnits[[#This Row],[Products]],tblPrices[Products],0), 0)* tblEnterpriseUnits[[#This Row],[cv_2018]]/10^6</f>
        <v>0</v>
      </c>
      <c r="N63" s="62" cm="1">
        <f t="array" ref="N63">INDEX(tblPrices[cv_2019], MATCH(tblEnterpriseUnits[[#This Row],[Products]],tblPrices[Products],0), 0)* tblEnterpriseUnits[[#This Row],[cv_2019]]/10^6</f>
        <v>0</v>
      </c>
      <c r="O63" s="62" cm="1">
        <f t="array" ref="O63">INDEX(tblPrices[cv_2020], MATCH(tblEnterpriseUnits[[#This Row],[Products]],tblPrices[Products],0), 0)* tblEnterpriseUnits[[#This Row],[cv_2020]]/10^6</f>
        <v>0</v>
      </c>
      <c r="P63" s="62" cm="1">
        <f t="array" ref="P63">INDEX(tblPrices[cv_2021], MATCH(tblEnterpriseUnits[[#This Row],[Products]],tblPrices[Products],0), 0)* tblEnterpriseUnits[[#This Row],[cv_2021]]/10^6</f>
        <v>0</v>
      </c>
      <c r="Q63" s="62" cm="1">
        <f t="array" ref="Q63">INDEX(tblPrices[cv_2022], MATCH(tblEnterpriseUnits[[#This Row],[Products]],tblPrices[Products],0), 0)* tblEnterpriseUnits[[#This Row],[cv_2022]]/10^6</f>
        <v>0</v>
      </c>
      <c r="R63" s="62" cm="1">
        <f t="array" ref="R63">INDEX(tblPrices[cv_2023], MATCH(tblEnterpriseUnits[[#This Row],[Products]],tblPrices[Products],0), 0)* tblEnterpriseUnits[[#This Row],[cv_2023]]/10^6</f>
        <v>0</v>
      </c>
      <c r="S63" s="62" cm="1">
        <f t="array" ref="S63">INDEX(tblPrices[cv_2024], MATCH(tblEnterpriseUnits[[#This Row],[Products]],tblPrices[Products],0), 0)* tblEnterpriseUnits[[#This Row],[cv_2024]]/10^6</f>
        <v>0</v>
      </c>
      <c r="T63" s="62" cm="1">
        <f t="array" ref="T63">INDEX(tblPrices[cv_2025], MATCH(tblEnterpriseUnits[[#This Row],[Products]],tblPrices[Products],0), 0)* tblEnterpriseUnits[[#This Row],[cv_2025]]/10^6</f>
        <v>0</v>
      </c>
      <c r="U63" s="62" cm="1">
        <f t="array" ref="U63">INDEX(tblPrices[cv_2026], MATCH(tblEnterpriseUnits[[#This Row],[Products]],tblPrices[Products],0), 0)* tblEnterpriseUnits[[#This Row],[cv_2026]]/10^6</f>
        <v>0</v>
      </c>
      <c r="V63" s="62" cm="1">
        <f t="array" ref="V63">INDEX(tblPrices[cv_2027], MATCH(tblEnterpriseUnits[[#This Row],[Products]],tblPrices[Products],0), 0)* tblEnterpriseUnits[[#This Row],[cv_2027]]/10^6</f>
        <v>0</v>
      </c>
      <c r="W63" s="62" cm="1">
        <f t="array" ref="W63">INDEX(tblPrices[cv_2028], MATCH(tblEnterpriseUnits[[#This Row],[Products]],tblPrices[Products],0), 0)* tblEnterpriseUnits[[#This Row],[cv_2028]]/10^6</f>
        <v>0</v>
      </c>
      <c r="X63" s="1">
        <f>VLOOKUP(A63,Products!$A$29:$F$110,6,FALSE)</f>
        <v>200</v>
      </c>
    </row>
    <row r="64" spans="1:24">
      <c r="A64" s="15" t="s">
        <v>41</v>
      </c>
      <c r="B64" s="8">
        <v>0</v>
      </c>
      <c r="C64" s="8">
        <v>0</v>
      </c>
      <c r="D64" s="8"/>
      <c r="E64" s="8"/>
      <c r="F64" s="8"/>
      <c r="G64" s="8"/>
      <c r="H64" s="8"/>
      <c r="I64" s="8"/>
      <c r="J64" s="8"/>
      <c r="K64" s="8"/>
      <c r="L64" s="8"/>
      <c r="M64" s="62" cm="1">
        <f t="array" ref="M64">INDEX(tblPrices[cv_2018], MATCH(tblEnterpriseUnits[[#This Row],[Products]],tblPrices[Products],0), 0)* tblEnterpriseUnits[[#This Row],[cv_2018]]/10^6</f>
        <v>0</v>
      </c>
      <c r="N64" s="62" cm="1">
        <f t="array" ref="N64">INDEX(tblPrices[cv_2019], MATCH(tblEnterpriseUnits[[#This Row],[Products]],tblPrices[Products],0), 0)* tblEnterpriseUnits[[#This Row],[cv_2019]]/10^6</f>
        <v>0</v>
      </c>
      <c r="O64" s="62" cm="1">
        <f t="array" ref="O64">INDEX(tblPrices[cv_2020], MATCH(tblEnterpriseUnits[[#This Row],[Products]],tblPrices[Products],0), 0)* tblEnterpriseUnits[[#This Row],[cv_2020]]/10^6</f>
        <v>0</v>
      </c>
      <c r="P64" s="62" cm="1">
        <f t="array" ref="P64">INDEX(tblPrices[cv_2021], MATCH(tblEnterpriseUnits[[#This Row],[Products]],tblPrices[Products],0), 0)* tblEnterpriseUnits[[#This Row],[cv_2021]]/10^6</f>
        <v>0</v>
      </c>
      <c r="Q64" s="62" cm="1">
        <f t="array" ref="Q64">INDEX(tblPrices[cv_2022], MATCH(tblEnterpriseUnits[[#This Row],[Products]],tblPrices[Products],0), 0)* tblEnterpriseUnits[[#This Row],[cv_2022]]/10^6</f>
        <v>0</v>
      </c>
      <c r="R64" s="62" cm="1">
        <f t="array" ref="R64">INDEX(tblPrices[cv_2023], MATCH(tblEnterpriseUnits[[#This Row],[Products]],tblPrices[Products],0), 0)* tblEnterpriseUnits[[#This Row],[cv_2023]]/10^6</f>
        <v>0</v>
      </c>
      <c r="S64" s="62" cm="1">
        <f t="array" ref="S64">INDEX(tblPrices[cv_2024], MATCH(tblEnterpriseUnits[[#This Row],[Products]],tblPrices[Products],0), 0)* tblEnterpriseUnits[[#This Row],[cv_2024]]/10^6</f>
        <v>0</v>
      </c>
      <c r="T64" s="62" cm="1">
        <f t="array" ref="T64">INDEX(tblPrices[cv_2025], MATCH(tblEnterpriseUnits[[#This Row],[Products]],tblPrices[Products],0), 0)* tblEnterpriseUnits[[#This Row],[cv_2025]]/10^6</f>
        <v>0</v>
      </c>
      <c r="U64" s="62" cm="1">
        <f t="array" ref="U64">INDEX(tblPrices[cv_2026], MATCH(tblEnterpriseUnits[[#This Row],[Products]],tblPrices[Products],0), 0)* tblEnterpriseUnits[[#This Row],[cv_2026]]/10^6</f>
        <v>0</v>
      </c>
      <c r="V64" s="62" cm="1">
        <f t="array" ref="V64">INDEX(tblPrices[cv_2027], MATCH(tblEnterpriseUnits[[#This Row],[Products]],tblPrices[Products],0), 0)* tblEnterpriseUnits[[#This Row],[cv_2027]]/10^6</f>
        <v>0</v>
      </c>
      <c r="W64" s="62" cm="1">
        <f t="array" ref="W64">INDEX(tblPrices[cv_2028], MATCH(tblEnterpriseUnits[[#This Row],[Products]],tblPrices[Products],0), 0)* tblEnterpriseUnits[[#This Row],[cv_2028]]/10^6</f>
        <v>0</v>
      </c>
      <c r="X64" s="1">
        <f>VLOOKUP(A64,Products!$A$29:$F$110,6,FALSE)</f>
        <v>200</v>
      </c>
    </row>
    <row r="65" spans="1:24">
      <c r="A65" s="15" t="s">
        <v>188</v>
      </c>
      <c r="B65" s="8">
        <v>0</v>
      </c>
      <c r="C65" s="8">
        <v>0</v>
      </c>
      <c r="D65" s="8"/>
      <c r="E65" s="8"/>
      <c r="F65" s="8"/>
      <c r="G65" s="8"/>
      <c r="H65" s="8"/>
      <c r="I65" s="8"/>
      <c r="J65" s="8"/>
      <c r="K65" s="8"/>
      <c r="L65" s="8"/>
      <c r="M65" s="62" cm="1">
        <f t="array" ref="M65">INDEX(tblPrices[cv_2018], MATCH(tblEnterpriseUnits[[#This Row],[Products]],tblPrices[Products],0), 0)* tblEnterpriseUnits[[#This Row],[cv_2018]]/10^6</f>
        <v>0</v>
      </c>
      <c r="N65" s="62" cm="1">
        <f t="array" ref="N65">INDEX(tblPrices[cv_2019], MATCH(tblEnterpriseUnits[[#This Row],[Products]],tblPrices[Products],0), 0)* tblEnterpriseUnits[[#This Row],[cv_2019]]/10^6</f>
        <v>0</v>
      </c>
      <c r="O65" s="62" cm="1">
        <f t="array" ref="O65">INDEX(tblPrices[cv_2020], MATCH(tblEnterpriseUnits[[#This Row],[Products]],tblPrices[Products],0), 0)* tblEnterpriseUnits[[#This Row],[cv_2020]]/10^6</f>
        <v>0</v>
      </c>
      <c r="P65" s="62" cm="1">
        <f t="array" ref="P65">INDEX(tblPrices[cv_2021], MATCH(tblEnterpriseUnits[[#This Row],[Products]],tblPrices[Products],0), 0)* tblEnterpriseUnits[[#This Row],[cv_2021]]/10^6</f>
        <v>0</v>
      </c>
      <c r="Q65" s="62" cm="1">
        <f t="array" ref="Q65">INDEX(tblPrices[cv_2022], MATCH(tblEnterpriseUnits[[#This Row],[Products]],tblPrices[Products],0), 0)* tblEnterpriseUnits[[#This Row],[cv_2022]]/10^6</f>
        <v>0</v>
      </c>
      <c r="R65" s="62" cm="1">
        <f t="array" ref="R65">INDEX(tblPrices[cv_2023], MATCH(tblEnterpriseUnits[[#This Row],[Products]],tblPrices[Products],0), 0)* tblEnterpriseUnits[[#This Row],[cv_2023]]/10^6</f>
        <v>0</v>
      </c>
      <c r="S65" s="62" cm="1">
        <f t="array" ref="S65">INDEX(tblPrices[cv_2024], MATCH(tblEnterpriseUnits[[#This Row],[Products]],tblPrices[Products],0), 0)* tblEnterpriseUnits[[#This Row],[cv_2024]]/10^6</f>
        <v>0</v>
      </c>
      <c r="T65" s="62" cm="1">
        <f t="array" ref="T65">INDEX(tblPrices[cv_2025], MATCH(tblEnterpriseUnits[[#This Row],[Products]],tblPrices[Products],0), 0)* tblEnterpriseUnits[[#This Row],[cv_2025]]/10^6</f>
        <v>0</v>
      </c>
      <c r="U65" s="62" cm="1">
        <f t="array" ref="U65">INDEX(tblPrices[cv_2026], MATCH(tblEnterpriseUnits[[#This Row],[Products]],tblPrices[Products],0), 0)* tblEnterpriseUnits[[#This Row],[cv_2026]]/10^6</f>
        <v>0</v>
      </c>
      <c r="V65" s="62" cm="1">
        <f t="array" ref="V65">INDEX(tblPrices[cv_2027], MATCH(tblEnterpriseUnits[[#This Row],[Products]],tblPrices[Products],0), 0)* tblEnterpriseUnits[[#This Row],[cv_2027]]/10^6</f>
        <v>0</v>
      </c>
      <c r="W65" s="62" cm="1">
        <f t="array" ref="W65">INDEX(tblPrices[cv_2028], MATCH(tblEnterpriseUnits[[#This Row],[Products]],tblPrices[Products],0), 0)* tblEnterpriseUnits[[#This Row],[cv_2028]]/10^6</f>
        <v>0</v>
      </c>
      <c r="X65" s="1">
        <f>VLOOKUP(A65,Products!$A$29:$F$110,6,FALSE)</f>
        <v>200</v>
      </c>
    </row>
    <row r="66" spans="1:24">
      <c r="A66" s="15" t="s">
        <v>189</v>
      </c>
      <c r="B66" s="8">
        <v>0</v>
      </c>
      <c r="C66" s="8">
        <v>0</v>
      </c>
      <c r="D66" s="8"/>
      <c r="E66" s="8"/>
      <c r="F66" s="8"/>
      <c r="G66" s="8"/>
      <c r="H66" s="8"/>
      <c r="I66" s="8"/>
      <c r="J66" s="8"/>
      <c r="K66" s="8"/>
      <c r="L66" s="8"/>
      <c r="M66" s="62" cm="1">
        <f t="array" ref="M66">INDEX(tblPrices[cv_2018], MATCH(tblEnterpriseUnits[[#This Row],[Products]],tblPrices[Products],0), 0)* tblEnterpriseUnits[[#This Row],[cv_2018]]/10^6</f>
        <v>0</v>
      </c>
      <c r="N66" s="62" cm="1">
        <f t="array" ref="N66">INDEX(tblPrices[cv_2019], MATCH(tblEnterpriseUnits[[#This Row],[Products]],tblPrices[Products],0), 0)* tblEnterpriseUnits[[#This Row],[cv_2019]]/10^6</f>
        <v>0</v>
      </c>
      <c r="O66" s="62" cm="1">
        <f t="array" ref="O66">INDEX(tblPrices[cv_2020], MATCH(tblEnterpriseUnits[[#This Row],[Products]],tblPrices[Products],0), 0)* tblEnterpriseUnits[[#This Row],[cv_2020]]/10^6</f>
        <v>0</v>
      </c>
      <c r="P66" s="62" cm="1">
        <f t="array" ref="P66">INDEX(tblPrices[cv_2021], MATCH(tblEnterpriseUnits[[#This Row],[Products]],tblPrices[Products],0), 0)* tblEnterpriseUnits[[#This Row],[cv_2021]]/10^6</f>
        <v>0</v>
      </c>
      <c r="Q66" s="62" cm="1">
        <f t="array" ref="Q66">INDEX(tblPrices[cv_2022], MATCH(tblEnterpriseUnits[[#This Row],[Products]],tblPrices[Products],0), 0)* tblEnterpriseUnits[[#This Row],[cv_2022]]/10^6</f>
        <v>0</v>
      </c>
      <c r="R66" s="62" cm="1">
        <f t="array" ref="R66">INDEX(tblPrices[cv_2023], MATCH(tblEnterpriseUnits[[#This Row],[Products]],tblPrices[Products],0), 0)* tblEnterpriseUnits[[#This Row],[cv_2023]]/10^6</f>
        <v>0</v>
      </c>
      <c r="S66" s="62" cm="1">
        <f t="array" ref="S66">INDEX(tblPrices[cv_2024], MATCH(tblEnterpriseUnits[[#This Row],[Products]],tblPrices[Products],0), 0)* tblEnterpriseUnits[[#This Row],[cv_2024]]/10^6</f>
        <v>0</v>
      </c>
      <c r="T66" s="62" cm="1">
        <f t="array" ref="T66">INDEX(tblPrices[cv_2025], MATCH(tblEnterpriseUnits[[#This Row],[Products]],tblPrices[Products],0), 0)* tblEnterpriseUnits[[#This Row],[cv_2025]]/10^6</f>
        <v>0</v>
      </c>
      <c r="U66" s="62" cm="1">
        <f t="array" ref="U66">INDEX(tblPrices[cv_2026], MATCH(tblEnterpriseUnits[[#This Row],[Products]],tblPrices[Products],0), 0)* tblEnterpriseUnits[[#This Row],[cv_2026]]/10^6</f>
        <v>0</v>
      </c>
      <c r="V66" s="62" cm="1">
        <f t="array" ref="V66">INDEX(tblPrices[cv_2027], MATCH(tblEnterpriseUnits[[#This Row],[Products]],tblPrices[Products],0), 0)* tblEnterpriseUnits[[#This Row],[cv_2027]]/10^6</f>
        <v>0</v>
      </c>
      <c r="W66" s="62" cm="1">
        <f t="array" ref="W66">INDEX(tblPrices[cv_2028], MATCH(tblEnterpriseUnits[[#This Row],[Products]],tblPrices[Products],0), 0)* tblEnterpriseUnits[[#This Row],[cv_2028]]/10^6</f>
        <v>0</v>
      </c>
      <c r="X66" s="1">
        <f>VLOOKUP(A66,Products!$A$29:$F$110,6,FALSE)</f>
        <v>200</v>
      </c>
    </row>
    <row r="67" spans="1:24">
      <c r="A67" s="15" t="s">
        <v>9</v>
      </c>
      <c r="B67" s="8">
        <v>0</v>
      </c>
      <c r="C67" s="8">
        <v>0</v>
      </c>
      <c r="D67" s="8"/>
      <c r="E67" s="8"/>
      <c r="F67" s="8"/>
      <c r="G67" s="8"/>
      <c r="H67" s="8"/>
      <c r="I67" s="8"/>
      <c r="J67" s="8"/>
      <c r="K67" s="8"/>
      <c r="L67" s="8"/>
      <c r="M67" s="62" cm="1">
        <f t="array" ref="M67">INDEX(tblPrices[cv_2018], MATCH(tblEnterpriseUnits[[#This Row],[Products]],tblPrices[Products],0), 0)* tblEnterpriseUnits[[#This Row],[cv_2018]]/10^6</f>
        <v>0</v>
      </c>
      <c r="N67" s="62" cm="1">
        <f t="array" ref="N67">INDEX(tblPrices[cv_2019], MATCH(tblEnterpriseUnits[[#This Row],[Products]],tblPrices[Products],0), 0)* tblEnterpriseUnits[[#This Row],[cv_2019]]/10^6</f>
        <v>0</v>
      </c>
      <c r="O67" s="62" cm="1">
        <f t="array" ref="O67">INDEX(tblPrices[cv_2020], MATCH(tblEnterpriseUnits[[#This Row],[Products]],tblPrices[Products],0), 0)* tblEnterpriseUnits[[#This Row],[cv_2020]]/10^6</f>
        <v>0</v>
      </c>
      <c r="P67" s="62" cm="1">
        <f t="array" ref="P67">INDEX(tblPrices[cv_2021], MATCH(tblEnterpriseUnits[[#This Row],[Products]],tblPrices[Products],0), 0)* tblEnterpriseUnits[[#This Row],[cv_2021]]/10^6</f>
        <v>0</v>
      </c>
      <c r="Q67" s="62" cm="1">
        <f t="array" ref="Q67">INDEX(tblPrices[cv_2022], MATCH(tblEnterpriseUnits[[#This Row],[Products]],tblPrices[Products],0), 0)* tblEnterpriseUnits[[#This Row],[cv_2022]]/10^6</f>
        <v>0</v>
      </c>
      <c r="R67" s="62" cm="1">
        <f t="array" ref="R67">INDEX(tblPrices[cv_2023], MATCH(tblEnterpriseUnits[[#This Row],[Products]],tblPrices[Products],0), 0)* tblEnterpriseUnits[[#This Row],[cv_2023]]/10^6</f>
        <v>0</v>
      </c>
      <c r="S67" s="62" cm="1">
        <f t="array" ref="S67">INDEX(tblPrices[cv_2024], MATCH(tblEnterpriseUnits[[#This Row],[Products]],tblPrices[Products],0), 0)* tblEnterpriseUnits[[#This Row],[cv_2024]]/10^6</f>
        <v>0</v>
      </c>
      <c r="T67" s="62" cm="1">
        <f t="array" ref="T67">INDEX(tblPrices[cv_2025], MATCH(tblEnterpriseUnits[[#This Row],[Products]],tblPrices[Products],0), 0)* tblEnterpriseUnits[[#This Row],[cv_2025]]/10^6</f>
        <v>0</v>
      </c>
      <c r="U67" s="62" cm="1">
        <f t="array" ref="U67">INDEX(tblPrices[cv_2026], MATCH(tblEnterpriseUnits[[#This Row],[Products]],tblPrices[Products],0), 0)* tblEnterpriseUnits[[#This Row],[cv_2026]]/10^6</f>
        <v>0</v>
      </c>
      <c r="V67" s="62" cm="1">
        <f t="array" ref="V67">INDEX(tblPrices[cv_2027], MATCH(tblEnterpriseUnits[[#This Row],[Products]],tblPrices[Products],0), 0)* tblEnterpriseUnits[[#This Row],[cv_2027]]/10^6</f>
        <v>0</v>
      </c>
      <c r="W67" s="62" cm="1">
        <f t="array" ref="W67">INDEX(tblPrices[cv_2028], MATCH(tblEnterpriseUnits[[#This Row],[Products]],tblPrices[Products],0), 0)* tblEnterpriseUnits[[#This Row],[cv_2028]]/10^6</f>
        <v>0</v>
      </c>
      <c r="X67" s="1">
        <f>VLOOKUP(A67,Products!$A$29:$F$110,6,FALSE)</f>
        <v>400</v>
      </c>
    </row>
    <row r="68" spans="1:24">
      <c r="A68" s="15" t="s">
        <v>339</v>
      </c>
      <c r="B68" s="8">
        <v>0</v>
      </c>
      <c r="C68" s="8">
        <v>0</v>
      </c>
      <c r="D68" s="8"/>
      <c r="E68" s="8"/>
      <c r="F68" s="8"/>
      <c r="G68" s="8"/>
      <c r="H68" s="8"/>
      <c r="I68" s="8"/>
      <c r="J68" s="8"/>
      <c r="K68" s="8"/>
      <c r="L68" s="8"/>
      <c r="M68" s="62" cm="1">
        <f t="array" ref="M68">INDEX(tblPrices[cv_2018], MATCH(tblEnterpriseUnits[[#This Row],[Products]],tblPrices[Products],0), 0)* tblEnterpriseUnits[[#This Row],[cv_2018]]/10^6</f>
        <v>0</v>
      </c>
      <c r="N68" s="62" cm="1">
        <f t="array" ref="N68">INDEX(tblPrices[cv_2019], MATCH(tblEnterpriseUnits[[#This Row],[Products]],tblPrices[Products],0), 0)* tblEnterpriseUnits[[#This Row],[cv_2019]]/10^6</f>
        <v>0</v>
      </c>
      <c r="O68" s="62" cm="1">
        <f t="array" ref="O68">INDEX(tblPrices[cv_2020], MATCH(tblEnterpriseUnits[[#This Row],[Products]],tblPrices[Products],0), 0)* tblEnterpriseUnits[[#This Row],[cv_2020]]/10^6</f>
        <v>0</v>
      </c>
      <c r="P68" s="62" cm="1">
        <f t="array" ref="P68">INDEX(tblPrices[cv_2021], MATCH(tblEnterpriseUnits[[#This Row],[Products]],tblPrices[Products],0), 0)* tblEnterpriseUnits[[#This Row],[cv_2021]]/10^6</f>
        <v>0</v>
      </c>
      <c r="Q68" s="62" cm="1">
        <f t="array" ref="Q68">INDEX(tblPrices[cv_2022], MATCH(tblEnterpriseUnits[[#This Row],[Products]],tblPrices[Products],0), 0)* tblEnterpriseUnits[[#This Row],[cv_2022]]/10^6</f>
        <v>0</v>
      </c>
      <c r="R68" s="62" cm="1">
        <f t="array" ref="R68">INDEX(tblPrices[cv_2023], MATCH(tblEnterpriseUnits[[#This Row],[Products]],tblPrices[Products],0), 0)* tblEnterpriseUnits[[#This Row],[cv_2023]]/10^6</f>
        <v>0</v>
      </c>
      <c r="S68" s="62" cm="1">
        <f t="array" ref="S68">INDEX(tblPrices[cv_2024], MATCH(tblEnterpriseUnits[[#This Row],[Products]],tblPrices[Products],0), 0)* tblEnterpriseUnits[[#This Row],[cv_2024]]/10^6</f>
        <v>0</v>
      </c>
      <c r="T68" s="62" cm="1">
        <f t="array" ref="T68">INDEX(tblPrices[cv_2025], MATCH(tblEnterpriseUnits[[#This Row],[Products]],tblPrices[Products],0), 0)* tblEnterpriseUnits[[#This Row],[cv_2025]]/10^6</f>
        <v>0</v>
      </c>
      <c r="U68" s="62" cm="1">
        <f t="array" ref="U68">INDEX(tblPrices[cv_2026], MATCH(tblEnterpriseUnits[[#This Row],[Products]],tblPrices[Products],0), 0)* tblEnterpriseUnits[[#This Row],[cv_2026]]/10^6</f>
        <v>0</v>
      </c>
      <c r="V68" s="62" cm="1">
        <f t="array" ref="V68">INDEX(tblPrices[cv_2027], MATCH(tblEnterpriseUnits[[#This Row],[Products]],tblPrices[Products],0), 0)* tblEnterpriseUnits[[#This Row],[cv_2027]]/10^6</f>
        <v>0</v>
      </c>
      <c r="W68" s="62" cm="1">
        <f t="array" ref="W68">INDEX(tblPrices[cv_2028], MATCH(tblEnterpriseUnits[[#This Row],[Products]],tblPrices[Products],0), 0)* tblEnterpriseUnits[[#This Row],[cv_2028]]/10^6</f>
        <v>0</v>
      </c>
      <c r="X68" s="1">
        <f>VLOOKUP(A68,Products!$A$29:$F$110,6,FALSE)</f>
        <v>400</v>
      </c>
    </row>
    <row r="69" spans="1:24">
      <c r="A69" s="15" t="s">
        <v>11</v>
      </c>
      <c r="B69" s="8">
        <v>0</v>
      </c>
      <c r="C69" s="8">
        <v>0</v>
      </c>
      <c r="D69" s="8"/>
      <c r="E69" s="8"/>
      <c r="F69" s="8"/>
      <c r="G69" s="8"/>
      <c r="H69" s="8"/>
      <c r="I69" s="8"/>
      <c r="J69" s="8"/>
      <c r="K69" s="8"/>
      <c r="L69" s="8"/>
      <c r="M69" s="62" cm="1">
        <f t="array" ref="M69">INDEX(tblPrices[cv_2018], MATCH(tblEnterpriseUnits[[#This Row],[Products]],tblPrices[Products],0), 0)* tblEnterpriseUnits[[#This Row],[cv_2018]]/10^6</f>
        <v>0</v>
      </c>
      <c r="N69" s="62" cm="1">
        <f t="array" ref="N69">INDEX(tblPrices[cv_2019], MATCH(tblEnterpriseUnits[[#This Row],[Products]],tblPrices[Products],0), 0)* tblEnterpriseUnits[[#This Row],[cv_2019]]/10^6</f>
        <v>0</v>
      </c>
      <c r="O69" s="62" cm="1">
        <f t="array" ref="O69">INDEX(tblPrices[cv_2020], MATCH(tblEnterpriseUnits[[#This Row],[Products]],tblPrices[Products],0), 0)* tblEnterpriseUnits[[#This Row],[cv_2020]]/10^6</f>
        <v>0</v>
      </c>
      <c r="P69" s="62" cm="1">
        <f t="array" ref="P69">INDEX(tblPrices[cv_2021], MATCH(tblEnterpriseUnits[[#This Row],[Products]],tblPrices[Products],0), 0)* tblEnterpriseUnits[[#This Row],[cv_2021]]/10^6</f>
        <v>0</v>
      </c>
      <c r="Q69" s="62" cm="1">
        <f t="array" ref="Q69">INDEX(tblPrices[cv_2022], MATCH(tblEnterpriseUnits[[#This Row],[Products]],tblPrices[Products],0), 0)* tblEnterpriseUnits[[#This Row],[cv_2022]]/10^6</f>
        <v>0</v>
      </c>
      <c r="R69" s="62" cm="1">
        <f t="array" ref="R69">INDEX(tblPrices[cv_2023], MATCH(tblEnterpriseUnits[[#This Row],[Products]],tblPrices[Products],0), 0)* tblEnterpriseUnits[[#This Row],[cv_2023]]/10^6</f>
        <v>0</v>
      </c>
      <c r="S69" s="62" cm="1">
        <f t="array" ref="S69">INDEX(tblPrices[cv_2024], MATCH(tblEnterpriseUnits[[#This Row],[Products]],tblPrices[Products],0), 0)* tblEnterpriseUnits[[#This Row],[cv_2024]]/10^6</f>
        <v>0</v>
      </c>
      <c r="T69" s="62" cm="1">
        <f t="array" ref="T69">INDEX(tblPrices[cv_2025], MATCH(tblEnterpriseUnits[[#This Row],[Products]],tblPrices[Products],0), 0)* tblEnterpriseUnits[[#This Row],[cv_2025]]/10^6</f>
        <v>0</v>
      </c>
      <c r="U69" s="62" cm="1">
        <f t="array" ref="U69">INDEX(tblPrices[cv_2026], MATCH(tblEnterpriseUnits[[#This Row],[Products]],tblPrices[Products],0), 0)* tblEnterpriseUnits[[#This Row],[cv_2026]]/10^6</f>
        <v>0</v>
      </c>
      <c r="V69" s="62" cm="1">
        <f t="array" ref="V69">INDEX(tblPrices[cv_2027], MATCH(tblEnterpriseUnits[[#This Row],[Products]],tblPrices[Products],0), 0)* tblEnterpriseUnits[[#This Row],[cv_2027]]/10^6</f>
        <v>0</v>
      </c>
      <c r="W69" s="62" cm="1">
        <f t="array" ref="W69">INDEX(tblPrices[cv_2028], MATCH(tblEnterpriseUnits[[#This Row],[Products]],tblPrices[Products],0), 0)* tblEnterpriseUnits[[#This Row],[cv_2028]]/10^6</f>
        <v>0</v>
      </c>
      <c r="X69" s="1">
        <f>VLOOKUP(A69,Products!$A$29:$F$110,6,FALSE)</f>
        <v>400</v>
      </c>
    </row>
    <row r="70" spans="1:24">
      <c r="A70" s="15" t="s">
        <v>10</v>
      </c>
      <c r="B70" s="8">
        <v>0</v>
      </c>
      <c r="C70" s="8">
        <v>0</v>
      </c>
      <c r="D70" s="8"/>
      <c r="E70" s="8"/>
      <c r="F70" s="8"/>
      <c r="G70" s="8"/>
      <c r="H70" s="8"/>
      <c r="I70" s="8"/>
      <c r="J70" s="8"/>
      <c r="K70" s="8"/>
      <c r="L70" s="8"/>
      <c r="M70" s="62" cm="1">
        <f t="array" ref="M70">INDEX(tblPrices[cv_2018], MATCH(tblEnterpriseUnits[[#This Row],[Products]],tblPrices[Products],0), 0)* tblEnterpriseUnits[[#This Row],[cv_2018]]/10^6</f>
        <v>0</v>
      </c>
      <c r="N70" s="62" cm="1">
        <f t="array" ref="N70">INDEX(tblPrices[cv_2019], MATCH(tblEnterpriseUnits[[#This Row],[Products]],tblPrices[Products],0), 0)* tblEnterpriseUnits[[#This Row],[cv_2019]]/10^6</f>
        <v>0</v>
      </c>
      <c r="O70" s="62" cm="1">
        <f t="array" ref="O70">INDEX(tblPrices[cv_2020], MATCH(tblEnterpriseUnits[[#This Row],[Products]],tblPrices[Products],0), 0)* tblEnterpriseUnits[[#This Row],[cv_2020]]/10^6</f>
        <v>0</v>
      </c>
      <c r="P70" s="62" cm="1">
        <f t="array" ref="P70">INDEX(tblPrices[cv_2021], MATCH(tblEnterpriseUnits[[#This Row],[Products]],tblPrices[Products],0), 0)* tblEnterpriseUnits[[#This Row],[cv_2021]]/10^6</f>
        <v>0</v>
      </c>
      <c r="Q70" s="62" cm="1">
        <f t="array" ref="Q70">INDEX(tblPrices[cv_2022], MATCH(tblEnterpriseUnits[[#This Row],[Products]],tblPrices[Products],0), 0)* tblEnterpriseUnits[[#This Row],[cv_2022]]/10^6</f>
        <v>0</v>
      </c>
      <c r="R70" s="62" cm="1">
        <f t="array" ref="R70">INDEX(tblPrices[cv_2023], MATCH(tblEnterpriseUnits[[#This Row],[Products]],tblPrices[Products],0), 0)* tblEnterpriseUnits[[#This Row],[cv_2023]]/10^6</f>
        <v>0</v>
      </c>
      <c r="S70" s="62" cm="1">
        <f t="array" ref="S70">INDEX(tblPrices[cv_2024], MATCH(tblEnterpriseUnits[[#This Row],[Products]],tblPrices[Products],0), 0)* tblEnterpriseUnits[[#This Row],[cv_2024]]/10^6</f>
        <v>0</v>
      </c>
      <c r="T70" s="62" cm="1">
        <f t="array" ref="T70">INDEX(tblPrices[cv_2025], MATCH(tblEnterpriseUnits[[#This Row],[Products]],tblPrices[Products],0), 0)* tblEnterpriseUnits[[#This Row],[cv_2025]]/10^6</f>
        <v>0</v>
      </c>
      <c r="U70" s="62" cm="1">
        <f t="array" ref="U70">INDEX(tblPrices[cv_2026], MATCH(tblEnterpriseUnits[[#This Row],[Products]],tblPrices[Products],0), 0)* tblEnterpriseUnits[[#This Row],[cv_2026]]/10^6</f>
        <v>0</v>
      </c>
      <c r="V70" s="62" cm="1">
        <f t="array" ref="V70">INDEX(tblPrices[cv_2027], MATCH(tblEnterpriseUnits[[#This Row],[Products]],tblPrices[Products],0), 0)* tblEnterpriseUnits[[#This Row],[cv_2027]]/10^6</f>
        <v>0</v>
      </c>
      <c r="W70" s="62" cm="1">
        <f t="array" ref="W70">INDEX(tblPrices[cv_2028], MATCH(tblEnterpriseUnits[[#This Row],[Products]],tblPrices[Products],0), 0)* tblEnterpriseUnits[[#This Row],[cv_2028]]/10^6</f>
        <v>0</v>
      </c>
      <c r="X70" s="1">
        <f>VLOOKUP(A70,Products!$A$29:$F$110,6,FALSE)</f>
        <v>400</v>
      </c>
    </row>
    <row r="71" spans="1:24">
      <c r="A71" s="15" t="s">
        <v>42</v>
      </c>
      <c r="B71" s="8">
        <v>0</v>
      </c>
      <c r="C71" s="8">
        <v>0</v>
      </c>
      <c r="D71" s="8"/>
      <c r="E71" s="8"/>
      <c r="F71" s="8"/>
      <c r="G71" s="8"/>
      <c r="H71" s="8"/>
      <c r="I71" s="8"/>
      <c r="J71" s="8"/>
      <c r="K71" s="8"/>
      <c r="L71" s="8"/>
      <c r="M71" s="62" cm="1">
        <f t="array" ref="M71">INDEX(tblPrices[cv_2018], MATCH(tblEnterpriseUnits[[#This Row],[Products]],tblPrices[Products],0), 0)* tblEnterpriseUnits[[#This Row],[cv_2018]]/10^6</f>
        <v>0</v>
      </c>
      <c r="N71" s="62" cm="1">
        <f t="array" ref="N71">INDEX(tblPrices[cv_2019], MATCH(tblEnterpriseUnits[[#This Row],[Products]],tblPrices[Products],0), 0)* tblEnterpriseUnits[[#This Row],[cv_2019]]/10^6</f>
        <v>0</v>
      </c>
      <c r="O71" s="62" cm="1">
        <f t="array" ref="O71">INDEX(tblPrices[cv_2020], MATCH(tblEnterpriseUnits[[#This Row],[Products]],tblPrices[Products],0), 0)* tblEnterpriseUnits[[#This Row],[cv_2020]]/10^6</f>
        <v>0</v>
      </c>
      <c r="P71" s="62" cm="1">
        <f t="array" ref="P71">INDEX(tblPrices[cv_2021], MATCH(tblEnterpriseUnits[[#This Row],[Products]],tblPrices[Products],0), 0)* tblEnterpriseUnits[[#This Row],[cv_2021]]/10^6</f>
        <v>0</v>
      </c>
      <c r="Q71" s="62" cm="1">
        <f t="array" ref="Q71">INDEX(tblPrices[cv_2022], MATCH(tblEnterpriseUnits[[#This Row],[Products]],tblPrices[Products],0), 0)* tblEnterpriseUnits[[#This Row],[cv_2022]]/10^6</f>
        <v>0</v>
      </c>
      <c r="R71" s="62" cm="1">
        <f t="array" ref="R71">INDEX(tblPrices[cv_2023], MATCH(tblEnterpriseUnits[[#This Row],[Products]],tblPrices[Products],0), 0)* tblEnterpriseUnits[[#This Row],[cv_2023]]/10^6</f>
        <v>0</v>
      </c>
      <c r="S71" s="62" cm="1">
        <f t="array" ref="S71">INDEX(tblPrices[cv_2024], MATCH(tblEnterpriseUnits[[#This Row],[Products]],tblPrices[Products],0), 0)* tblEnterpriseUnits[[#This Row],[cv_2024]]/10^6</f>
        <v>0</v>
      </c>
      <c r="T71" s="62" cm="1">
        <f t="array" ref="T71">INDEX(tblPrices[cv_2025], MATCH(tblEnterpriseUnits[[#This Row],[Products]],tblPrices[Products],0), 0)* tblEnterpriseUnits[[#This Row],[cv_2025]]/10^6</f>
        <v>0</v>
      </c>
      <c r="U71" s="62" cm="1">
        <f t="array" ref="U71">INDEX(tblPrices[cv_2026], MATCH(tblEnterpriseUnits[[#This Row],[Products]],tblPrices[Products],0), 0)* tblEnterpriseUnits[[#This Row],[cv_2026]]/10^6</f>
        <v>0</v>
      </c>
      <c r="V71" s="62" cm="1">
        <f t="array" ref="V71">INDEX(tblPrices[cv_2027], MATCH(tblEnterpriseUnits[[#This Row],[Products]],tblPrices[Products],0), 0)* tblEnterpriseUnits[[#This Row],[cv_2027]]/10^6</f>
        <v>0</v>
      </c>
      <c r="W71" s="62" cm="1">
        <f t="array" ref="W71">INDEX(tblPrices[cv_2028], MATCH(tblEnterpriseUnits[[#This Row],[Products]],tblPrices[Products],0), 0)* tblEnterpriseUnits[[#This Row],[cv_2028]]/10^6</f>
        <v>0</v>
      </c>
      <c r="X71" s="1">
        <f>VLOOKUP(A71,Products!$A$29:$F$110,6,FALSE)</f>
        <v>400</v>
      </c>
    </row>
    <row r="72" spans="1:24">
      <c r="A72" s="15" t="s">
        <v>12</v>
      </c>
      <c r="B72" s="8">
        <v>0</v>
      </c>
      <c r="C72" s="8">
        <v>0</v>
      </c>
      <c r="D72" s="8"/>
      <c r="E72" s="8"/>
      <c r="F72" s="8"/>
      <c r="G72" s="8"/>
      <c r="H72" s="8"/>
      <c r="I72" s="8"/>
      <c r="J72" s="8"/>
      <c r="K72" s="8"/>
      <c r="L72" s="8"/>
      <c r="M72" s="62" cm="1">
        <f t="array" ref="M72">INDEX(tblPrices[cv_2018], MATCH(tblEnterpriseUnits[[#This Row],[Products]],tblPrices[Products],0), 0)* tblEnterpriseUnits[[#This Row],[cv_2018]]/10^6</f>
        <v>0</v>
      </c>
      <c r="N72" s="62" cm="1">
        <f t="array" ref="N72">INDEX(tblPrices[cv_2019], MATCH(tblEnterpriseUnits[[#This Row],[Products]],tblPrices[Products],0), 0)* tblEnterpriseUnits[[#This Row],[cv_2019]]/10^6</f>
        <v>0</v>
      </c>
      <c r="O72" s="62" cm="1">
        <f t="array" ref="O72">INDEX(tblPrices[cv_2020], MATCH(tblEnterpriseUnits[[#This Row],[Products]],tblPrices[Products],0), 0)* tblEnterpriseUnits[[#This Row],[cv_2020]]/10^6</f>
        <v>0</v>
      </c>
      <c r="P72" s="62" cm="1">
        <f t="array" ref="P72">INDEX(tblPrices[cv_2021], MATCH(tblEnterpriseUnits[[#This Row],[Products]],tblPrices[Products],0), 0)* tblEnterpriseUnits[[#This Row],[cv_2021]]/10^6</f>
        <v>0</v>
      </c>
      <c r="Q72" s="62" cm="1">
        <f t="array" ref="Q72">INDEX(tblPrices[cv_2022], MATCH(tblEnterpriseUnits[[#This Row],[Products]],tblPrices[Products],0), 0)* tblEnterpriseUnits[[#This Row],[cv_2022]]/10^6</f>
        <v>0</v>
      </c>
      <c r="R72" s="62" cm="1">
        <f t="array" ref="R72">INDEX(tblPrices[cv_2023], MATCH(tblEnterpriseUnits[[#This Row],[Products]],tblPrices[Products],0), 0)* tblEnterpriseUnits[[#This Row],[cv_2023]]/10^6</f>
        <v>0</v>
      </c>
      <c r="S72" s="62" cm="1">
        <f t="array" ref="S72">INDEX(tblPrices[cv_2024], MATCH(tblEnterpriseUnits[[#This Row],[Products]],tblPrices[Products],0), 0)* tblEnterpriseUnits[[#This Row],[cv_2024]]/10^6</f>
        <v>0</v>
      </c>
      <c r="T72" s="62" cm="1">
        <f t="array" ref="T72">INDEX(tblPrices[cv_2025], MATCH(tblEnterpriseUnits[[#This Row],[Products]],tblPrices[Products],0), 0)* tblEnterpriseUnits[[#This Row],[cv_2025]]/10^6</f>
        <v>0</v>
      </c>
      <c r="U72" s="62" cm="1">
        <f t="array" ref="U72">INDEX(tblPrices[cv_2026], MATCH(tblEnterpriseUnits[[#This Row],[Products]],tblPrices[Products],0), 0)* tblEnterpriseUnits[[#This Row],[cv_2026]]/10^6</f>
        <v>0</v>
      </c>
      <c r="V72" s="62" cm="1">
        <f t="array" ref="V72">INDEX(tblPrices[cv_2027], MATCH(tblEnterpriseUnits[[#This Row],[Products]],tblPrices[Products],0), 0)* tblEnterpriseUnits[[#This Row],[cv_2027]]/10^6</f>
        <v>0</v>
      </c>
      <c r="W72" s="62" cm="1">
        <f t="array" ref="W72">INDEX(tblPrices[cv_2028], MATCH(tblEnterpriseUnits[[#This Row],[Products]],tblPrices[Products],0), 0)* tblEnterpriseUnits[[#This Row],[cv_2028]]/10^6</f>
        <v>0</v>
      </c>
      <c r="X72" s="1">
        <f>VLOOKUP(A72,Products!$A$29:$F$110,6,FALSE)</f>
        <v>400</v>
      </c>
    </row>
    <row r="73" spans="1:24">
      <c r="A73" s="15" t="s">
        <v>190</v>
      </c>
      <c r="B73" s="8">
        <v>0</v>
      </c>
      <c r="C73" s="8">
        <v>0</v>
      </c>
      <c r="D73" s="8"/>
      <c r="E73" s="8"/>
      <c r="F73" s="8"/>
      <c r="G73" s="8"/>
      <c r="H73" s="8"/>
      <c r="I73" s="8"/>
      <c r="J73" s="8"/>
      <c r="K73" s="8"/>
      <c r="L73" s="8"/>
      <c r="M73" s="62" cm="1">
        <f t="array" ref="M73">INDEX(tblPrices[cv_2018], MATCH(tblEnterpriseUnits[[#This Row],[Products]],tblPrices[Products],0), 0)* tblEnterpriseUnits[[#This Row],[cv_2018]]/10^6</f>
        <v>0</v>
      </c>
      <c r="N73" s="62" cm="1">
        <f t="array" ref="N73">INDEX(tblPrices[cv_2019], MATCH(tblEnterpriseUnits[[#This Row],[Products]],tblPrices[Products],0), 0)* tblEnterpriseUnits[[#This Row],[cv_2019]]/10^6</f>
        <v>0</v>
      </c>
      <c r="O73" s="62" cm="1">
        <f t="array" ref="O73">INDEX(tblPrices[cv_2020], MATCH(tblEnterpriseUnits[[#This Row],[Products]],tblPrices[Products],0), 0)* tblEnterpriseUnits[[#This Row],[cv_2020]]/10^6</f>
        <v>0</v>
      </c>
      <c r="P73" s="62" cm="1">
        <f t="array" ref="P73">INDEX(tblPrices[cv_2021], MATCH(tblEnterpriseUnits[[#This Row],[Products]],tblPrices[Products],0), 0)* tblEnterpriseUnits[[#This Row],[cv_2021]]/10^6</f>
        <v>0</v>
      </c>
      <c r="Q73" s="62" cm="1">
        <f t="array" ref="Q73">INDEX(tblPrices[cv_2022], MATCH(tblEnterpriseUnits[[#This Row],[Products]],tblPrices[Products],0), 0)* tblEnterpriseUnits[[#This Row],[cv_2022]]/10^6</f>
        <v>0</v>
      </c>
      <c r="R73" s="62" cm="1">
        <f t="array" ref="R73">INDEX(tblPrices[cv_2023], MATCH(tblEnterpriseUnits[[#This Row],[Products]],tblPrices[Products],0), 0)* tblEnterpriseUnits[[#This Row],[cv_2023]]/10^6</f>
        <v>0</v>
      </c>
      <c r="S73" s="62" cm="1">
        <f t="array" ref="S73">INDEX(tblPrices[cv_2024], MATCH(tblEnterpriseUnits[[#This Row],[Products]],tblPrices[Products],0), 0)* tblEnterpriseUnits[[#This Row],[cv_2024]]/10^6</f>
        <v>0</v>
      </c>
      <c r="T73" s="62" cm="1">
        <f t="array" ref="T73">INDEX(tblPrices[cv_2025], MATCH(tblEnterpriseUnits[[#This Row],[Products]],tblPrices[Products],0), 0)* tblEnterpriseUnits[[#This Row],[cv_2025]]/10^6</f>
        <v>0</v>
      </c>
      <c r="U73" s="62" cm="1">
        <f t="array" ref="U73">INDEX(tblPrices[cv_2026], MATCH(tblEnterpriseUnits[[#This Row],[Products]],tblPrices[Products],0), 0)* tblEnterpriseUnits[[#This Row],[cv_2026]]/10^6</f>
        <v>0</v>
      </c>
      <c r="V73" s="62" cm="1">
        <f t="array" ref="V73">INDEX(tblPrices[cv_2027], MATCH(tblEnterpriseUnits[[#This Row],[Products]],tblPrices[Products],0), 0)* tblEnterpriseUnits[[#This Row],[cv_2027]]/10^6</f>
        <v>0</v>
      </c>
      <c r="W73" s="62" cm="1">
        <f t="array" ref="W73">INDEX(tblPrices[cv_2028], MATCH(tblEnterpriseUnits[[#This Row],[Products]],tblPrices[Products],0), 0)* tblEnterpriseUnits[[#This Row],[cv_2028]]/10^6</f>
        <v>0</v>
      </c>
      <c r="X73" s="1">
        <f>VLOOKUP(A73,Products!$A$29:$F$110,6,FALSE)</f>
        <v>400</v>
      </c>
    </row>
    <row r="74" spans="1:24">
      <c r="A74" s="15" t="s">
        <v>48</v>
      </c>
      <c r="B74" s="8">
        <v>0</v>
      </c>
      <c r="C74" s="8">
        <v>0</v>
      </c>
      <c r="D74" s="8"/>
      <c r="E74" s="8"/>
      <c r="F74" s="8"/>
      <c r="G74" s="8"/>
      <c r="H74" s="8"/>
      <c r="I74" s="8"/>
      <c r="J74" s="8"/>
      <c r="K74" s="8"/>
      <c r="L74" s="8"/>
      <c r="M74" s="62" cm="1">
        <f t="array" ref="M74">INDEX(tblPrices[cv_2018], MATCH(tblEnterpriseUnits[[#This Row],[Products]],tblPrices[Products],0), 0)* tblEnterpriseUnits[[#This Row],[cv_2018]]/10^6</f>
        <v>0</v>
      </c>
      <c r="N74" s="62" cm="1">
        <f t="array" ref="N74">INDEX(tblPrices[cv_2019], MATCH(tblEnterpriseUnits[[#This Row],[Products]],tblPrices[Products],0), 0)* tblEnterpriseUnits[[#This Row],[cv_2019]]/10^6</f>
        <v>0</v>
      </c>
      <c r="O74" s="62" cm="1">
        <f t="array" ref="O74">INDEX(tblPrices[cv_2020], MATCH(tblEnterpriseUnits[[#This Row],[Products]],tblPrices[Products],0), 0)* tblEnterpriseUnits[[#This Row],[cv_2020]]/10^6</f>
        <v>0</v>
      </c>
      <c r="P74" s="62" cm="1">
        <f t="array" ref="P74">INDEX(tblPrices[cv_2021], MATCH(tblEnterpriseUnits[[#This Row],[Products]],tblPrices[Products],0), 0)* tblEnterpriseUnits[[#This Row],[cv_2021]]/10^6</f>
        <v>0</v>
      </c>
      <c r="Q74" s="62" cm="1">
        <f t="array" ref="Q74">INDEX(tblPrices[cv_2022], MATCH(tblEnterpriseUnits[[#This Row],[Products]],tblPrices[Products],0), 0)* tblEnterpriseUnits[[#This Row],[cv_2022]]/10^6</f>
        <v>0</v>
      </c>
      <c r="R74" s="62" cm="1">
        <f t="array" ref="R74">INDEX(tblPrices[cv_2023], MATCH(tblEnterpriseUnits[[#This Row],[Products]],tblPrices[Products],0), 0)* tblEnterpriseUnits[[#This Row],[cv_2023]]/10^6</f>
        <v>0</v>
      </c>
      <c r="S74" s="62" cm="1">
        <f t="array" ref="S74">INDEX(tblPrices[cv_2024], MATCH(tblEnterpriseUnits[[#This Row],[Products]],tblPrices[Products],0), 0)* tblEnterpriseUnits[[#This Row],[cv_2024]]/10^6</f>
        <v>0</v>
      </c>
      <c r="T74" s="62" cm="1">
        <f t="array" ref="T74">INDEX(tblPrices[cv_2025], MATCH(tblEnterpriseUnits[[#This Row],[Products]],tblPrices[Products],0), 0)* tblEnterpriseUnits[[#This Row],[cv_2025]]/10^6</f>
        <v>0</v>
      </c>
      <c r="U74" s="62" cm="1">
        <f t="array" ref="U74">INDEX(tblPrices[cv_2026], MATCH(tblEnterpriseUnits[[#This Row],[Products]],tblPrices[Products],0), 0)* tblEnterpriseUnits[[#This Row],[cv_2026]]/10^6</f>
        <v>0</v>
      </c>
      <c r="V74" s="62" cm="1">
        <f t="array" ref="V74">INDEX(tblPrices[cv_2027], MATCH(tblEnterpriseUnits[[#This Row],[Products]],tblPrices[Products],0), 0)* tblEnterpriseUnits[[#This Row],[cv_2027]]/10^6</f>
        <v>0</v>
      </c>
      <c r="W74" s="62" cm="1">
        <f t="array" ref="W74">INDEX(tblPrices[cv_2028], MATCH(tblEnterpriseUnits[[#This Row],[Products]],tblPrices[Products],0), 0)* tblEnterpriseUnits[[#This Row],[cv_2028]]/10^6</f>
        <v>0</v>
      </c>
      <c r="X74" s="1">
        <f>VLOOKUP(A74,Products!$A$29:$F$110,6,FALSE)</f>
        <v>800</v>
      </c>
    </row>
    <row r="75" spans="1:24">
      <c r="A75" s="15" t="s">
        <v>13</v>
      </c>
      <c r="B75" s="8">
        <v>0</v>
      </c>
      <c r="C75" s="8">
        <v>0</v>
      </c>
      <c r="D75" s="8"/>
      <c r="E75" s="8"/>
      <c r="F75" s="8"/>
      <c r="G75" s="8"/>
      <c r="H75" s="8"/>
      <c r="I75" s="8"/>
      <c r="J75" s="8"/>
      <c r="K75" s="8"/>
      <c r="L75" s="8"/>
      <c r="M75" s="62" cm="1">
        <f t="array" ref="M75">INDEX(tblPrices[cv_2018], MATCH(tblEnterpriseUnits[[#This Row],[Products]],tblPrices[Products],0), 0)* tblEnterpriseUnits[[#This Row],[cv_2018]]/10^6</f>
        <v>0</v>
      </c>
      <c r="N75" s="62" cm="1">
        <f t="array" ref="N75">INDEX(tblPrices[cv_2019], MATCH(tblEnterpriseUnits[[#This Row],[Products]],tblPrices[Products],0), 0)* tblEnterpriseUnits[[#This Row],[cv_2019]]/10^6</f>
        <v>0</v>
      </c>
      <c r="O75" s="62" cm="1">
        <f t="array" ref="O75">INDEX(tblPrices[cv_2020], MATCH(tblEnterpriseUnits[[#This Row],[Products]],tblPrices[Products],0), 0)* tblEnterpriseUnits[[#This Row],[cv_2020]]/10^6</f>
        <v>0</v>
      </c>
      <c r="P75" s="62" cm="1">
        <f t="array" ref="P75">INDEX(tblPrices[cv_2021], MATCH(tblEnterpriseUnits[[#This Row],[Products]],tblPrices[Products],0), 0)* tblEnterpriseUnits[[#This Row],[cv_2021]]/10^6</f>
        <v>0</v>
      </c>
      <c r="Q75" s="62" cm="1">
        <f t="array" ref="Q75">INDEX(tblPrices[cv_2022], MATCH(tblEnterpriseUnits[[#This Row],[Products]],tblPrices[Products],0), 0)* tblEnterpriseUnits[[#This Row],[cv_2022]]/10^6</f>
        <v>0</v>
      </c>
      <c r="R75" s="62" cm="1">
        <f t="array" ref="R75">INDEX(tblPrices[cv_2023], MATCH(tblEnterpriseUnits[[#This Row],[Products]],tblPrices[Products],0), 0)* tblEnterpriseUnits[[#This Row],[cv_2023]]/10^6</f>
        <v>0</v>
      </c>
      <c r="S75" s="62" cm="1">
        <f t="array" ref="S75">INDEX(tblPrices[cv_2024], MATCH(tblEnterpriseUnits[[#This Row],[Products]],tblPrices[Products],0), 0)* tblEnterpriseUnits[[#This Row],[cv_2024]]/10^6</f>
        <v>0</v>
      </c>
      <c r="T75" s="62" cm="1">
        <f t="array" ref="T75">INDEX(tblPrices[cv_2025], MATCH(tblEnterpriseUnits[[#This Row],[Products]],tblPrices[Products],0), 0)* tblEnterpriseUnits[[#This Row],[cv_2025]]/10^6</f>
        <v>0</v>
      </c>
      <c r="U75" s="62" cm="1">
        <f t="array" ref="U75">INDEX(tblPrices[cv_2026], MATCH(tblEnterpriseUnits[[#This Row],[Products]],tblPrices[Products],0), 0)* tblEnterpriseUnits[[#This Row],[cv_2026]]/10^6</f>
        <v>0</v>
      </c>
      <c r="V75" s="62" cm="1">
        <f t="array" ref="V75">INDEX(tblPrices[cv_2027], MATCH(tblEnterpriseUnits[[#This Row],[Products]],tblPrices[Products],0), 0)* tblEnterpriseUnits[[#This Row],[cv_2027]]/10^6</f>
        <v>0</v>
      </c>
      <c r="W75" s="62" cm="1">
        <f t="array" ref="W75">INDEX(tblPrices[cv_2028], MATCH(tblEnterpriseUnits[[#This Row],[Products]],tblPrices[Products],0), 0)* tblEnterpriseUnits[[#This Row],[cv_2028]]/10^6</f>
        <v>0</v>
      </c>
      <c r="X75" s="1">
        <f>VLOOKUP(A75,Products!$A$29:$F$110,6,FALSE)</f>
        <v>800</v>
      </c>
    </row>
    <row r="76" spans="1:24">
      <c r="A76" s="15" t="s">
        <v>14</v>
      </c>
      <c r="B76" s="8">
        <v>0</v>
      </c>
      <c r="C76" s="8">
        <v>0</v>
      </c>
      <c r="D76" s="8"/>
      <c r="E76" s="8"/>
      <c r="F76" s="8"/>
      <c r="G76" s="8"/>
      <c r="H76" s="8"/>
      <c r="I76" s="8"/>
      <c r="J76" s="8"/>
      <c r="K76" s="8"/>
      <c r="L76" s="8"/>
      <c r="M76" s="62" cm="1">
        <f t="array" ref="M76">INDEX(tblPrices[cv_2018], MATCH(tblEnterpriseUnits[[#This Row],[Products]],tblPrices[Products],0), 0)* tblEnterpriseUnits[[#This Row],[cv_2018]]/10^6</f>
        <v>0</v>
      </c>
      <c r="N76" s="62" cm="1">
        <f t="array" ref="N76">INDEX(tblPrices[cv_2019], MATCH(tblEnterpriseUnits[[#This Row],[Products]],tblPrices[Products],0), 0)* tblEnterpriseUnits[[#This Row],[cv_2019]]/10^6</f>
        <v>0</v>
      </c>
      <c r="O76" s="62" cm="1">
        <f t="array" ref="O76">INDEX(tblPrices[cv_2020], MATCH(tblEnterpriseUnits[[#This Row],[Products]],tblPrices[Products],0), 0)* tblEnterpriseUnits[[#This Row],[cv_2020]]/10^6</f>
        <v>0</v>
      </c>
      <c r="P76" s="62" cm="1">
        <f t="array" ref="P76">INDEX(tblPrices[cv_2021], MATCH(tblEnterpriseUnits[[#This Row],[Products]],tblPrices[Products],0), 0)* tblEnterpriseUnits[[#This Row],[cv_2021]]/10^6</f>
        <v>0</v>
      </c>
      <c r="Q76" s="62" cm="1">
        <f t="array" ref="Q76">INDEX(tblPrices[cv_2022], MATCH(tblEnterpriseUnits[[#This Row],[Products]],tblPrices[Products],0), 0)* tblEnterpriseUnits[[#This Row],[cv_2022]]/10^6</f>
        <v>0</v>
      </c>
      <c r="R76" s="62" cm="1">
        <f t="array" ref="R76">INDEX(tblPrices[cv_2023], MATCH(tblEnterpriseUnits[[#This Row],[Products]],tblPrices[Products],0), 0)* tblEnterpriseUnits[[#This Row],[cv_2023]]/10^6</f>
        <v>0</v>
      </c>
      <c r="S76" s="62" cm="1">
        <f t="array" ref="S76">INDEX(tblPrices[cv_2024], MATCH(tblEnterpriseUnits[[#This Row],[Products]],tblPrices[Products],0), 0)* tblEnterpriseUnits[[#This Row],[cv_2024]]/10^6</f>
        <v>0</v>
      </c>
      <c r="T76" s="62" cm="1">
        <f t="array" ref="T76">INDEX(tblPrices[cv_2025], MATCH(tblEnterpriseUnits[[#This Row],[Products]],tblPrices[Products],0), 0)* tblEnterpriseUnits[[#This Row],[cv_2025]]/10^6</f>
        <v>0</v>
      </c>
      <c r="U76" s="62" cm="1">
        <f t="array" ref="U76">INDEX(tblPrices[cv_2026], MATCH(tblEnterpriseUnits[[#This Row],[Products]],tblPrices[Products],0), 0)* tblEnterpriseUnits[[#This Row],[cv_2026]]/10^6</f>
        <v>0</v>
      </c>
      <c r="V76" s="62" cm="1">
        <f t="array" ref="V76">INDEX(tblPrices[cv_2027], MATCH(tblEnterpriseUnits[[#This Row],[Products]],tblPrices[Products],0), 0)* tblEnterpriseUnits[[#This Row],[cv_2027]]/10^6</f>
        <v>0</v>
      </c>
      <c r="W76" s="62" cm="1">
        <f t="array" ref="W76">INDEX(tblPrices[cv_2028], MATCH(tblEnterpriseUnits[[#This Row],[Products]],tblPrices[Products],0), 0)* tblEnterpriseUnits[[#This Row],[cv_2028]]/10^6</f>
        <v>0</v>
      </c>
      <c r="X76" s="1">
        <f>VLOOKUP(A76,Products!$A$29:$F$110,6,FALSE)</f>
        <v>800</v>
      </c>
    </row>
    <row r="77" spans="1:24">
      <c r="A77" s="15" t="s">
        <v>15</v>
      </c>
      <c r="B77" s="8">
        <v>0</v>
      </c>
      <c r="C77" s="8">
        <v>0</v>
      </c>
      <c r="D77" s="8"/>
      <c r="E77" s="8"/>
      <c r="F77" s="8"/>
      <c r="G77" s="8"/>
      <c r="H77" s="8"/>
      <c r="I77" s="8"/>
      <c r="J77" s="8"/>
      <c r="K77" s="8"/>
      <c r="L77" s="8"/>
      <c r="M77" s="62" cm="1">
        <f t="array" ref="M77">INDEX(tblPrices[cv_2018], MATCH(tblEnterpriseUnits[[#This Row],[Products]],tblPrices[Products],0), 0)* tblEnterpriseUnits[[#This Row],[cv_2018]]/10^6</f>
        <v>0</v>
      </c>
      <c r="N77" s="62" cm="1">
        <f t="array" ref="N77">INDEX(tblPrices[cv_2019], MATCH(tblEnterpriseUnits[[#This Row],[Products]],tblPrices[Products],0), 0)* tblEnterpriseUnits[[#This Row],[cv_2019]]/10^6</f>
        <v>0</v>
      </c>
      <c r="O77" s="62" cm="1">
        <f t="array" ref="O77">INDEX(tblPrices[cv_2020], MATCH(tblEnterpriseUnits[[#This Row],[Products]],tblPrices[Products],0), 0)* tblEnterpriseUnits[[#This Row],[cv_2020]]/10^6</f>
        <v>0</v>
      </c>
      <c r="P77" s="62" cm="1">
        <f t="array" ref="P77">INDEX(tblPrices[cv_2021], MATCH(tblEnterpriseUnits[[#This Row],[Products]],tblPrices[Products],0), 0)* tblEnterpriseUnits[[#This Row],[cv_2021]]/10^6</f>
        <v>0</v>
      </c>
      <c r="Q77" s="62" cm="1">
        <f t="array" ref="Q77">INDEX(tblPrices[cv_2022], MATCH(tblEnterpriseUnits[[#This Row],[Products]],tblPrices[Products],0), 0)* tblEnterpriseUnits[[#This Row],[cv_2022]]/10^6</f>
        <v>0</v>
      </c>
      <c r="R77" s="62" cm="1">
        <f t="array" ref="R77">INDEX(tblPrices[cv_2023], MATCH(tblEnterpriseUnits[[#This Row],[Products]],tblPrices[Products],0), 0)* tblEnterpriseUnits[[#This Row],[cv_2023]]/10^6</f>
        <v>0</v>
      </c>
      <c r="S77" s="62" cm="1">
        <f t="array" ref="S77">INDEX(tblPrices[cv_2024], MATCH(tblEnterpriseUnits[[#This Row],[Products]],tblPrices[Products],0), 0)* tblEnterpriseUnits[[#This Row],[cv_2024]]/10^6</f>
        <v>0</v>
      </c>
      <c r="T77" s="62" cm="1">
        <f t="array" ref="T77">INDEX(tblPrices[cv_2025], MATCH(tblEnterpriseUnits[[#This Row],[Products]],tblPrices[Products],0), 0)* tblEnterpriseUnits[[#This Row],[cv_2025]]/10^6</f>
        <v>0</v>
      </c>
      <c r="U77" s="62" cm="1">
        <f t="array" ref="U77">INDEX(tblPrices[cv_2026], MATCH(tblEnterpriseUnits[[#This Row],[Products]],tblPrices[Products],0), 0)* tblEnterpriseUnits[[#This Row],[cv_2026]]/10^6</f>
        <v>0</v>
      </c>
      <c r="V77" s="62" cm="1">
        <f t="array" ref="V77">INDEX(tblPrices[cv_2027], MATCH(tblEnterpriseUnits[[#This Row],[Products]],tblPrices[Products],0), 0)* tblEnterpriseUnits[[#This Row],[cv_2027]]/10^6</f>
        <v>0</v>
      </c>
      <c r="W77" s="62" cm="1">
        <f t="array" ref="W77">INDEX(tblPrices[cv_2028], MATCH(tblEnterpriseUnits[[#This Row],[Products]],tblPrices[Products],0), 0)* tblEnterpriseUnits[[#This Row],[cv_2028]]/10^6</f>
        <v>0</v>
      </c>
      <c r="X77" s="1">
        <f>VLOOKUP(A77,Products!$A$29:$F$110,6,FALSE)</f>
        <v>800</v>
      </c>
    </row>
    <row r="78" spans="1:24">
      <c r="A78" s="15" t="s">
        <v>16</v>
      </c>
      <c r="B78" s="8">
        <v>0</v>
      </c>
      <c r="C78" s="8">
        <v>0</v>
      </c>
      <c r="D78" s="8"/>
      <c r="E78" s="8"/>
      <c r="F78" s="8"/>
      <c r="G78" s="8"/>
      <c r="H78" s="8"/>
      <c r="I78" s="8"/>
      <c r="J78" s="8"/>
      <c r="K78" s="8"/>
      <c r="L78" s="8"/>
      <c r="M78" s="62" cm="1">
        <f t="array" ref="M78">INDEX(tblPrices[cv_2018], MATCH(tblEnterpriseUnits[[#This Row],[Products]],tblPrices[Products],0), 0)* tblEnterpriseUnits[[#This Row],[cv_2018]]/10^6</f>
        <v>0</v>
      </c>
      <c r="N78" s="62" cm="1">
        <f t="array" ref="N78">INDEX(tblPrices[cv_2019], MATCH(tblEnterpriseUnits[[#This Row],[Products]],tblPrices[Products],0), 0)* tblEnterpriseUnits[[#This Row],[cv_2019]]/10^6</f>
        <v>0</v>
      </c>
      <c r="O78" s="62" cm="1">
        <f t="array" ref="O78">INDEX(tblPrices[cv_2020], MATCH(tblEnterpriseUnits[[#This Row],[Products]],tblPrices[Products],0), 0)* tblEnterpriseUnits[[#This Row],[cv_2020]]/10^6</f>
        <v>0</v>
      </c>
      <c r="P78" s="62" cm="1">
        <f t="array" ref="P78">INDEX(tblPrices[cv_2021], MATCH(tblEnterpriseUnits[[#This Row],[Products]],tblPrices[Products],0), 0)* tblEnterpriseUnits[[#This Row],[cv_2021]]/10^6</f>
        <v>0</v>
      </c>
      <c r="Q78" s="62" cm="1">
        <f t="array" ref="Q78">INDEX(tblPrices[cv_2022], MATCH(tblEnterpriseUnits[[#This Row],[Products]],tblPrices[Products],0), 0)* tblEnterpriseUnits[[#This Row],[cv_2022]]/10^6</f>
        <v>0</v>
      </c>
      <c r="R78" s="62" cm="1">
        <f t="array" ref="R78">INDEX(tblPrices[cv_2023], MATCH(tblEnterpriseUnits[[#This Row],[Products]],tblPrices[Products],0), 0)* tblEnterpriseUnits[[#This Row],[cv_2023]]/10^6</f>
        <v>0</v>
      </c>
      <c r="S78" s="62" cm="1">
        <f t="array" ref="S78">INDEX(tblPrices[cv_2024], MATCH(tblEnterpriseUnits[[#This Row],[Products]],tblPrices[Products],0), 0)* tblEnterpriseUnits[[#This Row],[cv_2024]]/10^6</f>
        <v>0</v>
      </c>
      <c r="T78" s="62" cm="1">
        <f t="array" ref="T78">INDEX(tblPrices[cv_2025], MATCH(tblEnterpriseUnits[[#This Row],[Products]],tblPrices[Products],0), 0)* tblEnterpriseUnits[[#This Row],[cv_2025]]/10^6</f>
        <v>0</v>
      </c>
      <c r="U78" s="62" cm="1">
        <f t="array" ref="U78">INDEX(tblPrices[cv_2026], MATCH(tblEnterpriseUnits[[#This Row],[Products]],tblPrices[Products],0), 0)* tblEnterpriseUnits[[#This Row],[cv_2026]]/10^6</f>
        <v>0</v>
      </c>
      <c r="V78" s="62" cm="1">
        <f t="array" ref="V78">INDEX(tblPrices[cv_2027], MATCH(tblEnterpriseUnits[[#This Row],[Products]],tblPrices[Products],0), 0)* tblEnterpriseUnits[[#This Row],[cv_2027]]/10^6</f>
        <v>0</v>
      </c>
      <c r="W78" s="62" cm="1">
        <f t="array" ref="W78">INDEX(tblPrices[cv_2028], MATCH(tblEnterpriseUnits[[#This Row],[Products]],tblPrices[Products],0), 0)* tblEnterpriseUnits[[#This Row],[cv_2028]]/10^6</f>
        <v>0</v>
      </c>
      <c r="X78" s="1">
        <f>VLOOKUP(A78,Products!$A$29:$F$110,6,FALSE)</f>
        <v>800</v>
      </c>
    </row>
    <row r="79" spans="1:24">
      <c r="A79" s="15" t="s">
        <v>17</v>
      </c>
      <c r="B79" s="8">
        <v>0</v>
      </c>
      <c r="C79" s="8">
        <v>0</v>
      </c>
      <c r="D79" s="8"/>
      <c r="E79" s="8"/>
      <c r="F79" s="8"/>
      <c r="G79" s="8"/>
      <c r="H79" s="8"/>
      <c r="I79" s="8"/>
      <c r="J79" s="8"/>
      <c r="K79" s="8"/>
      <c r="L79" s="8"/>
      <c r="M79" s="62" cm="1">
        <f t="array" ref="M79">INDEX(tblPrices[cv_2018], MATCH(tblEnterpriseUnits[[#This Row],[Products]],tblPrices[Products],0), 0)* tblEnterpriseUnits[[#This Row],[cv_2018]]/10^6</f>
        <v>0</v>
      </c>
      <c r="N79" s="62" cm="1">
        <f t="array" ref="N79">INDEX(tblPrices[cv_2019], MATCH(tblEnterpriseUnits[[#This Row],[Products]],tblPrices[Products],0), 0)* tblEnterpriseUnits[[#This Row],[cv_2019]]/10^6</f>
        <v>0</v>
      </c>
      <c r="O79" s="62" cm="1">
        <f t="array" ref="O79">INDEX(tblPrices[cv_2020], MATCH(tblEnterpriseUnits[[#This Row],[Products]],tblPrices[Products],0), 0)* tblEnterpriseUnits[[#This Row],[cv_2020]]/10^6</f>
        <v>0</v>
      </c>
      <c r="P79" s="62" cm="1">
        <f t="array" ref="P79">INDEX(tblPrices[cv_2021], MATCH(tblEnterpriseUnits[[#This Row],[Products]],tblPrices[Products],0), 0)* tblEnterpriseUnits[[#This Row],[cv_2021]]/10^6</f>
        <v>0</v>
      </c>
      <c r="Q79" s="62" cm="1">
        <f t="array" ref="Q79">INDEX(tblPrices[cv_2022], MATCH(tblEnterpriseUnits[[#This Row],[Products]],tblPrices[Products],0), 0)* tblEnterpriseUnits[[#This Row],[cv_2022]]/10^6</f>
        <v>0</v>
      </c>
      <c r="R79" s="62" cm="1">
        <f t="array" ref="R79">INDEX(tblPrices[cv_2023], MATCH(tblEnterpriseUnits[[#This Row],[Products]],tblPrices[Products],0), 0)* tblEnterpriseUnits[[#This Row],[cv_2023]]/10^6</f>
        <v>0</v>
      </c>
      <c r="S79" s="62" cm="1">
        <f t="array" ref="S79">INDEX(tblPrices[cv_2024], MATCH(tblEnterpriseUnits[[#This Row],[Products]],tblPrices[Products],0), 0)* tblEnterpriseUnits[[#This Row],[cv_2024]]/10^6</f>
        <v>0</v>
      </c>
      <c r="T79" s="62" cm="1">
        <f t="array" ref="T79">INDEX(tblPrices[cv_2025], MATCH(tblEnterpriseUnits[[#This Row],[Products]],tblPrices[Products],0), 0)* tblEnterpriseUnits[[#This Row],[cv_2025]]/10^6</f>
        <v>0</v>
      </c>
      <c r="U79" s="62" cm="1">
        <f t="array" ref="U79">INDEX(tblPrices[cv_2026], MATCH(tblEnterpriseUnits[[#This Row],[Products]],tblPrices[Products],0), 0)* tblEnterpriseUnits[[#This Row],[cv_2026]]/10^6</f>
        <v>0</v>
      </c>
      <c r="V79" s="62" cm="1">
        <f t="array" ref="V79">INDEX(tblPrices[cv_2027], MATCH(tblEnterpriseUnits[[#This Row],[Products]],tblPrices[Products],0), 0)* tblEnterpriseUnits[[#This Row],[cv_2027]]/10^6</f>
        <v>0</v>
      </c>
      <c r="W79" s="62" cm="1">
        <f t="array" ref="W79">INDEX(tblPrices[cv_2028], MATCH(tblEnterpriseUnits[[#This Row],[Products]],tblPrices[Products],0), 0)* tblEnterpriseUnits[[#This Row],[cv_2028]]/10^6</f>
        <v>0</v>
      </c>
      <c r="X79" s="1">
        <f>VLOOKUP(A79,Products!$A$29:$F$110,6,FALSE)</f>
        <v>800</v>
      </c>
    </row>
    <row r="80" spans="1:24">
      <c r="A80" s="15" t="s">
        <v>18</v>
      </c>
      <c r="B80" s="8">
        <v>0</v>
      </c>
      <c r="C80" s="8">
        <v>0</v>
      </c>
      <c r="D80" s="8"/>
      <c r="E80" s="8"/>
      <c r="F80" s="8"/>
      <c r="G80" s="8"/>
      <c r="H80" s="8"/>
      <c r="I80" s="8"/>
      <c r="J80" s="8"/>
      <c r="K80" s="8"/>
      <c r="L80" s="8"/>
      <c r="M80" s="62" cm="1">
        <f t="array" ref="M80">INDEX(tblPrices[cv_2018], MATCH(tblEnterpriseUnits[[#This Row],[Products]],tblPrices[Products],0), 0)* tblEnterpriseUnits[[#This Row],[cv_2018]]/10^6</f>
        <v>0</v>
      </c>
      <c r="N80" s="62" cm="1">
        <f t="array" ref="N80">INDEX(tblPrices[cv_2019], MATCH(tblEnterpriseUnits[[#This Row],[Products]],tblPrices[Products],0), 0)* tblEnterpriseUnits[[#This Row],[cv_2019]]/10^6</f>
        <v>0</v>
      </c>
      <c r="O80" s="62" cm="1">
        <f t="array" ref="O80">INDEX(tblPrices[cv_2020], MATCH(tblEnterpriseUnits[[#This Row],[Products]],tblPrices[Products],0), 0)* tblEnterpriseUnits[[#This Row],[cv_2020]]/10^6</f>
        <v>0</v>
      </c>
      <c r="P80" s="62" cm="1">
        <f t="array" ref="P80">INDEX(tblPrices[cv_2021], MATCH(tblEnterpriseUnits[[#This Row],[Products]],tblPrices[Products],0), 0)* tblEnterpriseUnits[[#This Row],[cv_2021]]/10^6</f>
        <v>0</v>
      </c>
      <c r="Q80" s="62" cm="1">
        <f t="array" ref="Q80">INDEX(tblPrices[cv_2022], MATCH(tblEnterpriseUnits[[#This Row],[Products]],tblPrices[Products],0), 0)* tblEnterpriseUnits[[#This Row],[cv_2022]]/10^6</f>
        <v>0</v>
      </c>
      <c r="R80" s="62" cm="1">
        <f t="array" ref="R80">INDEX(tblPrices[cv_2023], MATCH(tblEnterpriseUnits[[#This Row],[Products]],tblPrices[Products],0), 0)* tblEnterpriseUnits[[#This Row],[cv_2023]]/10^6</f>
        <v>0</v>
      </c>
      <c r="S80" s="62" cm="1">
        <f t="array" ref="S80">INDEX(tblPrices[cv_2024], MATCH(tblEnterpriseUnits[[#This Row],[Products]],tblPrices[Products],0), 0)* tblEnterpriseUnits[[#This Row],[cv_2024]]/10^6</f>
        <v>0</v>
      </c>
      <c r="T80" s="62" cm="1">
        <f t="array" ref="T80">INDEX(tblPrices[cv_2025], MATCH(tblEnterpriseUnits[[#This Row],[Products]],tblPrices[Products],0), 0)* tblEnterpriseUnits[[#This Row],[cv_2025]]/10^6</f>
        <v>0</v>
      </c>
      <c r="U80" s="62" cm="1">
        <f t="array" ref="U80">INDEX(tblPrices[cv_2026], MATCH(tblEnterpriseUnits[[#This Row],[Products]],tblPrices[Products],0), 0)* tblEnterpriseUnits[[#This Row],[cv_2026]]/10^6</f>
        <v>0</v>
      </c>
      <c r="V80" s="62" cm="1">
        <f t="array" ref="V80">INDEX(tblPrices[cv_2027], MATCH(tblEnterpriseUnits[[#This Row],[Products]],tblPrices[Products],0), 0)* tblEnterpriseUnits[[#This Row],[cv_2027]]/10^6</f>
        <v>0</v>
      </c>
      <c r="W80" s="62" cm="1">
        <f t="array" ref="W80">INDEX(tblPrices[cv_2028], MATCH(tblEnterpriseUnits[[#This Row],[Products]],tblPrices[Products],0), 0)* tblEnterpriseUnits[[#This Row],[cv_2028]]/10^6</f>
        <v>0</v>
      </c>
      <c r="X80" s="1">
        <f>VLOOKUP(A80,Products!$A$29:$F$110,6,FALSE)</f>
        <v>1600</v>
      </c>
    </row>
    <row r="81" spans="1:24">
      <c r="A81" s="15" t="s">
        <v>19</v>
      </c>
      <c r="B81" s="8">
        <v>0</v>
      </c>
      <c r="C81" s="8">
        <v>0</v>
      </c>
      <c r="D81" s="8"/>
      <c r="E81" s="8"/>
      <c r="F81" s="8"/>
      <c r="G81" s="8"/>
      <c r="H81" s="8"/>
      <c r="I81" s="8"/>
      <c r="J81" s="8"/>
      <c r="K81" s="8"/>
      <c r="L81" s="8"/>
      <c r="M81" s="62" cm="1">
        <f t="array" ref="M81">INDEX(tblPrices[cv_2018], MATCH(tblEnterpriseUnits[[#This Row],[Products]],tblPrices[Products],0), 0)* tblEnterpriseUnits[[#This Row],[cv_2018]]/10^6</f>
        <v>0</v>
      </c>
      <c r="N81" s="62" cm="1">
        <f t="array" ref="N81">INDEX(tblPrices[cv_2019], MATCH(tblEnterpriseUnits[[#This Row],[Products]],tblPrices[Products],0), 0)* tblEnterpriseUnits[[#This Row],[cv_2019]]/10^6</f>
        <v>0</v>
      </c>
      <c r="O81" s="62" cm="1">
        <f t="array" ref="O81">INDEX(tblPrices[cv_2020], MATCH(tblEnterpriseUnits[[#This Row],[Products]],tblPrices[Products],0), 0)* tblEnterpriseUnits[[#This Row],[cv_2020]]/10^6</f>
        <v>0</v>
      </c>
      <c r="P81" s="62" cm="1">
        <f t="array" ref="P81">INDEX(tblPrices[cv_2021], MATCH(tblEnterpriseUnits[[#This Row],[Products]],tblPrices[Products],0), 0)* tblEnterpriseUnits[[#This Row],[cv_2021]]/10^6</f>
        <v>0</v>
      </c>
      <c r="Q81" s="62" cm="1">
        <f t="array" ref="Q81">INDEX(tblPrices[cv_2022], MATCH(tblEnterpriseUnits[[#This Row],[Products]],tblPrices[Products],0), 0)* tblEnterpriseUnits[[#This Row],[cv_2022]]/10^6</f>
        <v>0</v>
      </c>
      <c r="R81" s="62" cm="1">
        <f t="array" ref="R81">INDEX(tblPrices[cv_2023], MATCH(tblEnterpriseUnits[[#This Row],[Products]],tblPrices[Products],0), 0)* tblEnterpriseUnits[[#This Row],[cv_2023]]/10^6</f>
        <v>0</v>
      </c>
      <c r="S81" s="62" cm="1">
        <f t="array" ref="S81">INDEX(tblPrices[cv_2024], MATCH(tblEnterpriseUnits[[#This Row],[Products]],tblPrices[Products],0), 0)* tblEnterpriseUnits[[#This Row],[cv_2024]]/10^6</f>
        <v>0</v>
      </c>
      <c r="T81" s="62" cm="1">
        <f t="array" ref="T81">INDEX(tblPrices[cv_2025], MATCH(tblEnterpriseUnits[[#This Row],[Products]],tblPrices[Products],0), 0)* tblEnterpriseUnits[[#This Row],[cv_2025]]/10^6</f>
        <v>0</v>
      </c>
      <c r="U81" s="62" cm="1">
        <f t="array" ref="U81">INDEX(tblPrices[cv_2026], MATCH(tblEnterpriseUnits[[#This Row],[Products]],tblPrices[Products],0), 0)* tblEnterpriseUnits[[#This Row],[cv_2026]]/10^6</f>
        <v>0</v>
      </c>
      <c r="V81" s="62" cm="1">
        <f t="array" ref="V81">INDEX(tblPrices[cv_2027], MATCH(tblEnterpriseUnits[[#This Row],[Products]],tblPrices[Products],0), 0)* tblEnterpriseUnits[[#This Row],[cv_2027]]/10^6</f>
        <v>0</v>
      </c>
      <c r="W81" s="62" cm="1">
        <f t="array" ref="W81">INDEX(tblPrices[cv_2028], MATCH(tblEnterpriseUnits[[#This Row],[Products]],tblPrices[Products],0), 0)* tblEnterpriseUnits[[#This Row],[cv_2028]]/10^6</f>
        <v>0</v>
      </c>
      <c r="X81" s="1">
        <f>VLOOKUP(A81,Products!$A$29:$F$110,6,FALSE)</f>
        <v>1600</v>
      </c>
    </row>
    <row r="82" spans="1:24">
      <c r="A82" s="15" t="s">
        <v>20</v>
      </c>
      <c r="B82" s="8">
        <v>0</v>
      </c>
      <c r="C82" s="8">
        <v>0</v>
      </c>
      <c r="D82" s="8"/>
      <c r="E82" s="8"/>
      <c r="F82" s="8"/>
      <c r="G82" s="8"/>
      <c r="H82" s="8"/>
      <c r="I82" s="8"/>
      <c r="J82" s="8"/>
      <c r="K82" s="8"/>
      <c r="L82" s="8"/>
      <c r="M82" s="62" cm="1">
        <f t="array" ref="M82">INDEX(tblPrices[cv_2018], MATCH(tblEnterpriseUnits[[#This Row],[Products]],tblPrices[Products],0), 0)* tblEnterpriseUnits[[#This Row],[cv_2018]]/10^6</f>
        <v>0</v>
      </c>
      <c r="N82" s="62" cm="1">
        <f t="array" ref="N82">INDEX(tblPrices[cv_2019], MATCH(tblEnterpriseUnits[[#This Row],[Products]],tblPrices[Products],0), 0)* tblEnterpriseUnits[[#This Row],[cv_2019]]/10^6</f>
        <v>0</v>
      </c>
      <c r="O82" s="62" cm="1">
        <f t="array" ref="O82">INDEX(tblPrices[cv_2020], MATCH(tblEnterpriseUnits[[#This Row],[Products]],tblPrices[Products],0), 0)* tblEnterpriseUnits[[#This Row],[cv_2020]]/10^6</f>
        <v>0</v>
      </c>
      <c r="P82" s="62" cm="1">
        <f t="array" ref="P82">INDEX(tblPrices[cv_2021], MATCH(tblEnterpriseUnits[[#This Row],[Products]],tblPrices[Products],0), 0)* tblEnterpriseUnits[[#This Row],[cv_2021]]/10^6</f>
        <v>0</v>
      </c>
      <c r="Q82" s="62" cm="1">
        <f t="array" ref="Q82">INDEX(tblPrices[cv_2022], MATCH(tblEnterpriseUnits[[#This Row],[Products]],tblPrices[Products],0), 0)* tblEnterpriseUnits[[#This Row],[cv_2022]]/10^6</f>
        <v>0</v>
      </c>
      <c r="R82" s="62" cm="1">
        <f t="array" ref="R82">INDEX(tblPrices[cv_2023], MATCH(tblEnterpriseUnits[[#This Row],[Products]],tblPrices[Products],0), 0)* tblEnterpriseUnits[[#This Row],[cv_2023]]/10^6</f>
        <v>0</v>
      </c>
      <c r="S82" s="62" cm="1">
        <f t="array" ref="S82">INDEX(tblPrices[cv_2024], MATCH(tblEnterpriseUnits[[#This Row],[Products]],tblPrices[Products],0), 0)* tblEnterpriseUnits[[#This Row],[cv_2024]]/10^6</f>
        <v>0</v>
      </c>
      <c r="T82" s="62" cm="1">
        <f t="array" ref="T82">INDEX(tblPrices[cv_2025], MATCH(tblEnterpriseUnits[[#This Row],[Products]],tblPrices[Products],0), 0)* tblEnterpriseUnits[[#This Row],[cv_2025]]/10^6</f>
        <v>0</v>
      </c>
      <c r="U82" s="62" cm="1">
        <f t="array" ref="U82">INDEX(tblPrices[cv_2026], MATCH(tblEnterpriseUnits[[#This Row],[Products]],tblPrices[Products],0), 0)* tblEnterpriseUnits[[#This Row],[cv_2026]]/10^6</f>
        <v>0</v>
      </c>
      <c r="V82" s="62" cm="1">
        <f t="array" ref="V82">INDEX(tblPrices[cv_2027], MATCH(tblEnterpriseUnits[[#This Row],[Products]],tblPrices[Products],0), 0)* tblEnterpriseUnits[[#This Row],[cv_2027]]/10^6</f>
        <v>0</v>
      </c>
      <c r="W82" s="62" cm="1">
        <f t="array" ref="W82">INDEX(tblPrices[cv_2028], MATCH(tblEnterpriseUnits[[#This Row],[Products]],tblPrices[Products],0), 0)* tblEnterpriseUnits[[#This Row],[cv_2028]]/10^6</f>
        <v>0</v>
      </c>
      <c r="X82" s="1">
        <f>VLOOKUP(A82,Products!$A$29:$F$110,6,FALSE)</f>
        <v>1600</v>
      </c>
    </row>
    <row r="83" spans="1:24">
      <c r="A83" s="15" t="s">
        <v>49</v>
      </c>
      <c r="B83" s="8">
        <v>0</v>
      </c>
      <c r="C83" s="8">
        <v>0</v>
      </c>
      <c r="D83" s="8"/>
      <c r="E83" s="8"/>
      <c r="F83" s="8"/>
      <c r="G83" s="8"/>
      <c r="H83" s="8"/>
      <c r="I83" s="8"/>
      <c r="J83" s="8"/>
      <c r="K83" s="8"/>
      <c r="L83" s="8"/>
      <c r="M83" s="62" cm="1">
        <f t="array" ref="M83">INDEX(tblPrices[cv_2018], MATCH(tblEnterpriseUnits[[#This Row],[Products]],tblPrices[Products],0), 0)* tblEnterpriseUnits[[#This Row],[cv_2018]]/10^6</f>
        <v>0</v>
      </c>
      <c r="N83" s="62" cm="1">
        <f t="array" ref="N83">INDEX(tblPrices[cv_2019], MATCH(tblEnterpriseUnits[[#This Row],[Products]],tblPrices[Products],0), 0)* tblEnterpriseUnits[[#This Row],[cv_2019]]/10^6</f>
        <v>0</v>
      </c>
      <c r="O83" s="62" cm="1">
        <f t="array" ref="O83">INDEX(tblPrices[cv_2020], MATCH(tblEnterpriseUnits[[#This Row],[Products]],tblPrices[Products],0), 0)* tblEnterpriseUnits[[#This Row],[cv_2020]]/10^6</f>
        <v>0</v>
      </c>
      <c r="P83" s="62" cm="1">
        <f t="array" ref="P83">INDEX(tblPrices[cv_2021], MATCH(tblEnterpriseUnits[[#This Row],[Products]],tblPrices[Products],0), 0)* tblEnterpriseUnits[[#This Row],[cv_2021]]/10^6</f>
        <v>0</v>
      </c>
      <c r="Q83" s="62" cm="1">
        <f t="array" ref="Q83">INDEX(tblPrices[cv_2022], MATCH(tblEnterpriseUnits[[#This Row],[Products]],tblPrices[Products],0), 0)* tblEnterpriseUnits[[#This Row],[cv_2022]]/10^6</f>
        <v>0</v>
      </c>
      <c r="R83" s="62" cm="1">
        <f t="array" ref="R83">INDEX(tblPrices[cv_2023], MATCH(tblEnterpriseUnits[[#This Row],[Products]],tblPrices[Products],0), 0)* tblEnterpriseUnits[[#This Row],[cv_2023]]/10^6</f>
        <v>0</v>
      </c>
      <c r="S83" s="62" cm="1">
        <f t="array" ref="S83">INDEX(tblPrices[cv_2024], MATCH(tblEnterpriseUnits[[#This Row],[Products]],tblPrices[Products],0), 0)* tblEnterpriseUnits[[#This Row],[cv_2024]]/10^6</f>
        <v>0</v>
      </c>
      <c r="T83" s="62" cm="1">
        <f t="array" ref="T83">INDEX(tblPrices[cv_2025], MATCH(tblEnterpriseUnits[[#This Row],[Products]],tblPrices[Products],0), 0)* tblEnterpriseUnits[[#This Row],[cv_2025]]/10^6</f>
        <v>0</v>
      </c>
      <c r="U83" s="62" cm="1">
        <f t="array" ref="U83">INDEX(tblPrices[cv_2026], MATCH(tblEnterpriseUnits[[#This Row],[Products]],tblPrices[Products],0), 0)* tblEnterpriseUnits[[#This Row],[cv_2026]]/10^6</f>
        <v>0</v>
      </c>
      <c r="V83" s="62" cm="1">
        <f t="array" ref="V83">INDEX(tblPrices[cv_2027], MATCH(tblEnterpriseUnits[[#This Row],[Products]],tblPrices[Products],0), 0)* tblEnterpriseUnits[[#This Row],[cv_2027]]/10^6</f>
        <v>0</v>
      </c>
      <c r="W83" s="62" cm="1">
        <f t="array" ref="W83">INDEX(tblPrices[cv_2028], MATCH(tblEnterpriseUnits[[#This Row],[Products]],tblPrices[Products],0), 0)* tblEnterpriseUnits[[#This Row],[cv_2028]]/10^6</f>
        <v>0</v>
      </c>
      <c r="X83" s="1">
        <f>VLOOKUP(A83,Products!$A$29:$F$110,6,FALSE)</f>
        <v>1600</v>
      </c>
    </row>
    <row r="84" spans="1:24">
      <c r="A84" s="15" t="s">
        <v>191</v>
      </c>
      <c r="B84" s="8">
        <v>0</v>
      </c>
      <c r="C84" s="8">
        <v>0</v>
      </c>
      <c r="D84" s="8"/>
      <c r="E84" s="8"/>
      <c r="F84" s="8"/>
      <c r="G84" s="8"/>
      <c r="H84" s="8"/>
      <c r="I84" s="8"/>
      <c r="J84" s="8"/>
      <c r="K84" s="8"/>
      <c r="L84" s="8"/>
      <c r="M84" s="62" cm="1">
        <f t="array" ref="M84">INDEX(tblPrices[cv_2018], MATCH(tblEnterpriseUnits[[#This Row],[Products]],tblPrices[Products],0), 0)* tblEnterpriseUnits[[#This Row],[cv_2018]]/10^6</f>
        <v>0</v>
      </c>
      <c r="N84" s="62" cm="1">
        <f t="array" ref="N84">INDEX(tblPrices[cv_2019], MATCH(tblEnterpriseUnits[[#This Row],[Products]],tblPrices[Products],0), 0)* tblEnterpriseUnits[[#This Row],[cv_2019]]/10^6</f>
        <v>0</v>
      </c>
      <c r="O84" s="62" cm="1">
        <f t="array" ref="O84">INDEX(tblPrices[cv_2020], MATCH(tblEnterpriseUnits[[#This Row],[Products]],tblPrices[Products],0), 0)* tblEnterpriseUnits[[#This Row],[cv_2020]]/10^6</f>
        <v>0</v>
      </c>
      <c r="P84" s="62" cm="1">
        <f t="array" ref="P84">INDEX(tblPrices[cv_2021], MATCH(tblEnterpriseUnits[[#This Row],[Products]],tblPrices[Products],0), 0)* tblEnterpriseUnits[[#This Row],[cv_2021]]/10^6</f>
        <v>0</v>
      </c>
      <c r="Q84" s="62" cm="1">
        <f t="array" ref="Q84">INDEX(tblPrices[cv_2022], MATCH(tblEnterpriseUnits[[#This Row],[Products]],tblPrices[Products],0), 0)* tblEnterpriseUnits[[#This Row],[cv_2022]]/10^6</f>
        <v>0</v>
      </c>
      <c r="R84" s="62" cm="1">
        <f t="array" ref="R84">INDEX(tblPrices[cv_2023], MATCH(tblEnterpriseUnits[[#This Row],[Products]],tblPrices[Products],0), 0)* tblEnterpriseUnits[[#This Row],[cv_2023]]/10^6</f>
        <v>0</v>
      </c>
      <c r="S84" s="62" cm="1">
        <f t="array" ref="S84">INDEX(tblPrices[cv_2024], MATCH(tblEnterpriseUnits[[#This Row],[Products]],tblPrices[Products],0), 0)* tblEnterpriseUnits[[#This Row],[cv_2024]]/10^6</f>
        <v>0</v>
      </c>
      <c r="T84" s="62" cm="1">
        <f t="array" ref="T84">INDEX(tblPrices[cv_2025], MATCH(tblEnterpriseUnits[[#This Row],[Products]],tblPrices[Products],0), 0)* tblEnterpriseUnits[[#This Row],[cv_2025]]/10^6</f>
        <v>0</v>
      </c>
      <c r="U84" s="62" cm="1">
        <f t="array" ref="U84">INDEX(tblPrices[cv_2026], MATCH(tblEnterpriseUnits[[#This Row],[Products]],tblPrices[Products],0), 0)* tblEnterpriseUnits[[#This Row],[cv_2026]]/10^6</f>
        <v>0</v>
      </c>
      <c r="V84" s="62" cm="1">
        <f t="array" ref="V84">INDEX(tblPrices[cv_2027], MATCH(tblEnterpriseUnits[[#This Row],[Products]],tblPrices[Products],0), 0)* tblEnterpriseUnits[[#This Row],[cv_2027]]/10^6</f>
        <v>0</v>
      </c>
      <c r="W84" s="62" cm="1">
        <f t="array" ref="W84">INDEX(tblPrices[cv_2028], MATCH(tblEnterpriseUnits[[#This Row],[Products]],tblPrices[Products],0), 0)* tblEnterpriseUnits[[#This Row],[cv_2028]]/10^6</f>
        <v>0</v>
      </c>
      <c r="X84" s="1">
        <f>VLOOKUP(A84,Products!$A$29:$F$110,6,FALSE)</f>
        <v>1600</v>
      </c>
    </row>
    <row r="85" spans="1:24">
      <c r="A85" s="15" t="s">
        <v>192</v>
      </c>
      <c r="B85" s="8">
        <v>0</v>
      </c>
      <c r="C85" s="8">
        <v>0</v>
      </c>
      <c r="D85" s="8"/>
      <c r="E85" s="8"/>
      <c r="F85" s="8"/>
      <c r="G85" s="8"/>
      <c r="H85" s="8"/>
      <c r="I85" s="8"/>
      <c r="J85" s="8"/>
      <c r="K85" s="8"/>
      <c r="L85" s="8"/>
      <c r="M85" s="62" cm="1">
        <f t="array" ref="M85">INDEX(tblPrices[cv_2018], MATCH(tblEnterpriseUnits[[#This Row],[Products]],tblPrices[Products],0), 0)* tblEnterpriseUnits[[#This Row],[cv_2018]]/10^6</f>
        <v>0</v>
      </c>
      <c r="N85" s="62" cm="1">
        <f t="array" ref="N85">INDEX(tblPrices[cv_2019], MATCH(tblEnterpriseUnits[[#This Row],[Products]],tblPrices[Products],0), 0)* tblEnterpriseUnits[[#This Row],[cv_2019]]/10^6</f>
        <v>0</v>
      </c>
      <c r="O85" s="62" cm="1">
        <f t="array" ref="O85">INDEX(tblPrices[cv_2020], MATCH(tblEnterpriseUnits[[#This Row],[Products]],tblPrices[Products],0), 0)* tblEnterpriseUnits[[#This Row],[cv_2020]]/10^6</f>
        <v>0</v>
      </c>
      <c r="P85" s="62" cm="1">
        <f t="array" ref="P85">INDEX(tblPrices[cv_2021], MATCH(tblEnterpriseUnits[[#This Row],[Products]],tblPrices[Products],0), 0)* tblEnterpriseUnits[[#This Row],[cv_2021]]/10^6</f>
        <v>0</v>
      </c>
      <c r="Q85" s="62" cm="1">
        <f t="array" ref="Q85">INDEX(tblPrices[cv_2022], MATCH(tblEnterpriseUnits[[#This Row],[Products]],tblPrices[Products],0), 0)* tblEnterpriseUnits[[#This Row],[cv_2022]]/10^6</f>
        <v>0</v>
      </c>
      <c r="R85" s="62" cm="1">
        <f t="array" ref="R85">INDEX(tblPrices[cv_2023], MATCH(tblEnterpriseUnits[[#This Row],[Products]],tblPrices[Products],0), 0)* tblEnterpriseUnits[[#This Row],[cv_2023]]/10^6</f>
        <v>0</v>
      </c>
      <c r="S85" s="62" cm="1">
        <f t="array" ref="S85">INDEX(tblPrices[cv_2024], MATCH(tblEnterpriseUnits[[#This Row],[Products]],tblPrices[Products],0), 0)* tblEnterpriseUnits[[#This Row],[cv_2024]]/10^6</f>
        <v>0</v>
      </c>
      <c r="T85" s="62" cm="1">
        <f t="array" ref="T85">INDEX(tblPrices[cv_2025], MATCH(tblEnterpriseUnits[[#This Row],[Products]],tblPrices[Products],0), 0)* tblEnterpriseUnits[[#This Row],[cv_2025]]/10^6</f>
        <v>0</v>
      </c>
      <c r="U85" s="62" cm="1">
        <f t="array" ref="U85">INDEX(tblPrices[cv_2026], MATCH(tblEnterpriseUnits[[#This Row],[Products]],tblPrices[Products],0), 0)* tblEnterpriseUnits[[#This Row],[cv_2026]]/10^6</f>
        <v>0</v>
      </c>
      <c r="V85" s="62" cm="1">
        <f t="array" ref="V85">INDEX(tblPrices[cv_2027], MATCH(tblEnterpriseUnits[[#This Row],[Products]],tblPrices[Products],0), 0)* tblEnterpriseUnits[[#This Row],[cv_2027]]/10^6</f>
        <v>0</v>
      </c>
      <c r="W85" s="62" cm="1">
        <f t="array" ref="W85">INDEX(tblPrices[cv_2028], MATCH(tblEnterpriseUnits[[#This Row],[Products]],tblPrices[Products],0), 0)* tblEnterpriseUnits[[#This Row],[cv_2028]]/10^6</f>
        <v>0</v>
      </c>
      <c r="X85" s="1">
        <f>VLOOKUP(A85,Products!$A$29:$F$110,6,FALSE)</f>
        <v>3200</v>
      </c>
    </row>
    <row r="86" spans="1:24">
      <c r="A86" s="15" t="s">
        <v>193</v>
      </c>
      <c r="B86" s="8">
        <v>0</v>
      </c>
      <c r="C86" s="8">
        <v>0</v>
      </c>
      <c r="D86" s="8"/>
      <c r="E86" s="8"/>
      <c r="F86" s="8"/>
      <c r="G86" s="8"/>
      <c r="H86" s="8"/>
      <c r="I86" s="8"/>
      <c r="J86" s="8"/>
      <c r="K86" s="8"/>
      <c r="L86" s="8"/>
      <c r="M86" s="62" cm="1">
        <f t="array" ref="M86">INDEX(tblPrices[cv_2018], MATCH(tblEnterpriseUnits[[#This Row],[Products]],tblPrices[Products],0), 0)* tblEnterpriseUnits[[#This Row],[cv_2018]]/10^6</f>
        <v>0</v>
      </c>
      <c r="N86" s="62" cm="1">
        <f t="array" ref="N86">INDEX(tblPrices[cv_2019], MATCH(tblEnterpriseUnits[[#This Row],[Products]],tblPrices[Products],0), 0)* tblEnterpriseUnits[[#This Row],[cv_2019]]/10^6</f>
        <v>0</v>
      </c>
      <c r="O86" s="62" cm="1">
        <f t="array" ref="O86">INDEX(tblPrices[cv_2020], MATCH(tblEnterpriseUnits[[#This Row],[Products]],tblPrices[Products],0), 0)* tblEnterpriseUnits[[#This Row],[cv_2020]]/10^6</f>
        <v>0</v>
      </c>
      <c r="P86" s="62" cm="1">
        <f t="array" ref="P86">INDEX(tblPrices[cv_2021], MATCH(tblEnterpriseUnits[[#This Row],[Products]],tblPrices[Products],0), 0)* tblEnterpriseUnits[[#This Row],[cv_2021]]/10^6</f>
        <v>0</v>
      </c>
      <c r="Q86" s="62" cm="1">
        <f t="array" ref="Q86">INDEX(tblPrices[cv_2022], MATCH(tblEnterpriseUnits[[#This Row],[Products]],tblPrices[Products],0), 0)* tblEnterpriseUnits[[#This Row],[cv_2022]]/10^6</f>
        <v>0</v>
      </c>
      <c r="R86" s="62" cm="1">
        <f t="array" ref="R86">INDEX(tblPrices[cv_2023], MATCH(tblEnterpriseUnits[[#This Row],[Products]],tblPrices[Products],0), 0)* tblEnterpriseUnits[[#This Row],[cv_2023]]/10^6</f>
        <v>0</v>
      </c>
      <c r="S86" s="62" cm="1">
        <f t="array" ref="S86">INDEX(tblPrices[cv_2024], MATCH(tblEnterpriseUnits[[#This Row],[Products]],tblPrices[Products],0), 0)* tblEnterpriseUnits[[#This Row],[cv_2024]]/10^6</f>
        <v>0</v>
      </c>
      <c r="T86" s="62" cm="1">
        <f t="array" ref="T86">INDEX(tblPrices[cv_2025], MATCH(tblEnterpriseUnits[[#This Row],[Products]],tblPrices[Products],0), 0)* tblEnterpriseUnits[[#This Row],[cv_2025]]/10^6</f>
        <v>0</v>
      </c>
      <c r="U86" s="62" cm="1">
        <f t="array" ref="U86">INDEX(tblPrices[cv_2026], MATCH(tblEnterpriseUnits[[#This Row],[Products]],tblPrices[Products],0), 0)* tblEnterpriseUnits[[#This Row],[cv_2026]]/10^6</f>
        <v>0</v>
      </c>
      <c r="V86" s="62" cm="1">
        <f t="array" ref="V86">INDEX(tblPrices[cv_2027], MATCH(tblEnterpriseUnits[[#This Row],[Products]],tblPrices[Products],0), 0)* tblEnterpriseUnits[[#This Row],[cv_2027]]/10^6</f>
        <v>0</v>
      </c>
      <c r="W86" s="62" cm="1">
        <f t="array" ref="W86">INDEX(tblPrices[cv_2028], MATCH(tblEnterpriseUnits[[#This Row],[Products]],tblPrices[Products],0), 0)* tblEnterpriseUnits[[#This Row],[cv_2028]]/10^6</f>
        <v>0</v>
      </c>
      <c r="X86" s="1">
        <f>VLOOKUP(A86,Products!$A$29:$F$110,6,FALSE)</f>
        <v>3200</v>
      </c>
    </row>
    <row r="87" spans="1:24">
      <c r="A87" s="15" t="s">
        <v>194</v>
      </c>
      <c r="B87" s="8">
        <v>0</v>
      </c>
      <c r="C87" s="8">
        <v>0</v>
      </c>
      <c r="D87" s="8"/>
      <c r="E87" s="8"/>
      <c r="F87" s="8"/>
      <c r="G87" s="8"/>
      <c r="H87" s="8"/>
      <c r="I87" s="8"/>
      <c r="J87" s="8"/>
      <c r="K87" s="8"/>
      <c r="L87" s="8"/>
      <c r="M87" s="62" cm="1">
        <f t="array" ref="M87">INDEX(tblPrices[cv_2018], MATCH(tblEnterpriseUnits[[#This Row],[Products]],tblPrices[Products],0), 0)* tblEnterpriseUnits[[#This Row],[cv_2018]]/10^6</f>
        <v>0</v>
      </c>
      <c r="N87" s="62" cm="1">
        <f t="array" ref="N87">INDEX(tblPrices[cv_2019], MATCH(tblEnterpriseUnits[[#This Row],[Products]],tblPrices[Products],0), 0)* tblEnterpriseUnits[[#This Row],[cv_2019]]/10^6</f>
        <v>0</v>
      </c>
      <c r="O87" s="62" cm="1">
        <f t="array" ref="O87">INDEX(tblPrices[cv_2020], MATCH(tblEnterpriseUnits[[#This Row],[Products]],tblPrices[Products],0), 0)* tblEnterpriseUnits[[#This Row],[cv_2020]]/10^6</f>
        <v>0</v>
      </c>
      <c r="P87" s="62" cm="1">
        <f t="array" ref="P87">INDEX(tblPrices[cv_2021], MATCH(tblEnterpriseUnits[[#This Row],[Products]],tblPrices[Products],0), 0)* tblEnterpriseUnits[[#This Row],[cv_2021]]/10^6</f>
        <v>0</v>
      </c>
      <c r="Q87" s="62" cm="1">
        <f t="array" ref="Q87">INDEX(tblPrices[cv_2022], MATCH(tblEnterpriseUnits[[#This Row],[Products]],tblPrices[Products],0), 0)* tblEnterpriseUnits[[#This Row],[cv_2022]]/10^6</f>
        <v>0</v>
      </c>
      <c r="R87" s="62" cm="1">
        <f t="array" ref="R87">INDEX(tblPrices[cv_2023], MATCH(tblEnterpriseUnits[[#This Row],[Products]],tblPrices[Products],0), 0)* tblEnterpriseUnits[[#This Row],[cv_2023]]/10^6</f>
        <v>0</v>
      </c>
      <c r="S87" s="62" cm="1">
        <f t="array" ref="S87">INDEX(tblPrices[cv_2024], MATCH(tblEnterpriseUnits[[#This Row],[Products]],tblPrices[Products],0), 0)* tblEnterpriseUnits[[#This Row],[cv_2024]]/10^6</f>
        <v>0</v>
      </c>
      <c r="T87" s="62" cm="1">
        <f t="array" ref="T87">INDEX(tblPrices[cv_2025], MATCH(tblEnterpriseUnits[[#This Row],[Products]],tblPrices[Products],0), 0)* tblEnterpriseUnits[[#This Row],[cv_2025]]/10^6</f>
        <v>0</v>
      </c>
      <c r="U87" s="62" cm="1">
        <f t="array" ref="U87">INDEX(tblPrices[cv_2026], MATCH(tblEnterpriseUnits[[#This Row],[Products]],tblPrices[Products],0), 0)* tblEnterpriseUnits[[#This Row],[cv_2026]]/10^6</f>
        <v>0</v>
      </c>
      <c r="V87" s="62" cm="1">
        <f t="array" ref="V87">INDEX(tblPrices[cv_2027], MATCH(tblEnterpriseUnits[[#This Row],[Products]],tblPrices[Products],0), 0)* tblEnterpriseUnits[[#This Row],[cv_2027]]/10^6</f>
        <v>0</v>
      </c>
      <c r="W87" s="62" cm="1">
        <f t="array" ref="W87">INDEX(tblPrices[cv_2028], MATCH(tblEnterpriseUnits[[#This Row],[Products]],tblPrices[Products],0), 0)* tblEnterpriseUnits[[#This Row],[cv_2028]]/10^6</f>
        <v>0</v>
      </c>
      <c r="X87" s="1">
        <f>VLOOKUP(A87,Products!$A$29:$F$110,6,FALSE)</f>
        <v>3200</v>
      </c>
    </row>
    <row r="88" spans="1:24">
      <c r="A88" s="15" t="s">
        <v>195</v>
      </c>
      <c r="B88" s="8">
        <v>0</v>
      </c>
      <c r="C88" s="8">
        <v>0</v>
      </c>
      <c r="D88" s="8"/>
      <c r="E88" s="8"/>
      <c r="F88" s="8"/>
      <c r="G88" s="8"/>
      <c r="H88" s="8"/>
      <c r="I88" s="8"/>
      <c r="J88" s="8"/>
      <c r="K88" s="8"/>
      <c r="L88" s="8"/>
      <c r="M88" s="62" cm="1">
        <f t="array" ref="M88">INDEX(tblPrices[cv_2018], MATCH(tblEnterpriseUnits[[#This Row],[Products]],tblPrices[Products],0), 0)* tblEnterpriseUnits[[#This Row],[cv_2018]]/10^6</f>
        <v>0</v>
      </c>
      <c r="N88" s="62" cm="1">
        <f t="array" ref="N88">INDEX(tblPrices[cv_2019], MATCH(tblEnterpriseUnits[[#This Row],[Products]],tblPrices[Products],0), 0)* tblEnterpriseUnits[[#This Row],[cv_2019]]/10^6</f>
        <v>0</v>
      </c>
      <c r="O88" s="62" cm="1">
        <f t="array" ref="O88">INDEX(tblPrices[cv_2020], MATCH(tblEnterpriseUnits[[#This Row],[Products]],tblPrices[Products],0), 0)* tblEnterpriseUnits[[#This Row],[cv_2020]]/10^6</f>
        <v>0</v>
      </c>
      <c r="P88" s="62" cm="1">
        <f t="array" ref="P88">INDEX(tblPrices[cv_2021], MATCH(tblEnterpriseUnits[[#This Row],[Products]],tblPrices[Products],0), 0)* tblEnterpriseUnits[[#This Row],[cv_2021]]/10^6</f>
        <v>0</v>
      </c>
      <c r="Q88" s="62" cm="1">
        <f t="array" ref="Q88">INDEX(tblPrices[cv_2022], MATCH(tblEnterpriseUnits[[#This Row],[Products]],tblPrices[Products],0), 0)* tblEnterpriseUnits[[#This Row],[cv_2022]]/10^6</f>
        <v>0</v>
      </c>
      <c r="R88" s="62" cm="1">
        <f t="array" ref="R88">INDEX(tblPrices[cv_2023], MATCH(tblEnterpriseUnits[[#This Row],[Products]],tblPrices[Products],0), 0)* tblEnterpriseUnits[[#This Row],[cv_2023]]/10^6</f>
        <v>0</v>
      </c>
      <c r="S88" s="62" cm="1">
        <f t="array" ref="S88">INDEX(tblPrices[cv_2024], MATCH(tblEnterpriseUnits[[#This Row],[Products]],tblPrices[Products],0), 0)* tblEnterpriseUnits[[#This Row],[cv_2024]]/10^6</f>
        <v>0</v>
      </c>
      <c r="T88" s="62" cm="1">
        <f t="array" ref="T88">INDEX(tblPrices[cv_2025], MATCH(tblEnterpriseUnits[[#This Row],[Products]],tblPrices[Products],0), 0)* tblEnterpriseUnits[[#This Row],[cv_2025]]/10^6</f>
        <v>0</v>
      </c>
      <c r="U88" s="62" cm="1">
        <f t="array" ref="U88">INDEX(tblPrices[cv_2026], MATCH(tblEnterpriseUnits[[#This Row],[Products]],tblPrices[Products],0), 0)* tblEnterpriseUnits[[#This Row],[cv_2026]]/10^6</f>
        <v>0</v>
      </c>
      <c r="V88" s="62" cm="1">
        <f t="array" ref="V88">INDEX(tblPrices[cv_2027], MATCH(tblEnterpriseUnits[[#This Row],[Products]],tblPrices[Products],0), 0)* tblEnterpriseUnits[[#This Row],[cv_2027]]/10^6</f>
        <v>0</v>
      </c>
      <c r="W88" s="62" cm="1">
        <f t="array" ref="W88">INDEX(tblPrices[cv_2028], MATCH(tblEnterpriseUnits[[#This Row],[Products]],tblPrices[Products],0), 0)* tblEnterpriseUnits[[#This Row],[cv_2028]]/10^6</f>
        <v>0</v>
      </c>
      <c r="X88" s="1">
        <f>VLOOKUP(A88,Products!$A$29:$F$110,6,FALSE)</f>
        <v>3200</v>
      </c>
    </row>
    <row r="89" spans="1:24">
      <c r="A89" s="113" t="s">
        <v>196</v>
      </c>
      <c r="B89" s="73">
        <v>0</v>
      </c>
      <c r="C89" s="73">
        <v>0</v>
      </c>
      <c r="D89" s="73"/>
      <c r="E89" s="73"/>
      <c r="F89" s="73"/>
      <c r="G89" s="73"/>
      <c r="H89" s="73"/>
      <c r="I89" s="73"/>
      <c r="J89" s="73"/>
      <c r="K89" s="73"/>
      <c r="L89" s="73"/>
      <c r="M89" s="115" cm="1">
        <f t="array" ref="M89">INDEX(tblPrices[cv_2018], MATCH(tblEnterpriseUnits[[#This Row],[Products]],tblPrices[Products],0), 0)* tblEnterpriseUnits[[#This Row],[cv_2018]]/10^6</f>
        <v>0</v>
      </c>
      <c r="N89" s="115" cm="1">
        <f t="array" ref="N89">INDEX(tblPrices[cv_2019], MATCH(tblEnterpriseUnits[[#This Row],[Products]],tblPrices[Products],0), 0)* tblEnterpriseUnits[[#This Row],[cv_2019]]/10^6</f>
        <v>0</v>
      </c>
      <c r="O89" s="115" cm="1">
        <f t="array" ref="O89">INDEX(tblPrices[cv_2020], MATCH(tblEnterpriseUnits[[#This Row],[Products]],tblPrices[Products],0), 0)* tblEnterpriseUnits[[#This Row],[cv_2020]]/10^6</f>
        <v>0</v>
      </c>
      <c r="P89" s="115" cm="1">
        <f t="array" ref="P89">INDEX(tblPrices[cv_2021], MATCH(tblEnterpriseUnits[[#This Row],[Products]],tblPrices[Products],0), 0)* tblEnterpriseUnits[[#This Row],[cv_2021]]/10^6</f>
        <v>0</v>
      </c>
      <c r="Q89" s="115" cm="1">
        <f t="array" ref="Q89">INDEX(tblPrices[cv_2022], MATCH(tblEnterpriseUnits[[#This Row],[Products]],tblPrices[Products],0), 0)* tblEnterpriseUnits[[#This Row],[cv_2022]]/10^6</f>
        <v>0</v>
      </c>
      <c r="R89" s="115" cm="1">
        <f t="array" ref="R89">INDEX(tblPrices[cv_2023], MATCH(tblEnterpriseUnits[[#This Row],[Products]],tblPrices[Products],0), 0)* tblEnterpriseUnits[[#This Row],[cv_2023]]/10^6</f>
        <v>0</v>
      </c>
      <c r="S89" s="115" cm="1">
        <f t="array" ref="S89">INDEX(tblPrices[cv_2024], MATCH(tblEnterpriseUnits[[#This Row],[Products]],tblPrices[Products],0), 0)* tblEnterpriseUnits[[#This Row],[cv_2024]]/10^6</f>
        <v>0</v>
      </c>
      <c r="T89" s="115" cm="1">
        <f t="array" ref="T89">INDEX(tblPrices[cv_2025], MATCH(tblEnterpriseUnits[[#This Row],[Products]],tblPrices[Products],0), 0)* tblEnterpriseUnits[[#This Row],[cv_2025]]/10^6</f>
        <v>0</v>
      </c>
      <c r="U89" s="115" cm="1">
        <f t="array" ref="U89">INDEX(tblPrices[cv_2026], MATCH(tblEnterpriseUnits[[#This Row],[Products]],tblPrices[Products],0), 0)* tblEnterpriseUnits[[#This Row],[cv_2026]]/10^6</f>
        <v>0</v>
      </c>
      <c r="V89" s="115" cm="1">
        <f t="array" ref="V89">INDEX(tblPrices[cv_2027], MATCH(tblEnterpriseUnits[[#This Row],[Products]],tblPrices[Products],0), 0)* tblEnterpriseUnits[[#This Row],[cv_2027]]/10^6</f>
        <v>0</v>
      </c>
      <c r="W89" s="115" cm="1">
        <f t="array" ref="W89">INDEX(tblPrices[cv_2028], MATCH(tblEnterpriseUnits[[#This Row],[Products]],tblPrices[Products],0), 0)* tblEnterpriseUnits[[#This Row],[cv_2028]]/10^6</f>
        <v>0</v>
      </c>
      <c r="X89" s="4">
        <f>VLOOKUP(A89,Products!$A$29:$F$110,6,FALSE)</f>
        <v>3200</v>
      </c>
    </row>
    <row r="90" spans="1:24">
      <c r="A90" s="15" t="s">
        <v>197</v>
      </c>
      <c r="B90" s="8">
        <v>52290.900000000023</v>
      </c>
      <c r="C90" s="8">
        <v>75489.924564315894</v>
      </c>
      <c r="D90" s="8"/>
      <c r="E90" s="8"/>
      <c r="F90" s="8"/>
      <c r="G90" s="8"/>
      <c r="H90" s="8"/>
      <c r="I90" s="8"/>
      <c r="J90" s="8"/>
      <c r="K90" s="8"/>
      <c r="L90" s="8"/>
      <c r="M90" s="62" cm="1">
        <f t="array" ref="M90">INDEX(tblPrices[cv_2018], MATCH(tblEnterpriseUnits[[#This Row],[Products]],tblPrices[Products],0), 0)* tblEnterpriseUnits[[#This Row],[cv_2018]]/10^6</f>
        <v>10.179322660481159</v>
      </c>
      <c r="N90" s="62" cm="1">
        <f t="array" ref="N90">INDEX(tblPrices[cv_2019], MATCH(tblEnterpriseUnits[[#This Row],[Products]],tblPrices[Products],0), 0)* tblEnterpriseUnits[[#This Row],[cv_2019]]/10^6</f>
        <v>14.921991581314606</v>
      </c>
      <c r="O90" s="62" cm="1">
        <f t="array" ref="O90">INDEX(tblPrices[cv_2020], MATCH(tblEnterpriseUnits[[#This Row],[Products]],tblPrices[Products],0), 0)* tblEnterpriseUnits[[#This Row],[cv_2020]]/10^6</f>
        <v>0</v>
      </c>
      <c r="P90" s="62" cm="1">
        <f t="array" ref="P90">INDEX(tblPrices[cv_2021], MATCH(tblEnterpriseUnits[[#This Row],[Products]],tblPrices[Products],0), 0)* tblEnterpriseUnits[[#This Row],[cv_2021]]/10^6</f>
        <v>0</v>
      </c>
      <c r="Q90" s="62" cm="1">
        <f t="array" ref="Q90">INDEX(tblPrices[cv_2022], MATCH(tblEnterpriseUnits[[#This Row],[Products]],tblPrices[Products],0), 0)* tblEnterpriseUnits[[#This Row],[cv_2022]]/10^6</f>
        <v>0</v>
      </c>
      <c r="R90" s="62" cm="1">
        <f t="array" ref="R90">INDEX(tblPrices[cv_2023], MATCH(tblEnterpriseUnits[[#This Row],[Products]],tblPrices[Products],0), 0)* tblEnterpriseUnits[[#This Row],[cv_2023]]/10^6</f>
        <v>0</v>
      </c>
      <c r="S90" s="62" cm="1">
        <f t="array" ref="S90">INDEX(tblPrices[cv_2024], MATCH(tblEnterpriseUnits[[#This Row],[Products]],tblPrices[Products],0), 0)* tblEnterpriseUnits[[#This Row],[cv_2024]]/10^6</f>
        <v>0</v>
      </c>
      <c r="T90" s="62" cm="1">
        <f t="array" ref="T90">INDEX(tblPrices[cv_2025], MATCH(tblEnterpriseUnits[[#This Row],[Products]],tblPrices[Products],0), 0)* tblEnterpriseUnits[[#This Row],[cv_2025]]/10^6</f>
        <v>0</v>
      </c>
      <c r="U90" s="62" cm="1">
        <f t="array" ref="U90">INDEX(tblPrices[cv_2026], MATCH(tblEnterpriseUnits[[#This Row],[Products]],tblPrices[Products],0), 0)* tblEnterpriseUnits[[#This Row],[cv_2026]]/10^6</f>
        <v>0</v>
      </c>
      <c r="V90" s="62" cm="1">
        <f t="array" ref="V90">INDEX(tblPrices[cv_2027], MATCH(tblEnterpriseUnits[[#This Row],[Products]],tblPrices[Products],0), 0)* tblEnterpriseUnits[[#This Row],[cv_2027]]/10^6</f>
        <v>0</v>
      </c>
      <c r="W90" s="62" cm="1">
        <f t="array" ref="W90">INDEX(tblPrices[cv_2028], MATCH(tblEnterpriseUnits[[#This Row],[Products]],tblPrices[Products],0), 0)* tblEnterpriseUnits[[#This Row],[cv_2028]]/10^6</f>
        <v>0</v>
      </c>
      <c r="X90" s="1">
        <f>VLOOKUP(A90,Products!$A$29:$F$110,6,FALSE)</f>
        <v>10</v>
      </c>
    </row>
    <row r="91" spans="1:24">
      <c r="A91" s="15" t="s">
        <v>198</v>
      </c>
      <c r="B91" s="8">
        <v>6894.7199999999993</v>
      </c>
      <c r="C91" s="8">
        <v>7338.9800000000014</v>
      </c>
      <c r="D91" s="8"/>
      <c r="E91" s="8"/>
      <c r="F91" s="8"/>
      <c r="G91" s="8"/>
      <c r="H91" s="8"/>
      <c r="I91" s="8"/>
      <c r="J91" s="8"/>
      <c r="K91" s="8"/>
      <c r="L91" s="8"/>
      <c r="M91" s="62" cm="1">
        <f t="array" ref="M91">INDEX(tblPrices[cv_2018], MATCH(tblEnterpriseUnits[[#This Row],[Products]],tblPrices[Products],0), 0)* tblEnterpriseUnits[[#This Row],[cv_2018]]/10^6</f>
        <v>1.5582067199999998</v>
      </c>
      <c r="N91" s="62" cm="1">
        <f t="array" ref="N91">INDEX(tblPrices[cv_2019], MATCH(tblEnterpriseUnits[[#This Row],[Products]],tblPrices[Products],0), 0)* tblEnterpriseUnits[[#This Row],[cv_2019]]/10^6</f>
        <v>1.2976829800000003</v>
      </c>
      <c r="O91" s="62" cm="1">
        <f t="array" ref="O91">INDEX(tblPrices[cv_2020], MATCH(tblEnterpriseUnits[[#This Row],[Products]],tblPrices[Products],0), 0)* tblEnterpriseUnits[[#This Row],[cv_2020]]/10^6</f>
        <v>0</v>
      </c>
      <c r="P91" s="62" cm="1">
        <f t="array" ref="P91">INDEX(tblPrices[cv_2021], MATCH(tblEnterpriseUnits[[#This Row],[Products]],tblPrices[Products],0), 0)* tblEnterpriseUnits[[#This Row],[cv_2021]]/10^6</f>
        <v>0</v>
      </c>
      <c r="Q91" s="62" cm="1">
        <f t="array" ref="Q91">INDEX(tblPrices[cv_2022], MATCH(tblEnterpriseUnits[[#This Row],[Products]],tblPrices[Products],0), 0)* tblEnterpriseUnits[[#This Row],[cv_2022]]/10^6</f>
        <v>0</v>
      </c>
      <c r="R91" s="62" cm="1">
        <f t="array" ref="R91">INDEX(tblPrices[cv_2023], MATCH(tblEnterpriseUnits[[#This Row],[Products]],tblPrices[Products],0), 0)* tblEnterpriseUnits[[#This Row],[cv_2023]]/10^6</f>
        <v>0</v>
      </c>
      <c r="S91" s="62" cm="1">
        <f t="array" ref="S91">INDEX(tblPrices[cv_2024], MATCH(tblEnterpriseUnits[[#This Row],[Products]],tblPrices[Products],0), 0)* tblEnterpriseUnits[[#This Row],[cv_2024]]/10^6</f>
        <v>0</v>
      </c>
      <c r="T91" s="62" cm="1">
        <f t="array" ref="T91">INDEX(tblPrices[cv_2025], MATCH(tblEnterpriseUnits[[#This Row],[Products]],tblPrices[Products],0), 0)* tblEnterpriseUnits[[#This Row],[cv_2025]]/10^6</f>
        <v>0</v>
      </c>
      <c r="U91" s="62" cm="1">
        <f t="array" ref="U91">INDEX(tblPrices[cv_2026], MATCH(tblEnterpriseUnits[[#This Row],[Products]],tblPrices[Products],0), 0)* tblEnterpriseUnits[[#This Row],[cv_2026]]/10^6</f>
        <v>0</v>
      </c>
      <c r="V91" s="62" cm="1">
        <f t="array" ref="V91">INDEX(tblPrices[cv_2027], MATCH(tblEnterpriseUnits[[#This Row],[Products]],tblPrices[Products],0), 0)* tblEnterpriseUnits[[#This Row],[cv_2027]]/10^6</f>
        <v>0</v>
      </c>
      <c r="W91" s="62" cm="1">
        <f t="array" ref="W91">INDEX(tblPrices[cv_2028], MATCH(tblEnterpriseUnits[[#This Row],[Products]],tblPrices[Products],0), 0)* tblEnterpriseUnits[[#This Row],[cv_2028]]/10^6</f>
        <v>0</v>
      </c>
      <c r="X91" s="1">
        <f>VLOOKUP(A91,Products!$A$29:$F$110,6,FALSE)</f>
        <v>2.5</v>
      </c>
    </row>
    <row r="92" spans="1:24">
      <c r="A92" s="15" t="s">
        <v>21</v>
      </c>
      <c r="B92" s="8">
        <v>73281.440000000002</v>
      </c>
      <c r="C92" s="8">
        <v>93422.494706457263</v>
      </c>
      <c r="D92" s="8"/>
      <c r="E92" s="8"/>
      <c r="F92" s="8"/>
      <c r="G92" s="8"/>
      <c r="H92" s="8"/>
      <c r="I92" s="8"/>
      <c r="J92" s="8"/>
      <c r="K92" s="8"/>
      <c r="L92" s="8"/>
      <c r="M92" s="62" cm="1">
        <f t="array" ref="M92">INDEX(tblPrices[cv_2018], MATCH(tblEnterpriseUnits[[#This Row],[Products]],tblPrices[Products],0), 0)* tblEnterpriseUnits[[#This Row],[cv_2018]]/10^6</f>
        <v>35.107247575786886</v>
      </c>
      <c r="N92" s="62" cm="1">
        <f t="array" ref="N92">INDEX(tblPrices[cv_2019], MATCH(tblEnterpriseUnits[[#This Row],[Products]],tblPrices[Products],0), 0)* tblEnterpriseUnits[[#This Row],[cv_2019]]/10^6</f>
        <v>36.587131060198949</v>
      </c>
      <c r="O92" s="62" cm="1">
        <f t="array" ref="O92">INDEX(tblPrices[cv_2020], MATCH(tblEnterpriseUnits[[#This Row],[Products]],tblPrices[Products],0), 0)* tblEnterpriseUnits[[#This Row],[cv_2020]]/10^6</f>
        <v>0</v>
      </c>
      <c r="P92" s="62" cm="1">
        <f t="array" ref="P92">INDEX(tblPrices[cv_2021], MATCH(tblEnterpriseUnits[[#This Row],[Products]],tblPrices[Products],0), 0)* tblEnterpriseUnits[[#This Row],[cv_2021]]/10^6</f>
        <v>0</v>
      </c>
      <c r="Q92" s="62" cm="1">
        <f t="array" ref="Q92">INDEX(tblPrices[cv_2022], MATCH(tblEnterpriseUnits[[#This Row],[Products]],tblPrices[Products],0), 0)* tblEnterpriseUnits[[#This Row],[cv_2022]]/10^6</f>
        <v>0</v>
      </c>
      <c r="R92" s="62" cm="1">
        <f t="array" ref="R92">INDEX(tblPrices[cv_2023], MATCH(tblEnterpriseUnits[[#This Row],[Products]],tblPrices[Products],0), 0)* tblEnterpriseUnits[[#This Row],[cv_2023]]/10^6</f>
        <v>0</v>
      </c>
      <c r="S92" s="62" cm="1">
        <f t="array" ref="S92">INDEX(tblPrices[cv_2024], MATCH(tblEnterpriseUnits[[#This Row],[Products]],tblPrices[Products],0), 0)* tblEnterpriseUnits[[#This Row],[cv_2024]]/10^6</f>
        <v>0</v>
      </c>
      <c r="T92" s="62" cm="1">
        <f t="array" ref="T92">INDEX(tblPrices[cv_2025], MATCH(tblEnterpriseUnits[[#This Row],[Products]],tblPrices[Products],0), 0)* tblEnterpriseUnits[[#This Row],[cv_2025]]/10^6</f>
        <v>0</v>
      </c>
      <c r="U92" s="62" cm="1">
        <f t="array" ref="U92">INDEX(tblPrices[cv_2026], MATCH(tblEnterpriseUnits[[#This Row],[Products]],tblPrices[Products],0), 0)* tblEnterpriseUnits[[#This Row],[cv_2026]]/10^6</f>
        <v>0</v>
      </c>
      <c r="V92" s="62" cm="1">
        <f t="array" ref="V92">INDEX(tblPrices[cv_2027], MATCH(tblEnterpriseUnits[[#This Row],[Products]],tblPrices[Products],0), 0)* tblEnterpriseUnits[[#This Row],[cv_2027]]/10^6</f>
        <v>0</v>
      </c>
      <c r="W92" s="62" cm="1">
        <f t="array" ref="W92">INDEX(tblPrices[cv_2028], MATCH(tblEnterpriseUnits[[#This Row],[Products]],tblPrices[Products],0), 0)* tblEnterpriseUnits[[#This Row],[cv_2028]]/10^6</f>
        <v>0</v>
      </c>
      <c r="X92" s="1">
        <f>VLOOKUP(A92,Products!$A$29:$F$110,6,FALSE)</f>
        <v>10</v>
      </c>
    </row>
    <row r="93" spans="1:24">
      <c r="A93" s="15" t="s">
        <v>22</v>
      </c>
      <c r="B93" s="8">
        <v>0</v>
      </c>
      <c r="C93" s="8">
        <v>0</v>
      </c>
      <c r="D93" s="8"/>
      <c r="E93" s="8"/>
      <c r="F93" s="8"/>
      <c r="G93" s="8"/>
      <c r="H93" s="8"/>
      <c r="I93" s="8"/>
      <c r="J93" s="8"/>
      <c r="K93" s="8"/>
      <c r="L93" s="8"/>
      <c r="M93" s="62" cm="1">
        <f t="array" ref="M93">INDEX(tblPrices[cv_2018], MATCH(tblEnterpriseUnits[[#This Row],[Products]],tblPrices[Products],0), 0)* tblEnterpriseUnits[[#This Row],[cv_2018]]/10^6</f>
        <v>0</v>
      </c>
      <c r="N93" s="62" cm="1">
        <f t="array" ref="N93">INDEX(tblPrices[cv_2019], MATCH(tblEnterpriseUnits[[#This Row],[Products]],tblPrices[Products],0), 0)* tblEnterpriseUnits[[#This Row],[cv_2019]]/10^6</f>
        <v>0</v>
      </c>
      <c r="O93" s="62" cm="1">
        <f t="array" ref="O93">INDEX(tblPrices[cv_2020], MATCH(tblEnterpriseUnits[[#This Row],[Products]],tblPrices[Products],0), 0)* tblEnterpriseUnits[[#This Row],[cv_2020]]/10^6</f>
        <v>0</v>
      </c>
      <c r="P93" s="62" cm="1">
        <f t="array" ref="P93">INDEX(tblPrices[cv_2021], MATCH(tblEnterpriseUnits[[#This Row],[Products]],tblPrices[Products],0), 0)* tblEnterpriseUnits[[#This Row],[cv_2021]]/10^6</f>
        <v>0</v>
      </c>
      <c r="Q93" s="62" cm="1">
        <f t="array" ref="Q93">INDEX(tblPrices[cv_2022], MATCH(tblEnterpriseUnits[[#This Row],[Products]],tblPrices[Products],0), 0)* tblEnterpriseUnits[[#This Row],[cv_2022]]/10^6</f>
        <v>0</v>
      </c>
      <c r="R93" s="62" cm="1">
        <f t="array" ref="R93">INDEX(tblPrices[cv_2023], MATCH(tblEnterpriseUnits[[#This Row],[Products]],tblPrices[Products],0), 0)* tblEnterpriseUnits[[#This Row],[cv_2023]]/10^6</f>
        <v>0</v>
      </c>
      <c r="S93" s="62" cm="1">
        <f t="array" ref="S93">INDEX(tblPrices[cv_2024], MATCH(tblEnterpriseUnits[[#This Row],[Products]],tblPrices[Products],0), 0)* tblEnterpriseUnits[[#This Row],[cv_2024]]/10^6</f>
        <v>0</v>
      </c>
      <c r="T93" s="62" cm="1">
        <f t="array" ref="T93">INDEX(tblPrices[cv_2025], MATCH(tblEnterpriseUnits[[#This Row],[Products]],tblPrices[Products],0), 0)* tblEnterpriseUnits[[#This Row],[cv_2025]]/10^6</f>
        <v>0</v>
      </c>
      <c r="U93" s="62" cm="1">
        <f t="array" ref="U93">INDEX(tblPrices[cv_2026], MATCH(tblEnterpriseUnits[[#This Row],[Products]],tblPrices[Products],0), 0)* tblEnterpriseUnits[[#This Row],[cv_2026]]/10^6</f>
        <v>0</v>
      </c>
      <c r="V93" s="62" cm="1">
        <f t="array" ref="V93">INDEX(tblPrices[cv_2027], MATCH(tblEnterpriseUnits[[#This Row],[Products]],tblPrices[Products],0), 0)* tblEnterpriseUnits[[#This Row],[cv_2027]]/10^6</f>
        <v>0</v>
      </c>
      <c r="W93" s="62" cm="1">
        <f t="array" ref="W93">INDEX(tblPrices[cv_2028], MATCH(tblEnterpriseUnits[[#This Row],[Products]],tblPrices[Products],0), 0)* tblEnterpriseUnits[[#This Row],[cv_2028]]/10^6</f>
        <v>0</v>
      </c>
      <c r="X93" s="1">
        <f>VLOOKUP(A93,Products!$A$29:$F$110,6,FALSE)</f>
        <v>40</v>
      </c>
    </row>
    <row r="94" spans="1:24">
      <c r="A94" s="15" t="s">
        <v>23</v>
      </c>
      <c r="B94" s="8">
        <v>24907.428067226898</v>
      </c>
      <c r="C94" s="8">
        <v>10080.922173913035</v>
      </c>
      <c r="D94" s="8"/>
      <c r="E94" s="8"/>
      <c r="F94" s="8"/>
      <c r="G94" s="8"/>
      <c r="H94" s="8"/>
      <c r="I94" s="8"/>
      <c r="J94" s="8"/>
      <c r="K94" s="8"/>
      <c r="L94" s="8"/>
      <c r="M94" s="62" cm="1">
        <f t="array" ref="M94">INDEX(tblPrices[cv_2018], MATCH(tblEnterpriseUnits[[#This Row],[Products]],tblPrices[Products],0), 0)* tblEnterpriseUnits[[#This Row],[cv_2018]]/10^6</f>
        <v>199.25942453781519</v>
      </c>
      <c r="N94" s="62" cm="1">
        <f t="array" ref="N94">INDEX(tblPrices[cv_2019], MATCH(tblEnterpriseUnits[[#This Row],[Products]],tblPrices[Products],0), 0)* tblEnterpriseUnits[[#This Row],[cv_2019]]/10^6</f>
        <v>64.517901913043431</v>
      </c>
      <c r="O94" s="62" cm="1">
        <f t="array" ref="O94">INDEX(tblPrices[cv_2020], MATCH(tblEnterpriseUnits[[#This Row],[Products]],tblPrices[Products],0), 0)* tblEnterpriseUnits[[#This Row],[cv_2020]]/10^6</f>
        <v>0</v>
      </c>
      <c r="P94" s="62" cm="1">
        <f t="array" ref="P94">INDEX(tblPrices[cv_2021], MATCH(tblEnterpriseUnits[[#This Row],[Products]],tblPrices[Products],0), 0)* tblEnterpriseUnits[[#This Row],[cv_2021]]/10^6</f>
        <v>0</v>
      </c>
      <c r="Q94" s="62" cm="1">
        <f t="array" ref="Q94">INDEX(tblPrices[cv_2022], MATCH(tblEnterpriseUnits[[#This Row],[Products]],tblPrices[Products],0), 0)* tblEnterpriseUnits[[#This Row],[cv_2022]]/10^6</f>
        <v>0</v>
      </c>
      <c r="R94" s="62" cm="1">
        <f t="array" ref="R94">INDEX(tblPrices[cv_2023], MATCH(tblEnterpriseUnits[[#This Row],[Products]],tblPrices[Products],0), 0)* tblEnterpriseUnits[[#This Row],[cv_2023]]/10^6</f>
        <v>0</v>
      </c>
      <c r="S94" s="62" cm="1">
        <f t="array" ref="S94">INDEX(tblPrices[cv_2024], MATCH(tblEnterpriseUnits[[#This Row],[Products]],tblPrices[Products],0), 0)* tblEnterpriseUnits[[#This Row],[cv_2024]]/10^6</f>
        <v>0</v>
      </c>
      <c r="T94" s="62" cm="1">
        <f t="array" ref="T94">INDEX(tblPrices[cv_2025], MATCH(tblEnterpriseUnits[[#This Row],[Products]],tblPrices[Products],0), 0)* tblEnterpriseUnits[[#This Row],[cv_2025]]/10^6</f>
        <v>0</v>
      </c>
      <c r="U94" s="62" cm="1">
        <f t="array" ref="U94">INDEX(tblPrices[cv_2026], MATCH(tblEnterpriseUnits[[#This Row],[Products]],tblPrices[Products],0), 0)* tblEnterpriseUnits[[#This Row],[cv_2026]]/10^6</f>
        <v>0</v>
      </c>
      <c r="V94" s="62" cm="1">
        <f t="array" ref="V94">INDEX(tblPrices[cv_2027], MATCH(tblEnterpriseUnits[[#This Row],[Products]],tblPrices[Products],0), 0)* tblEnterpriseUnits[[#This Row],[cv_2027]]/10^6</f>
        <v>0</v>
      </c>
      <c r="W94" s="62" cm="1">
        <f t="array" ref="W94">INDEX(tblPrices[cv_2028], MATCH(tblEnterpriseUnits[[#This Row],[Products]],tblPrices[Products],0), 0)* tblEnterpriseUnits[[#This Row],[cv_2028]]/10^6</f>
        <v>0</v>
      </c>
      <c r="X94" s="1">
        <f>VLOOKUP(A94,Products!$A$29:$F$110,6,FALSE)</f>
        <v>100</v>
      </c>
    </row>
    <row r="95" spans="1:24">
      <c r="A95" s="15" t="s">
        <v>24</v>
      </c>
      <c r="B95" s="8">
        <v>0</v>
      </c>
      <c r="C95" s="8">
        <v>0</v>
      </c>
      <c r="D95" s="8"/>
      <c r="E95" s="8"/>
      <c r="F95" s="8"/>
      <c r="G95" s="8"/>
      <c r="H95" s="8"/>
      <c r="I95" s="8"/>
      <c r="J95" s="8"/>
      <c r="K95" s="8"/>
      <c r="L95" s="8"/>
      <c r="M95" s="62" cm="1">
        <f t="array" ref="M95">INDEX(tblPrices[cv_2018], MATCH(tblEnterpriseUnits[[#This Row],[Products]],tblPrices[Products],0), 0)* tblEnterpriseUnits[[#This Row],[cv_2018]]/10^6</f>
        <v>0</v>
      </c>
      <c r="N95" s="62" cm="1">
        <f t="array" ref="N95">INDEX(tblPrices[cv_2019], MATCH(tblEnterpriseUnits[[#This Row],[Products]],tblPrices[Products],0), 0)* tblEnterpriseUnits[[#This Row],[cv_2019]]/10^6</f>
        <v>0</v>
      </c>
      <c r="O95" s="62" cm="1">
        <f t="array" ref="O95">INDEX(tblPrices[cv_2020], MATCH(tblEnterpriseUnits[[#This Row],[Products]],tblPrices[Products],0), 0)* tblEnterpriseUnits[[#This Row],[cv_2020]]/10^6</f>
        <v>0</v>
      </c>
      <c r="P95" s="62" cm="1">
        <f t="array" ref="P95">INDEX(tblPrices[cv_2021], MATCH(tblEnterpriseUnits[[#This Row],[Products]],tblPrices[Products],0), 0)* tblEnterpriseUnits[[#This Row],[cv_2021]]/10^6</f>
        <v>0</v>
      </c>
      <c r="Q95" s="62" cm="1">
        <f t="array" ref="Q95">INDEX(tblPrices[cv_2022], MATCH(tblEnterpriseUnits[[#This Row],[Products]],tblPrices[Products],0), 0)* tblEnterpriseUnits[[#This Row],[cv_2022]]/10^6</f>
        <v>0</v>
      </c>
      <c r="R95" s="62" cm="1">
        <f t="array" ref="R95">INDEX(tblPrices[cv_2023], MATCH(tblEnterpriseUnits[[#This Row],[Products]],tblPrices[Products],0), 0)* tblEnterpriseUnits[[#This Row],[cv_2023]]/10^6</f>
        <v>0</v>
      </c>
      <c r="S95" s="62" cm="1">
        <f t="array" ref="S95">INDEX(tblPrices[cv_2024], MATCH(tblEnterpriseUnits[[#This Row],[Products]],tblPrices[Products],0), 0)* tblEnterpriseUnits[[#This Row],[cv_2024]]/10^6</f>
        <v>0</v>
      </c>
      <c r="T95" s="62" cm="1">
        <f t="array" ref="T95">INDEX(tblPrices[cv_2025], MATCH(tblEnterpriseUnits[[#This Row],[Products]],tblPrices[Products],0), 0)* tblEnterpriseUnits[[#This Row],[cv_2025]]/10^6</f>
        <v>0</v>
      </c>
      <c r="U95" s="62" cm="1">
        <f t="array" ref="U95">INDEX(tblPrices[cv_2026], MATCH(tblEnterpriseUnits[[#This Row],[Products]],tblPrices[Products],0), 0)* tblEnterpriseUnits[[#This Row],[cv_2026]]/10^6</f>
        <v>0</v>
      </c>
      <c r="V95" s="62" cm="1">
        <f t="array" ref="V95">INDEX(tblPrices[cv_2027], MATCH(tblEnterpriseUnits[[#This Row],[Products]],tblPrices[Products],0), 0)* tblEnterpriseUnits[[#This Row],[cv_2027]]/10^6</f>
        <v>0</v>
      </c>
      <c r="W95" s="62" cm="1">
        <f t="array" ref="W95">INDEX(tblPrices[cv_2028], MATCH(tblEnterpriseUnits[[#This Row],[Products]],tblPrices[Products],0), 0)* tblEnterpriseUnits[[#This Row],[cv_2028]]/10^6</f>
        <v>0</v>
      </c>
      <c r="X95" s="1">
        <f>VLOOKUP(A95,Products!$A$29:$F$110,6,FALSE)</f>
        <v>100</v>
      </c>
    </row>
    <row r="96" spans="1:24">
      <c r="A96" s="15" t="s">
        <v>25</v>
      </c>
      <c r="B96" s="8">
        <v>3660.862885154063</v>
      </c>
      <c r="C96" s="8">
        <v>3522.3208695652143</v>
      </c>
      <c r="D96" s="8"/>
      <c r="E96" s="8"/>
      <c r="F96" s="8"/>
      <c r="G96" s="8"/>
      <c r="H96" s="8"/>
      <c r="I96" s="8"/>
      <c r="J96" s="8"/>
      <c r="K96" s="8"/>
      <c r="L96" s="8"/>
      <c r="M96" s="62" cm="1">
        <f t="array" ref="M96">INDEX(tblPrices[cv_2018], MATCH(tblEnterpriseUnits[[#This Row],[Products]],tblPrices[Products],0), 0)* tblEnterpriseUnits[[#This Row],[cv_2018]]/10^6</f>
        <v>20.134745868347348</v>
      </c>
      <c r="N96" s="62" cm="1">
        <f t="array" ref="N96">INDEX(tblPrices[cv_2019], MATCH(tblEnterpriseUnits[[#This Row],[Products]],tblPrices[Products],0), 0)* tblEnterpriseUnits[[#This Row],[cv_2019]]/10^6</f>
        <v>15.498211826086942</v>
      </c>
      <c r="O96" s="62" cm="1">
        <f t="array" ref="O96">INDEX(tblPrices[cv_2020], MATCH(tblEnterpriseUnits[[#This Row],[Products]],tblPrices[Products],0), 0)* tblEnterpriseUnits[[#This Row],[cv_2020]]/10^6</f>
        <v>0</v>
      </c>
      <c r="P96" s="62" cm="1">
        <f t="array" ref="P96">INDEX(tblPrices[cv_2021], MATCH(tblEnterpriseUnits[[#This Row],[Products]],tblPrices[Products],0), 0)* tblEnterpriseUnits[[#This Row],[cv_2021]]/10^6</f>
        <v>0</v>
      </c>
      <c r="Q96" s="62" cm="1">
        <f t="array" ref="Q96">INDEX(tblPrices[cv_2022], MATCH(tblEnterpriseUnits[[#This Row],[Products]],tblPrices[Products],0), 0)* tblEnterpriseUnits[[#This Row],[cv_2022]]/10^6</f>
        <v>0</v>
      </c>
      <c r="R96" s="62" cm="1">
        <f t="array" ref="R96">INDEX(tblPrices[cv_2023], MATCH(tblEnterpriseUnits[[#This Row],[Products]],tblPrices[Products],0), 0)* tblEnterpriseUnits[[#This Row],[cv_2023]]/10^6</f>
        <v>0</v>
      </c>
      <c r="S96" s="62" cm="1">
        <f t="array" ref="S96">INDEX(tblPrices[cv_2024], MATCH(tblEnterpriseUnits[[#This Row],[Products]],tblPrices[Products],0), 0)* tblEnterpriseUnits[[#This Row],[cv_2024]]/10^6</f>
        <v>0</v>
      </c>
      <c r="T96" s="62" cm="1">
        <f t="array" ref="T96">INDEX(tblPrices[cv_2025], MATCH(tblEnterpriseUnits[[#This Row],[Products]],tblPrices[Products],0), 0)* tblEnterpriseUnits[[#This Row],[cv_2025]]/10^6</f>
        <v>0</v>
      </c>
      <c r="U96" s="62" cm="1">
        <f t="array" ref="U96">INDEX(tblPrices[cv_2026], MATCH(tblEnterpriseUnits[[#This Row],[Products]],tblPrices[Products],0), 0)* tblEnterpriseUnits[[#This Row],[cv_2026]]/10^6</f>
        <v>0</v>
      </c>
      <c r="V96" s="62" cm="1">
        <f t="array" ref="V96">INDEX(tblPrices[cv_2027], MATCH(tblEnterpriseUnits[[#This Row],[Products]],tblPrices[Products],0), 0)* tblEnterpriseUnits[[#This Row],[cv_2027]]/10^6</f>
        <v>0</v>
      </c>
      <c r="W96" s="62" cm="1">
        <f t="array" ref="W96">INDEX(tblPrices[cv_2028], MATCH(tblEnterpriseUnits[[#This Row],[Products]],tblPrices[Products],0), 0)* tblEnterpriseUnits[[#This Row],[cv_2028]]/10^6</f>
        <v>0</v>
      </c>
      <c r="X96" s="1">
        <f>VLOOKUP(A96,Products!$A$29:$F$110,6,FALSE)</f>
        <v>100</v>
      </c>
    </row>
    <row r="97" spans="1:24">
      <c r="A97" s="15" t="s">
        <v>26</v>
      </c>
      <c r="B97" s="8">
        <v>0</v>
      </c>
      <c r="C97" s="8">
        <v>0</v>
      </c>
      <c r="D97" s="8"/>
      <c r="E97" s="8"/>
      <c r="F97" s="8"/>
      <c r="G97" s="8"/>
      <c r="H97" s="8"/>
      <c r="I97" s="8"/>
      <c r="J97" s="8"/>
      <c r="K97" s="8"/>
      <c r="L97" s="8"/>
      <c r="M97" s="62" cm="1">
        <f t="array" ref="M97">INDEX(tblPrices[cv_2018], MATCH(tblEnterpriseUnits[[#This Row],[Products]],tblPrices[Products],0), 0)* tblEnterpriseUnits[[#This Row],[cv_2018]]/10^6</f>
        <v>0</v>
      </c>
      <c r="N97" s="62" cm="1">
        <f t="array" ref="N97">INDEX(tblPrices[cv_2019], MATCH(tblEnterpriseUnits[[#This Row],[Products]],tblPrices[Products],0), 0)* tblEnterpriseUnits[[#This Row],[cv_2019]]/10^6</f>
        <v>0</v>
      </c>
      <c r="O97" s="62" cm="1">
        <f t="array" ref="O97">INDEX(tblPrices[cv_2020], MATCH(tblEnterpriseUnits[[#This Row],[Products]],tblPrices[Products],0), 0)* tblEnterpriseUnits[[#This Row],[cv_2020]]/10^6</f>
        <v>0</v>
      </c>
      <c r="P97" s="62" cm="1">
        <f t="array" ref="P97">INDEX(tblPrices[cv_2021], MATCH(tblEnterpriseUnits[[#This Row],[Products]],tblPrices[Products],0), 0)* tblEnterpriseUnits[[#This Row],[cv_2021]]/10^6</f>
        <v>0</v>
      </c>
      <c r="Q97" s="62" cm="1">
        <f t="array" ref="Q97">INDEX(tblPrices[cv_2022], MATCH(tblEnterpriseUnits[[#This Row],[Products]],tblPrices[Products],0), 0)* tblEnterpriseUnits[[#This Row],[cv_2022]]/10^6</f>
        <v>0</v>
      </c>
      <c r="R97" s="62" cm="1">
        <f t="array" ref="R97">INDEX(tblPrices[cv_2023], MATCH(tblEnterpriseUnits[[#This Row],[Products]],tblPrices[Products],0), 0)* tblEnterpriseUnits[[#This Row],[cv_2023]]/10^6</f>
        <v>0</v>
      </c>
      <c r="S97" s="62" cm="1">
        <f t="array" ref="S97">INDEX(tblPrices[cv_2024], MATCH(tblEnterpriseUnits[[#This Row],[Products]],tblPrices[Products],0), 0)* tblEnterpriseUnits[[#This Row],[cv_2024]]/10^6</f>
        <v>0</v>
      </c>
      <c r="T97" s="62" cm="1">
        <f t="array" ref="T97">INDEX(tblPrices[cv_2025], MATCH(tblEnterpriseUnits[[#This Row],[Products]],tblPrices[Products],0), 0)* tblEnterpriseUnits[[#This Row],[cv_2025]]/10^6</f>
        <v>0</v>
      </c>
      <c r="U97" s="62" cm="1">
        <f t="array" ref="U97">INDEX(tblPrices[cv_2026], MATCH(tblEnterpriseUnits[[#This Row],[Products]],tblPrices[Products],0), 0)* tblEnterpriseUnits[[#This Row],[cv_2026]]/10^6</f>
        <v>0</v>
      </c>
      <c r="V97" s="62" cm="1">
        <f t="array" ref="V97">INDEX(tblPrices[cv_2027], MATCH(tblEnterpriseUnits[[#This Row],[Products]],tblPrices[Products],0), 0)* tblEnterpriseUnits[[#This Row],[cv_2027]]/10^6</f>
        <v>0</v>
      </c>
      <c r="W97" s="62" cm="1">
        <f t="array" ref="W97">INDEX(tblPrices[cv_2028], MATCH(tblEnterpriseUnits[[#This Row],[Products]],tblPrices[Products],0), 0)* tblEnterpriseUnits[[#This Row],[cv_2028]]/10^6</f>
        <v>0</v>
      </c>
      <c r="X97" s="1">
        <f>VLOOKUP(A97,Products!$A$29:$F$110,6,FALSE)</f>
        <v>100</v>
      </c>
    </row>
    <row r="98" spans="1:24">
      <c r="A98" s="15" t="s">
        <v>27</v>
      </c>
      <c r="B98" s="8">
        <v>0</v>
      </c>
      <c r="C98" s="8">
        <v>0</v>
      </c>
      <c r="D98" s="8"/>
      <c r="E98" s="8"/>
      <c r="F98" s="8"/>
      <c r="G98" s="8"/>
      <c r="H98" s="8"/>
      <c r="I98" s="8"/>
      <c r="J98" s="8"/>
      <c r="K98" s="8"/>
      <c r="L98" s="8"/>
      <c r="M98" s="62" cm="1">
        <f t="array" ref="M98">INDEX(tblPrices[cv_2018], MATCH(tblEnterpriseUnits[[#This Row],[Products]],tblPrices[Products],0), 0)* tblEnterpriseUnits[[#This Row],[cv_2018]]/10^6</f>
        <v>0</v>
      </c>
      <c r="N98" s="62" cm="1">
        <f t="array" ref="N98">INDEX(tblPrices[cv_2019], MATCH(tblEnterpriseUnits[[#This Row],[Products]],tblPrices[Products],0), 0)* tblEnterpriseUnits[[#This Row],[cv_2019]]/10^6</f>
        <v>0</v>
      </c>
      <c r="O98" s="62" cm="1">
        <f t="array" ref="O98">INDEX(tblPrices[cv_2020], MATCH(tblEnterpriseUnits[[#This Row],[Products]],tblPrices[Products],0), 0)* tblEnterpriseUnits[[#This Row],[cv_2020]]/10^6</f>
        <v>0</v>
      </c>
      <c r="P98" s="62" cm="1">
        <f t="array" ref="P98">INDEX(tblPrices[cv_2021], MATCH(tblEnterpriseUnits[[#This Row],[Products]],tblPrices[Products],0), 0)* tblEnterpriseUnits[[#This Row],[cv_2021]]/10^6</f>
        <v>0</v>
      </c>
      <c r="Q98" s="62" cm="1">
        <f t="array" ref="Q98">INDEX(tblPrices[cv_2022], MATCH(tblEnterpriseUnits[[#This Row],[Products]],tblPrices[Products],0), 0)* tblEnterpriseUnits[[#This Row],[cv_2022]]/10^6</f>
        <v>0</v>
      </c>
      <c r="R98" s="62" cm="1">
        <f t="array" ref="R98">INDEX(tblPrices[cv_2023], MATCH(tblEnterpriseUnits[[#This Row],[Products]],tblPrices[Products],0), 0)* tblEnterpriseUnits[[#This Row],[cv_2023]]/10^6</f>
        <v>0</v>
      </c>
      <c r="S98" s="62" cm="1">
        <f t="array" ref="S98">INDEX(tblPrices[cv_2024], MATCH(tblEnterpriseUnits[[#This Row],[Products]],tblPrices[Products],0), 0)* tblEnterpriseUnits[[#This Row],[cv_2024]]/10^6</f>
        <v>0</v>
      </c>
      <c r="T98" s="62" cm="1">
        <f t="array" ref="T98">INDEX(tblPrices[cv_2025], MATCH(tblEnterpriseUnits[[#This Row],[Products]],tblPrices[Products],0), 0)* tblEnterpriseUnits[[#This Row],[cv_2025]]/10^6</f>
        <v>0</v>
      </c>
      <c r="U98" s="62" cm="1">
        <f t="array" ref="U98">INDEX(tblPrices[cv_2026], MATCH(tblEnterpriseUnits[[#This Row],[Products]],tblPrices[Products],0), 0)* tblEnterpriseUnits[[#This Row],[cv_2026]]/10^6</f>
        <v>0</v>
      </c>
      <c r="V98" s="62" cm="1">
        <f t="array" ref="V98">INDEX(tblPrices[cv_2027], MATCH(tblEnterpriseUnits[[#This Row],[Products]],tblPrices[Products],0), 0)* tblEnterpriseUnits[[#This Row],[cv_2027]]/10^6</f>
        <v>0</v>
      </c>
      <c r="W98" s="62" cm="1">
        <f t="array" ref="W98">INDEX(tblPrices[cv_2028], MATCH(tblEnterpriseUnits[[#This Row],[Products]],tblPrices[Products],0), 0)* tblEnterpriseUnits[[#This Row],[cv_2028]]/10^6</f>
        <v>0</v>
      </c>
      <c r="X98" s="1">
        <f>VLOOKUP(A98,Products!$A$29:$F$110,6,FALSE)</f>
        <v>100</v>
      </c>
    </row>
    <row r="99" spans="1:24">
      <c r="A99" s="15" t="s">
        <v>28</v>
      </c>
      <c r="B99" s="8">
        <v>2395.1475409836094</v>
      </c>
      <c r="C99" s="8">
        <v>2855.1060000000025</v>
      </c>
      <c r="D99" s="8"/>
      <c r="E99" s="8"/>
      <c r="F99" s="8"/>
      <c r="G99" s="8"/>
      <c r="H99" s="8"/>
      <c r="I99" s="8"/>
      <c r="J99" s="8"/>
      <c r="K99" s="8"/>
      <c r="L99" s="8"/>
      <c r="M99" s="62" cm="1">
        <f t="array" ref="M99">INDEX(tblPrices[cv_2018], MATCH(tblEnterpriseUnits[[#This Row],[Products]],tblPrices[Products],0), 0)* tblEnterpriseUnits[[#This Row],[cv_2018]]/10^6</f>
        <v>20.903105812220591</v>
      </c>
      <c r="N99" s="62" cm="1">
        <f t="array" ref="N99">INDEX(tblPrices[cv_2019], MATCH(tblEnterpriseUnits[[#This Row],[Products]],tblPrices[Products],0), 0)* tblEnterpriseUnits[[#This Row],[cv_2019]]/10^6</f>
        <v>19.9338309818182</v>
      </c>
      <c r="O99" s="62" cm="1">
        <f t="array" ref="O99">INDEX(tblPrices[cv_2020], MATCH(tblEnterpriseUnits[[#This Row],[Products]],tblPrices[Products],0), 0)* tblEnterpriseUnits[[#This Row],[cv_2020]]/10^6</f>
        <v>0</v>
      </c>
      <c r="P99" s="62" cm="1">
        <f t="array" ref="P99">INDEX(tblPrices[cv_2021], MATCH(tblEnterpriseUnits[[#This Row],[Products]],tblPrices[Products],0), 0)* tblEnterpriseUnits[[#This Row],[cv_2021]]/10^6</f>
        <v>0</v>
      </c>
      <c r="Q99" s="62" cm="1">
        <f t="array" ref="Q99">INDEX(tblPrices[cv_2022], MATCH(tblEnterpriseUnits[[#This Row],[Products]],tblPrices[Products],0), 0)* tblEnterpriseUnits[[#This Row],[cv_2022]]/10^6</f>
        <v>0</v>
      </c>
      <c r="R99" s="62" cm="1">
        <f t="array" ref="R99">INDEX(tblPrices[cv_2023], MATCH(tblEnterpriseUnits[[#This Row],[Products]],tblPrices[Products],0), 0)* tblEnterpriseUnits[[#This Row],[cv_2023]]/10^6</f>
        <v>0</v>
      </c>
      <c r="S99" s="62" cm="1">
        <f t="array" ref="S99">INDEX(tblPrices[cv_2024], MATCH(tblEnterpriseUnits[[#This Row],[Products]],tblPrices[Products],0), 0)* tblEnterpriseUnits[[#This Row],[cv_2024]]/10^6</f>
        <v>0</v>
      </c>
      <c r="T99" s="62" cm="1">
        <f t="array" ref="T99">INDEX(tblPrices[cv_2025], MATCH(tblEnterpriseUnits[[#This Row],[Products]],tblPrices[Products],0), 0)* tblEnterpriseUnits[[#This Row],[cv_2025]]/10^6</f>
        <v>0</v>
      </c>
      <c r="U99" s="62" cm="1">
        <f t="array" ref="U99">INDEX(tblPrices[cv_2026], MATCH(tblEnterpriseUnits[[#This Row],[Products]],tblPrices[Products],0), 0)* tblEnterpriseUnits[[#This Row],[cv_2026]]/10^6</f>
        <v>0</v>
      </c>
      <c r="V99" s="62" cm="1">
        <f t="array" ref="V99">INDEX(tblPrices[cv_2027], MATCH(tblEnterpriseUnits[[#This Row],[Products]],tblPrices[Products],0), 0)* tblEnterpriseUnits[[#This Row],[cv_2027]]/10^6</f>
        <v>0</v>
      </c>
      <c r="W99" s="62" cm="1">
        <f t="array" ref="W99">INDEX(tblPrices[cv_2028], MATCH(tblEnterpriseUnits[[#This Row],[Products]],tblPrices[Products],0), 0)* tblEnterpriseUnits[[#This Row],[cv_2028]]/10^6</f>
        <v>0</v>
      </c>
      <c r="X99" s="1">
        <f>VLOOKUP(A99,Products!$A$29:$F$110,6,FALSE)</f>
        <v>200</v>
      </c>
    </row>
    <row r="100" spans="1:24">
      <c r="A100" s="15" t="s">
        <v>29</v>
      </c>
      <c r="B100" s="8">
        <v>1008.032786885247</v>
      </c>
      <c r="C100" s="8">
        <v>2571.9900000000025</v>
      </c>
      <c r="D100" s="8"/>
      <c r="E100" s="8"/>
      <c r="F100" s="8"/>
      <c r="G100" s="8"/>
      <c r="H100" s="8"/>
      <c r="I100" s="8"/>
      <c r="J100" s="8"/>
      <c r="K100" s="8"/>
      <c r="L100" s="8"/>
      <c r="M100" s="62" cm="1">
        <f t="array" ref="M100">INDEX(tblPrices[cv_2018], MATCH(tblEnterpriseUnits[[#This Row],[Products]],tblPrices[Products],0), 0)* tblEnterpriseUnits[[#This Row],[cv_2018]]/10^6</f>
        <v>6.0481967213114816</v>
      </c>
      <c r="N100" s="62" cm="1">
        <f t="array" ref="N100">INDEX(tblPrices[cv_2019], MATCH(tblEnterpriseUnits[[#This Row],[Products]],tblPrices[Products],0), 0)* tblEnterpriseUnits[[#This Row],[cv_2019]]/10^6</f>
        <v>12.34555200000001</v>
      </c>
      <c r="O100" s="62" cm="1">
        <f t="array" ref="O100">INDEX(tblPrices[cv_2020], MATCH(tblEnterpriseUnits[[#This Row],[Products]],tblPrices[Products],0), 0)* tblEnterpriseUnits[[#This Row],[cv_2020]]/10^6</f>
        <v>0</v>
      </c>
      <c r="P100" s="62" cm="1">
        <f t="array" ref="P100">INDEX(tblPrices[cv_2021], MATCH(tblEnterpriseUnits[[#This Row],[Products]],tblPrices[Products],0), 0)* tblEnterpriseUnits[[#This Row],[cv_2021]]/10^6</f>
        <v>0</v>
      </c>
      <c r="Q100" s="62" cm="1">
        <f t="array" ref="Q100">INDEX(tblPrices[cv_2022], MATCH(tblEnterpriseUnits[[#This Row],[Products]],tblPrices[Products],0), 0)* tblEnterpriseUnits[[#This Row],[cv_2022]]/10^6</f>
        <v>0</v>
      </c>
      <c r="R100" s="62" cm="1">
        <f t="array" ref="R100">INDEX(tblPrices[cv_2023], MATCH(tblEnterpriseUnits[[#This Row],[Products]],tblPrices[Products],0), 0)* tblEnterpriseUnits[[#This Row],[cv_2023]]/10^6</f>
        <v>0</v>
      </c>
      <c r="S100" s="62" cm="1">
        <f t="array" ref="S100">INDEX(tblPrices[cv_2024], MATCH(tblEnterpriseUnits[[#This Row],[Products]],tblPrices[Products],0), 0)* tblEnterpriseUnits[[#This Row],[cv_2024]]/10^6</f>
        <v>0</v>
      </c>
      <c r="T100" s="62" cm="1">
        <f t="array" ref="T100">INDEX(tblPrices[cv_2025], MATCH(tblEnterpriseUnits[[#This Row],[Products]],tblPrices[Products],0), 0)* tblEnterpriseUnits[[#This Row],[cv_2025]]/10^6</f>
        <v>0</v>
      </c>
      <c r="U100" s="62" cm="1">
        <f t="array" ref="U100">INDEX(tblPrices[cv_2026], MATCH(tblEnterpriseUnits[[#This Row],[Products]],tblPrices[Products],0), 0)* tblEnterpriseUnits[[#This Row],[cv_2026]]/10^6</f>
        <v>0</v>
      </c>
      <c r="V100" s="62" cm="1">
        <f t="array" ref="V100">INDEX(tblPrices[cv_2027], MATCH(tblEnterpriseUnits[[#This Row],[Products]],tblPrices[Products],0), 0)* tblEnterpriseUnits[[#This Row],[cv_2027]]/10^6</f>
        <v>0</v>
      </c>
      <c r="W100" s="62" cm="1">
        <f t="array" ref="W100">INDEX(tblPrices[cv_2028], MATCH(tblEnterpriseUnits[[#This Row],[Products]],tblPrices[Products],0), 0)* tblEnterpriseUnits[[#This Row],[cv_2028]]/10^6</f>
        <v>0</v>
      </c>
      <c r="X100" s="1">
        <f>VLOOKUP(A100,Products!$A$29:$F$110,6,FALSE)</f>
        <v>200</v>
      </c>
    </row>
    <row r="101" spans="1:24">
      <c r="A101" s="15" t="s">
        <v>30</v>
      </c>
      <c r="B101" s="8">
        <v>0</v>
      </c>
      <c r="C101" s="8">
        <v>0</v>
      </c>
      <c r="D101" s="8"/>
      <c r="E101" s="8"/>
      <c r="F101" s="8"/>
      <c r="G101" s="8"/>
      <c r="H101" s="8"/>
      <c r="I101" s="8"/>
      <c r="J101" s="8"/>
      <c r="K101" s="8"/>
      <c r="L101" s="8"/>
      <c r="M101" s="62" cm="1">
        <f t="array" ref="M101">INDEX(tblPrices[cv_2018], MATCH(tblEnterpriseUnits[[#This Row],[Products]],tblPrices[Products],0), 0)* tblEnterpriseUnits[[#This Row],[cv_2018]]/10^6</f>
        <v>0</v>
      </c>
      <c r="N101" s="62" cm="1">
        <f t="array" ref="N101">INDEX(tblPrices[cv_2019], MATCH(tblEnterpriseUnits[[#This Row],[Products]],tblPrices[Products],0), 0)* tblEnterpriseUnits[[#This Row],[cv_2019]]/10^6</f>
        <v>0</v>
      </c>
      <c r="O101" s="62" cm="1">
        <f t="array" ref="O101">INDEX(tblPrices[cv_2020], MATCH(tblEnterpriseUnits[[#This Row],[Products]],tblPrices[Products],0), 0)* tblEnterpriseUnits[[#This Row],[cv_2020]]/10^6</f>
        <v>0</v>
      </c>
      <c r="P101" s="62" cm="1">
        <f t="array" ref="P101">INDEX(tblPrices[cv_2021], MATCH(tblEnterpriseUnits[[#This Row],[Products]],tblPrices[Products],0), 0)* tblEnterpriseUnits[[#This Row],[cv_2021]]/10^6</f>
        <v>0</v>
      </c>
      <c r="Q101" s="62" cm="1">
        <f t="array" ref="Q101">INDEX(tblPrices[cv_2022], MATCH(tblEnterpriseUnits[[#This Row],[Products]],tblPrices[Products],0), 0)* tblEnterpriseUnits[[#This Row],[cv_2022]]/10^6</f>
        <v>0</v>
      </c>
      <c r="R101" s="62" cm="1">
        <f t="array" ref="R101">INDEX(tblPrices[cv_2023], MATCH(tblEnterpriseUnits[[#This Row],[Products]],tblPrices[Products],0), 0)* tblEnterpriseUnits[[#This Row],[cv_2023]]/10^6</f>
        <v>0</v>
      </c>
      <c r="S101" s="62" cm="1">
        <f t="array" ref="S101">INDEX(tblPrices[cv_2024], MATCH(tblEnterpriseUnits[[#This Row],[Products]],tblPrices[Products],0), 0)* tblEnterpriseUnits[[#This Row],[cv_2024]]/10^6</f>
        <v>0</v>
      </c>
      <c r="T101" s="62" cm="1">
        <f t="array" ref="T101">INDEX(tblPrices[cv_2025], MATCH(tblEnterpriseUnits[[#This Row],[Products]],tblPrices[Products],0), 0)* tblEnterpriseUnits[[#This Row],[cv_2025]]/10^6</f>
        <v>0</v>
      </c>
      <c r="U101" s="62" cm="1">
        <f t="array" ref="U101">INDEX(tblPrices[cv_2026], MATCH(tblEnterpriseUnits[[#This Row],[Products]],tblPrices[Products],0), 0)* tblEnterpriseUnits[[#This Row],[cv_2026]]/10^6</f>
        <v>0</v>
      </c>
      <c r="V101" s="62" cm="1">
        <f t="array" ref="V101">INDEX(tblPrices[cv_2027], MATCH(tblEnterpriseUnits[[#This Row],[Products]],tblPrices[Products],0), 0)* tblEnterpriseUnits[[#This Row],[cv_2027]]/10^6</f>
        <v>0</v>
      </c>
      <c r="W101" s="62" cm="1">
        <f t="array" ref="W101">INDEX(tblPrices[cv_2028], MATCH(tblEnterpriseUnits[[#This Row],[Products]],tblPrices[Products],0), 0)* tblEnterpriseUnits[[#This Row],[cv_2028]]/10^6</f>
        <v>0</v>
      </c>
      <c r="X101" s="1">
        <f>VLOOKUP(A101,Products!$A$29:$F$110,6,FALSE)</f>
        <v>200</v>
      </c>
    </row>
    <row r="102" spans="1:24">
      <c r="A102" s="15" t="s">
        <v>31</v>
      </c>
      <c r="B102" s="8">
        <v>0</v>
      </c>
      <c r="C102" s="8">
        <v>1935.0000000000018</v>
      </c>
      <c r="D102" s="8"/>
      <c r="E102" s="8"/>
      <c r="F102" s="8"/>
      <c r="G102" s="8"/>
      <c r="H102" s="8"/>
      <c r="I102" s="8"/>
      <c r="J102" s="8"/>
      <c r="K102" s="8"/>
      <c r="L102" s="8"/>
      <c r="M102" s="62" cm="1">
        <f t="array" ref="M102">INDEX(tblPrices[cv_2018], MATCH(tblEnterpriseUnits[[#This Row],[Products]],tblPrices[Products],0), 0)* tblEnterpriseUnits[[#This Row],[cv_2018]]/10^6</f>
        <v>0</v>
      </c>
      <c r="N102" s="62" cm="1">
        <f t="array" ref="N102">INDEX(tblPrices[cv_2019], MATCH(tblEnterpriseUnits[[#This Row],[Products]],tblPrices[Products],0), 0)* tblEnterpriseUnits[[#This Row],[cv_2019]]/10^6</f>
        <v>16.887272727272745</v>
      </c>
      <c r="O102" s="62" cm="1">
        <f t="array" ref="O102">INDEX(tblPrices[cv_2020], MATCH(tblEnterpriseUnits[[#This Row],[Products]],tblPrices[Products],0), 0)* tblEnterpriseUnits[[#This Row],[cv_2020]]/10^6</f>
        <v>0</v>
      </c>
      <c r="P102" s="62" cm="1">
        <f t="array" ref="P102">INDEX(tblPrices[cv_2021], MATCH(tblEnterpriseUnits[[#This Row],[Products]],tblPrices[Products],0), 0)* tblEnterpriseUnits[[#This Row],[cv_2021]]/10^6</f>
        <v>0</v>
      </c>
      <c r="Q102" s="62" cm="1">
        <f t="array" ref="Q102">INDEX(tblPrices[cv_2022], MATCH(tblEnterpriseUnits[[#This Row],[Products]],tblPrices[Products],0), 0)* tblEnterpriseUnits[[#This Row],[cv_2022]]/10^6</f>
        <v>0</v>
      </c>
      <c r="R102" s="62" cm="1">
        <f t="array" ref="R102">INDEX(tblPrices[cv_2023], MATCH(tblEnterpriseUnits[[#This Row],[Products]],tblPrices[Products],0), 0)* tblEnterpriseUnits[[#This Row],[cv_2023]]/10^6</f>
        <v>0</v>
      </c>
      <c r="S102" s="62" cm="1">
        <f t="array" ref="S102">INDEX(tblPrices[cv_2024], MATCH(tblEnterpriseUnits[[#This Row],[Products]],tblPrices[Products],0), 0)* tblEnterpriseUnits[[#This Row],[cv_2024]]/10^6</f>
        <v>0</v>
      </c>
      <c r="T102" s="62" cm="1">
        <f t="array" ref="T102">INDEX(tblPrices[cv_2025], MATCH(tblEnterpriseUnits[[#This Row],[Products]],tblPrices[Products],0), 0)* tblEnterpriseUnits[[#This Row],[cv_2025]]/10^6</f>
        <v>0</v>
      </c>
      <c r="U102" s="62" cm="1">
        <f t="array" ref="U102">INDEX(tblPrices[cv_2026], MATCH(tblEnterpriseUnits[[#This Row],[Products]],tblPrices[Products],0), 0)* tblEnterpriseUnits[[#This Row],[cv_2026]]/10^6</f>
        <v>0</v>
      </c>
      <c r="V102" s="62" cm="1">
        <f t="array" ref="V102">INDEX(tblPrices[cv_2027], MATCH(tblEnterpriseUnits[[#This Row],[Products]],tblPrices[Products],0), 0)* tblEnterpriseUnits[[#This Row],[cv_2027]]/10^6</f>
        <v>0</v>
      </c>
      <c r="W102" s="62" cm="1">
        <f t="array" ref="W102">INDEX(tblPrices[cv_2028], MATCH(tblEnterpriseUnits[[#This Row],[Products]],tblPrices[Products],0), 0)* tblEnterpriseUnits[[#This Row],[cv_2028]]/10^6</f>
        <v>0</v>
      </c>
      <c r="X102" s="1">
        <f>VLOOKUP(A102,Products!$A$29:$F$110,6,FALSE)</f>
        <v>400</v>
      </c>
    </row>
    <row r="103" spans="1:24">
      <c r="A103" s="15" t="s">
        <v>32</v>
      </c>
      <c r="B103" s="8">
        <v>0</v>
      </c>
      <c r="C103" s="8">
        <v>0</v>
      </c>
      <c r="D103" s="8"/>
      <c r="E103" s="8"/>
      <c r="F103" s="8"/>
      <c r="G103" s="8"/>
      <c r="H103" s="8"/>
      <c r="I103" s="8"/>
      <c r="J103" s="8"/>
      <c r="K103" s="8"/>
      <c r="L103" s="8"/>
      <c r="M103" s="62" cm="1">
        <f t="array" ref="M103">INDEX(tblPrices[cv_2018], MATCH(tblEnterpriseUnits[[#This Row],[Products]],tblPrices[Products],0), 0)* tblEnterpriseUnits[[#This Row],[cv_2018]]/10^6</f>
        <v>0</v>
      </c>
      <c r="N103" s="62" cm="1">
        <f t="array" ref="N103">INDEX(tblPrices[cv_2019], MATCH(tblEnterpriseUnits[[#This Row],[Products]],tblPrices[Products],0), 0)* tblEnterpriseUnits[[#This Row],[cv_2019]]/10^6</f>
        <v>0</v>
      </c>
      <c r="O103" s="62" cm="1">
        <f t="array" ref="O103">INDEX(tblPrices[cv_2020], MATCH(tblEnterpriseUnits[[#This Row],[Products]],tblPrices[Products],0), 0)* tblEnterpriseUnits[[#This Row],[cv_2020]]/10^6</f>
        <v>0</v>
      </c>
      <c r="P103" s="62" cm="1">
        <f t="array" ref="P103">INDEX(tblPrices[cv_2021], MATCH(tblEnterpriseUnits[[#This Row],[Products]],tblPrices[Products],0), 0)* tblEnterpriseUnits[[#This Row],[cv_2021]]/10^6</f>
        <v>0</v>
      </c>
      <c r="Q103" s="62" cm="1">
        <f t="array" ref="Q103">INDEX(tblPrices[cv_2022], MATCH(tblEnterpriseUnits[[#This Row],[Products]],tblPrices[Products],0), 0)* tblEnterpriseUnits[[#This Row],[cv_2022]]/10^6</f>
        <v>0</v>
      </c>
      <c r="R103" s="62" cm="1">
        <f t="array" ref="R103">INDEX(tblPrices[cv_2023], MATCH(tblEnterpriseUnits[[#This Row],[Products]],tblPrices[Products],0), 0)* tblEnterpriseUnits[[#This Row],[cv_2023]]/10^6</f>
        <v>0</v>
      </c>
      <c r="S103" s="62" cm="1">
        <f t="array" ref="S103">INDEX(tblPrices[cv_2024], MATCH(tblEnterpriseUnits[[#This Row],[Products]],tblPrices[Products],0), 0)* tblEnterpriseUnits[[#This Row],[cv_2024]]/10^6</f>
        <v>0</v>
      </c>
      <c r="T103" s="62" cm="1">
        <f t="array" ref="T103">INDEX(tblPrices[cv_2025], MATCH(tblEnterpriseUnits[[#This Row],[Products]],tblPrices[Products],0), 0)* tblEnterpriseUnits[[#This Row],[cv_2025]]/10^6</f>
        <v>0</v>
      </c>
      <c r="U103" s="62" cm="1">
        <f t="array" ref="U103">INDEX(tblPrices[cv_2026], MATCH(tblEnterpriseUnits[[#This Row],[Products]],tblPrices[Products],0), 0)* tblEnterpriseUnits[[#This Row],[cv_2026]]/10^6</f>
        <v>0</v>
      </c>
      <c r="V103" s="62" cm="1">
        <f t="array" ref="V103">INDEX(tblPrices[cv_2027], MATCH(tblEnterpriseUnits[[#This Row],[Products]],tblPrices[Products],0), 0)* tblEnterpriseUnits[[#This Row],[cv_2027]]/10^6</f>
        <v>0</v>
      </c>
      <c r="W103" s="62" cm="1">
        <f t="array" ref="W103">INDEX(tblPrices[cv_2028], MATCH(tblEnterpriseUnits[[#This Row],[Products]],tblPrices[Products],0), 0)* tblEnterpriseUnits[[#This Row],[cv_2028]]/10^6</f>
        <v>0</v>
      </c>
      <c r="X103" s="1">
        <f>VLOOKUP(A103,Products!$A$29:$F$110,6,FALSE)</f>
        <v>400</v>
      </c>
    </row>
    <row r="104" spans="1:24">
      <c r="A104" s="15" t="s">
        <v>33</v>
      </c>
      <c r="B104" s="8">
        <v>0</v>
      </c>
      <c r="C104" s="8">
        <v>0</v>
      </c>
      <c r="D104" s="8"/>
      <c r="E104" s="8"/>
      <c r="F104" s="8"/>
      <c r="G104" s="8"/>
      <c r="H104" s="8"/>
      <c r="I104" s="8"/>
      <c r="J104" s="8"/>
      <c r="K104" s="8"/>
      <c r="L104" s="8"/>
      <c r="M104" s="62" cm="1">
        <f t="array" ref="M104">INDEX(tblPrices[cv_2018], MATCH(tblEnterpriseUnits[[#This Row],[Products]],tblPrices[Products],0), 0)* tblEnterpriseUnits[[#This Row],[cv_2018]]/10^6</f>
        <v>0</v>
      </c>
      <c r="N104" s="62" cm="1">
        <f t="array" ref="N104">INDEX(tblPrices[cv_2019], MATCH(tblEnterpriseUnits[[#This Row],[Products]],tblPrices[Products],0), 0)* tblEnterpriseUnits[[#This Row],[cv_2019]]/10^6</f>
        <v>0</v>
      </c>
      <c r="O104" s="62" cm="1">
        <f t="array" ref="O104">INDEX(tblPrices[cv_2020], MATCH(tblEnterpriseUnits[[#This Row],[Products]],tblPrices[Products],0), 0)* tblEnterpriseUnits[[#This Row],[cv_2020]]/10^6</f>
        <v>0</v>
      </c>
      <c r="P104" s="62" cm="1">
        <f t="array" ref="P104">INDEX(tblPrices[cv_2021], MATCH(tblEnterpriseUnits[[#This Row],[Products]],tblPrices[Products],0), 0)* tblEnterpriseUnits[[#This Row],[cv_2021]]/10^6</f>
        <v>0</v>
      </c>
      <c r="Q104" s="62" cm="1">
        <f t="array" ref="Q104">INDEX(tblPrices[cv_2022], MATCH(tblEnterpriseUnits[[#This Row],[Products]],tblPrices[Products],0), 0)* tblEnterpriseUnits[[#This Row],[cv_2022]]/10^6</f>
        <v>0</v>
      </c>
      <c r="R104" s="62" cm="1">
        <f t="array" ref="R104">INDEX(tblPrices[cv_2023], MATCH(tblEnterpriseUnits[[#This Row],[Products]],tblPrices[Products],0), 0)* tblEnterpriseUnits[[#This Row],[cv_2023]]/10^6</f>
        <v>0</v>
      </c>
      <c r="S104" s="62" cm="1">
        <f t="array" ref="S104">INDEX(tblPrices[cv_2024], MATCH(tblEnterpriseUnits[[#This Row],[Products]],tblPrices[Products],0), 0)* tblEnterpriseUnits[[#This Row],[cv_2024]]/10^6</f>
        <v>0</v>
      </c>
      <c r="T104" s="62" cm="1">
        <f t="array" ref="T104">INDEX(tblPrices[cv_2025], MATCH(tblEnterpriseUnits[[#This Row],[Products]],tblPrices[Products],0), 0)* tblEnterpriseUnits[[#This Row],[cv_2025]]/10^6</f>
        <v>0</v>
      </c>
      <c r="U104" s="62" cm="1">
        <f t="array" ref="U104">INDEX(tblPrices[cv_2026], MATCH(tblEnterpriseUnits[[#This Row],[Products]],tblPrices[Products],0), 0)* tblEnterpriseUnits[[#This Row],[cv_2026]]/10^6</f>
        <v>0</v>
      </c>
      <c r="V104" s="62" cm="1">
        <f t="array" ref="V104">INDEX(tblPrices[cv_2027], MATCH(tblEnterpriseUnits[[#This Row],[Products]],tblPrices[Products],0), 0)* tblEnterpriseUnits[[#This Row],[cv_2027]]/10^6</f>
        <v>0</v>
      </c>
      <c r="W104" s="62" cm="1">
        <f t="array" ref="W104">INDEX(tblPrices[cv_2028], MATCH(tblEnterpriseUnits[[#This Row],[Products]],tblPrices[Products],0), 0)* tblEnterpriseUnits[[#This Row],[cv_2028]]/10^6</f>
        <v>0</v>
      </c>
      <c r="X104" s="1">
        <f>VLOOKUP(A104,Products!$A$29:$F$110,6,FALSE)</f>
        <v>400</v>
      </c>
    </row>
    <row r="105" spans="1:24">
      <c r="A105" s="15" t="s">
        <v>34</v>
      </c>
      <c r="B105" s="8">
        <v>0</v>
      </c>
      <c r="C105" s="8">
        <v>0</v>
      </c>
      <c r="D105" s="8"/>
      <c r="E105" s="8"/>
      <c r="F105" s="8"/>
      <c r="G105" s="8"/>
      <c r="H105" s="8"/>
      <c r="I105" s="8"/>
      <c r="J105" s="8"/>
      <c r="K105" s="8"/>
      <c r="L105" s="8"/>
      <c r="M105" s="62" cm="1">
        <f t="array" ref="M105">INDEX(tblPrices[cv_2018], MATCH(tblEnterpriseUnits[[#This Row],[Products]],tblPrices[Products],0), 0)* tblEnterpriseUnits[[#This Row],[cv_2018]]/10^6</f>
        <v>0</v>
      </c>
      <c r="N105" s="62" cm="1">
        <f t="array" ref="N105">INDEX(tblPrices[cv_2019], MATCH(tblEnterpriseUnits[[#This Row],[Products]],tblPrices[Products],0), 0)* tblEnterpriseUnits[[#This Row],[cv_2019]]/10^6</f>
        <v>0</v>
      </c>
      <c r="O105" s="62" cm="1">
        <f t="array" ref="O105">INDEX(tblPrices[cv_2020], MATCH(tblEnterpriseUnits[[#This Row],[Products]],tblPrices[Products],0), 0)* tblEnterpriseUnits[[#This Row],[cv_2020]]/10^6</f>
        <v>0</v>
      </c>
      <c r="P105" s="62" cm="1">
        <f t="array" ref="P105">INDEX(tblPrices[cv_2021], MATCH(tblEnterpriseUnits[[#This Row],[Products]],tblPrices[Products],0), 0)* tblEnterpriseUnits[[#This Row],[cv_2021]]/10^6</f>
        <v>0</v>
      </c>
      <c r="Q105" s="62" cm="1">
        <f t="array" ref="Q105">INDEX(tblPrices[cv_2022], MATCH(tblEnterpriseUnits[[#This Row],[Products]],tblPrices[Products],0), 0)* tblEnterpriseUnits[[#This Row],[cv_2022]]/10^6</f>
        <v>0</v>
      </c>
      <c r="R105" s="62" cm="1">
        <f t="array" ref="R105">INDEX(tblPrices[cv_2023], MATCH(tblEnterpriseUnits[[#This Row],[Products]],tblPrices[Products],0), 0)* tblEnterpriseUnits[[#This Row],[cv_2023]]/10^6</f>
        <v>0</v>
      </c>
      <c r="S105" s="62" cm="1">
        <f t="array" ref="S105">INDEX(tblPrices[cv_2024], MATCH(tblEnterpriseUnits[[#This Row],[Products]],tblPrices[Products],0), 0)* tblEnterpriseUnits[[#This Row],[cv_2024]]/10^6</f>
        <v>0</v>
      </c>
      <c r="T105" s="62" cm="1">
        <f t="array" ref="T105">INDEX(tblPrices[cv_2025], MATCH(tblEnterpriseUnits[[#This Row],[Products]],tblPrices[Products],0), 0)* tblEnterpriseUnits[[#This Row],[cv_2025]]/10^6</f>
        <v>0</v>
      </c>
      <c r="U105" s="62" cm="1">
        <f t="array" ref="U105">INDEX(tblPrices[cv_2026], MATCH(tblEnterpriseUnits[[#This Row],[Products]],tblPrices[Products],0), 0)* tblEnterpriseUnits[[#This Row],[cv_2026]]/10^6</f>
        <v>0</v>
      </c>
      <c r="V105" s="62" cm="1">
        <f t="array" ref="V105">INDEX(tblPrices[cv_2027], MATCH(tblEnterpriseUnits[[#This Row],[Products]],tblPrices[Products],0), 0)* tblEnterpriseUnits[[#This Row],[cv_2027]]/10^6</f>
        <v>0</v>
      </c>
      <c r="W105" s="62" cm="1">
        <f t="array" ref="W105">INDEX(tblPrices[cv_2028], MATCH(tblEnterpriseUnits[[#This Row],[Products]],tblPrices[Products],0), 0)* tblEnterpriseUnits[[#This Row],[cv_2028]]/10^6</f>
        <v>0</v>
      </c>
      <c r="X105" s="1">
        <f>VLOOKUP(A105,Products!$A$29:$F$110,6,FALSE)</f>
        <v>400</v>
      </c>
    </row>
    <row r="106" spans="1:24">
      <c r="A106" s="15" t="s">
        <v>35</v>
      </c>
      <c r="B106" s="8">
        <v>0</v>
      </c>
      <c r="C106" s="8">
        <v>0</v>
      </c>
      <c r="D106" s="8"/>
      <c r="E106" s="8"/>
      <c r="F106" s="8"/>
      <c r="G106" s="8"/>
      <c r="H106" s="8"/>
      <c r="I106" s="8"/>
      <c r="J106" s="8"/>
      <c r="K106" s="8"/>
      <c r="L106" s="8"/>
      <c r="M106" s="62" cm="1">
        <f t="array" ref="M106">INDEX(tblPrices[cv_2018], MATCH(tblEnterpriseUnits[[#This Row],[Products]],tblPrices[Products],0), 0)* tblEnterpriseUnits[[#This Row],[cv_2018]]/10^6</f>
        <v>0</v>
      </c>
      <c r="N106" s="62" cm="1">
        <f t="array" ref="N106">INDEX(tblPrices[cv_2019], MATCH(tblEnterpriseUnits[[#This Row],[Products]],tblPrices[Products],0), 0)* tblEnterpriseUnits[[#This Row],[cv_2019]]/10^6</f>
        <v>0</v>
      </c>
      <c r="O106" s="62" cm="1">
        <f t="array" ref="O106">INDEX(tblPrices[cv_2020], MATCH(tblEnterpriseUnits[[#This Row],[Products]],tblPrices[Products],0), 0)* tblEnterpriseUnits[[#This Row],[cv_2020]]/10^6</f>
        <v>0</v>
      </c>
      <c r="P106" s="62" cm="1">
        <f t="array" ref="P106">INDEX(tblPrices[cv_2021], MATCH(tblEnterpriseUnits[[#This Row],[Products]],tblPrices[Products],0), 0)* tblEnterpriseUnits[[#This Row],[cv_2021]]/10^6</f>
        <v>0</v>
      </c>
      <c r="Q106" s="62" cm="1">
        <f t="array" ref="Q106">INDEX(tblPrices[cv_2022], MATCH(tblEnterpriseUnits[[#This Row],[Products]],tblPrices[Products],0), 0)* tblEnterpriseUnits[[#This Row],[cv_2022]]/10^6</f>
        <v>0</v>
      </c>
      <c r="R106" s="62" cm="1">
        <f t="array" ref="R106">INDEX(tblPrices[cv_2023], MATCH(tblEnterpriseUnits[[#This Row],[Products]],tblPrices[Products],0), 0)* tblEnterpriseUnits[[#This Row],[cv_2023]]/10^6</f>
        <v>0</v>
      </c>
      <c r="S106" s="62" cm="1">
        <f t="array" ref="S106">INDEX(tblPrices[cv_2024], MATCH(tblEnterpriseUnits[[#This Row],[Products]],tblPrices[Products],0), 0)* tblEnterpriseUnits[[#This Row],[cv_2024]]/10^6</f>
        <v>0</v>
      </c>
      <c r="T106" s="62" cm="1">
        <f t="array" ref="T106">INDEX(tblPrices[cv_2025], MATCH(tblEnterpriseUnits[[#This Row],[Products]],tblPrices[Products],0), 0)* tblEnterpriseUnits[[#This Row],[cv_2025]]/10^6</f>
        <v>0</v>
      </c>
      <c r="U106" s="62" cm="1">
        <f t="array" ref="U106">INDEX(tblPrices[cv_2026], MATCH(tblEnterpriseUnits[[#This Row],[Products]],tblPrices[Products],0), 0)* tblEnterpriseUnits[[#This Row],[cv_2026]]/10^6</f>
        <v>0</v>
      </c>
      <c r="V106" s="62" cm="1">
        <f t="array" ref="V106">INDEX(tblPrices[cv_2027], MATCH(tblEnterpriseUnits[[#This Row],[Products]],tblPrices[Products],0), 0)* tblEnterpriseUnits[[#This Row],[cv_2027]]/10^6</f>
        <v>0</v>
      </c>
      <c r="W106" s="62" cm="1">
        <f t="array" ref="W106">INDEX(tblPrices[cv_2028], MATCH(tblEnterpriseUnits[[#This Row],[Products]],tblPrices[Products],0), 0)* tblEnterpriseUnits[[#This Row],[cv_2028]]/10^6</f>
        <v>0</v>
      </c>
      <c r="X106" s="1">
        <f>VLOOKUP(A106,Products!$A$29:$F$110,6,FALSE)</f>
        <v>600</v>
      </c>
    </row>
    <row r="107" spans="1:24">
      <c r="A107" s="15" t="s">
        <v>36</v>
      </c>
      <c r="B107" s="8">
        <v>0</v>
      </c>
      <c r="C107" s="8">
        <v>0</v>
      </c>
      <c r="D107" s="8"/>
      <c r="E107" s="8"/>
      <c r="F107" s="8"/>
      <c r="G107" s="8"/>
      <c r="H107" s="8"/>
      <c r="I107" s="8"/>
      <c r="J107" s="8"/>
      <c r="K107" s="8"/>
      <c r="L107" s="8"/>
      <c r="M107" s="62" cm="1">
        <f t="array" ref="M107">INDEX(tblPrices[cv_2018], MATCH(tblEnterpriseUnits[[#This Row],[Products]],tblPrices[Products],0), 0)* tblEnterpriseUnits[[#This Row],[cv_2018]]/10^6</f>
        <v>0</v>
      </c>
      <c r="N107" s="62" cm="1">
        <f t="array" ref="N107">INDEX(tblPrices[cv_2019], MATCH(tblEnterpriseUnits[[#This Row],[Products]],tblPrices[Products],0), 0)* tblEnterpriseUnits[[#This Row],[cv_2019]]/10^6</f>
        <v>0</v>
      </c>
      <c r="O107" s="62" cm="1">
        <f t="array" ref="O107">INDEX(tblPrices[cv_2020], MATCH(tblEnterpriseUnits[[#This Row],[Products]],tblPrices[Products],0), 0)* tblEnterpriseUnits[[#This Row],[cv_2020]]/10^6</f>
        <v>0</v>
      </c>
      <c r="P107" s="62" cm="1">
        <f t="array" ref="P107">INDEX(tblPrices[cv_2021], MATCH(tblEnterpriseUnits[[#This Row],[Products]],tblPrices[Products],0), 0)* tblEnterpriseUnits[[#This Row],[cv_2021]]/10^6</f>
        <v>0</v>
      </c>
      <c r="Q107" s="62" cm="1">
        <f t="array" ref="Q107">INDEX(tblPrices[cv_2022], MATCH(tblEnterpriseUnits[[#This Row],[Products]],tblPrices[Products],0), 0)* tblEnterpriseUnits[[#This Row],[cv_2022]]/10^6</f>
        <v>0</v>
      </c>
      <c r="R107" s="62" cm="1">
        <f t="array" ref="R107">INDEX(tblPrices[cv_2023], MATCH(tblEnterpriseUnits[[#This Row],[Products]],tblPrices[Products],0), 0)* tblEnterpriseUnits[[#This Row],[cv_2023]]/10^6</f>
        <v>0</v>
      </c>
      <c r="S107" s="62" cm="1">
        <f t="array" ref="S107">INDEX(tblPrices[cv_2024], MATCH(tblEnterpriseUnits[[#This Row],[Products]],tblPrices[Products],0), 0)* tblEnterpriseUnits[[#This Row],[cv_2024]]/10^6</f>
        <v>0</v>
      </c>
      <c r="T107" s="62" cm="1">
        <f t="array" ref="T107">INDEX(tblPrices[cv_2025], MATCH(tblEnterpriseUnits[[#This Row],[Products]],tblPrices[Products],0), 0)* tblEnterpriseUnits[[#This Row],[cv_2025]]/10^6</f>
        <v>0</v>
      </c>
      <c r="U107" s="62" cm="1">
        <f t="array" ref="U107">INDEX(tblPrices[cv_2026], MATCH(tblEnterpriseUnits[[#This Row],[Products]],tblPrices[Products],0), 0)* tblEnterpriseUnits[[#This Row],[cv_2026]]/10^6</f>
        <v>0</v>
      </c>
      <c r="V107" s="62" cm="1">
        <f t="array" ref="V107">INDEX(tblPrices[cv_2027], MATCH(tblEnterpriseUnits[[#This Row],[Products]],tblPrices[Products],0), 0)* tblEnterpriseUnits[[#This Row],[cv_2027]]/10^6</f>
        <v>0</v>
      </c>
      <c r="W107" s="62" cm="1">
        <f t="array" ref="W107">INDEX(tblPrices[cv_2028], MATCH(tblEnterpriseUnits[[#This Row],[Products]],tblPrices[Products],0), 0)* tblEnterpriseUnits[[#This Row],[cv_2028]]/10^6</f>
        <v>0</v>
      </c>
      <c r="X107" s="1">
        <f>VLOOKUP(A107,Products!$A$29:$F$110,6,FALSE)</f>
        <v>800</v>
      </c>
    </row>
    <row r="108" spans="1:24">
      <c r="A108" s="15" t="s">
        <v>37</v>
      </c>
      <c r="B108" s="8">
        <v>0</v>
      </c>
      <c r="C108" s="8">
        <v>0</v>
      </c>
      <c r="D108" s="8"/>
      <c r="E108" s="8"/>
      <c r="F108" s="8"/>
      <c r="G108" s="8"/>
      <c r="H108" s="8"/>
      <c r="I108" s="8"/>
      <c r="J108" s="8"/>
      <c r="K108" s="8"/>
      <c r="L108" s="8"/>
      <c r="M108" s="62" cm="1">
        <f t="array" ref="M108">INDEX(tblPrices[cv_2018], MATCH(tblEnterpriseUnits[[#This Row],[Products]],tblPrices[Products],0), 0)* tblEnterpriseUnits[[#This Row],[cv_2018]]/10^6</f>
        <v>0</v>
      </c>
      <c r="N108" s="62" cm="1">
        <f t="array" ref="N108">INDEX(tblPrices[cv_2019], MATCH(tblEnterpriseUnits[[#This Row],[Products]],tblPrices[Products],0), 0)* tblEnterpriseUnits[[#This Row],[cv_2019]]/10^6</f>
        <v>0</v>
      </c>
      <c r="O108" s="62" cm="1">
        <f t="array" ref="O108">INDEX(tblPrices[cv_2020], MATCH(tblEnterpriseUnits[[#This Row],[Products]],tblPrices[Products],0), 0)* tblEnterpriseUnits[[#This Row],[cv_2020]]/10^6</f>
        <v>0</v>
      </c>
      <c r="P108" s="62" cm="1">
        <f t="array" ref="P108">INDEX(tblPrices[cv_2021], MATCH(tblEnterpriseUnits[[#This Row],[Products]],tblPrices[Products],0), 0)* tblEnterpriseUnits[[#This Row],[cv_2021]]/10^6</f>
        <v>0</v>
      </c>
      <c r="Q108" s="62" cm="1">
        <f t="array" ref="Q108">INDEX(tblPrices[cv_2022], MATCH(tblEnterpriseUnits[[#This Row],[Products]],tblPrices[Products],0), 0)* tblEnterpriseUnits[[#This Row],[cv_2022]]/10^6</f>
        <v>0</v>
      </c>
      <c r="R108" s="62" cm="1">
        <f t="array" ref="R108">INDEX(tblPrices[cv_2023], MATCH(tblEnterpriseUnits[[#This Row],[Products]],tblPrices[Products],0), 0)* tblEnterpriseUnits[[#This Row],[cv_2023]]/10^6</f>
        <v>0</v>
      </c>
      <c r="S108" s="62" cm="1">
        <f t="array" ref="S108">INDEX(tblPrices[cv_2024], MATCH(tblEnterpriseUnits[[#This Row],[Products]],tblPrices[Products],0), 0)* tblEnterpriseUnits[[#This Row],[cv_2024]]/10^6</f>
        <v>0</v>
      </c>
      <c r="T108" s="62" cm="1">
        <f t="array" ref="T108">INDEX(tblPrices[cv_2025], MATCH(tblEnterpriseUnits[[#This Row],[Products]],tblPrices[Products],0), 0)* tblEnterpriseUnits[[#This Row],[cv_2025]]/10^6</f>
        <v>0</v>
      </c>
      <c r="U108" s="62" cm="1">
        <f t="array" ref="U108">INDEX(tblPrices[cv_2026], MATCH(tblEnterpriseUnits[[#This Row],[Products]],tblPrices[Products],0), 0)* tblEnterpriseUnits[[#This Row],[cv_2026]]/10^6</f>
        <v>0</v>
      </c>
      <c r="V108" s="62" cm="1">
        <f t="array" ref="V108">INDEX(tblPrices[cv_2027], MATCH(tblEnterpriseUnits[[#This Row],[Products]],tblPrices[Products],0), 0)* tblEnterpriseUnits[[#This Row],[cv_2027]]/10^6</f>
        <v>0</v>
      </c>
      <c r="W108" s="62" cm="1">
        <f t="array" ref="W108">INDEX(tblPrices[cv_2028], MATCH(tblEnterpriseUnits[[#This Row],[Products]],tblPrices[Products],0), 0)* tblEnterpriseUnits[[#This Row],[cv_2028]]/10^6</f>
        <v>0</v>
      </c>
      <c r="X108" s="1">
        <f>VLOOKUP(A108,Products!$A$29:$F$110,6,FALSE)</f>
        <v>800</v>
      </c>
    </row>
    <row r="109" spans="1:24">
      <c r="A109" s="15" t="s">
        <v>38</v>
      </c>
      <c r="B109" s="8">
        <v>0</v>
      </c>
      <c r="C109" s="8">
        <v>0</v>
      </c>
      <c r="D109" s="8"/>
      <c r="E109" s="8"/>
      <c r="F109" s="8"/>
      <c r="G109" s="8"/>
      <c r="H109" s="8"/>
      <c r="I109" s="8"/>
      <c r="J109" s="8"/>
      <c r="K109" s="8"/>
      <c r="L109" s="8"/>
      <c r="M109" s="62" cm="1">
        <f t="array" ref="M109">INDEX(tblPrices[cv_2018], MATCH(tblEnterpriseUnits[[#This Row],[Products]],tblPrices[Products],0), 0)* tblEnterpriseUnits[[#This Row],[cv_2018]]/10^6</f>
        <v>0</v>
      </c>
      <c r="N109" s="62" cm="1">
        <f t="array" ref="N109">INDEX(tblPrices[cv_2019], MATCH(tblEnterpriseUnits[[#This Row],[Products]],tblPrices[Products],0), 0)* tblEnterpriseUnits[[#This Row],[cv_2019]]/10^6</f>
        <v>0</v>
      </c>
      <c r="O109" s="62" cm="1">
        <f t="array" ref="O109">INDEX(tblPrices[cv_2020], MATCH(tblEnterpriseUnits[[#This Row],[Products]],tblPrices[Products],0), 0)* tblEnterpriseUnits[[#This Row],[cv_2020]]/10^6</f>
        <v>0</v>
      </c>
      <c r="P109" s="62" cm="1">
        <f t="array" ref="P109">INDEX(tblPrices[cv_2021], MATCH(tblEnterpriseUnits[[#This Row],[Products]],tblPrices[Products],0), 0)* tblEnterpriseUnits[[#This Row],[cv_2021]]/10^6</f>
        <v>0</v>
      </c>
      <c r="Q109" s="62" cm="1">
        <f t="array" ref="Q109">INDEX(tblPrices[cv_2022], MATCH(tblEnterpriseUnits[[#This Row],[Products]],tblPrices[Products],0), 0)* tblEnterpriseUnits[[#This Row],[cv_2022]]/10^6</f>
        <v>0</v>
      </c>
      <c r="R109" s="62" cm="1">
        <f t="array" ref="R109">INDEX(tblPrices[cv_2023], MATCH(tblEnterpriseUnits[[#This Row],[Products]],tblPrices[Products],0), 0)* tblEnterpriseUnits[[#This Row],[cv_2023]]/10^6</f>
        <v>0</v>
      </c>
      <c r="S109" s="62" cm="1">
        <f t="array" ref="S109">INDEX(tblPrices[cv_2024], MATCH(tblEnterpriseUnits[[#This Row],[Products]],tblPrices[Products],0), 0)* tblEnterpriseUnits[[#This Row],[cv_2024]]/10^6</f>
        <v>0</v>
      </c>
      <c r="T109" s="62" cm="1">
        <f t="array" ref="T109">INDEX(tblPrices[cv_2025], MATCH(tblEnterpriseUnits[[#This Row],[Products]],tblPrices[Products],0), 0)* tblEnterpriseUnits[[#This Row],[cv_2025]]/10^6</f>
        <v>0</v>
      </c>
      <c r="U109" s="62" cm="1">
        <f t="array" ref="U109">INDEX(tblPrices[cv_2026], MATCH(tblEnterpriseUnits[[#This Row],[Products]],tblPrices[Products],0), 0)* tblEnterpriseUnits[[#This Row],[cv_2026]]/10^6</f>
        <v>0</v>
      </c>
      <c r="V109" s="62" cm="1">
        <f t="array" ref="V109">INDEX(tblPrices[cv_2027], MATCH(tblEnterpriseUnits[[#This Row],[Products]],tblPrices[Products],0), 0)* tblEnterpriseUnits[[#This Row],[cv_2027]]/10^6</f>
        <v>0</v>
      </c>
      <c r="W109" s="62" cm="1">
        <f t="array" ref="W109">INDEX(tblPrices[cv_2028], MATCH(tblEnterpriseUnits[[#This Row],[Products]],tblPrices[Products],0), 0)* tblEnterpriseUnits[[#This Row],[cv_2028]]/10^6</f>
        <v>0</v>
      </c>
      <c r="X109" s="1">
        <f>VLOOKUP(A109,Products!$A$29:$F$110,6,FALSE)</f>
        <v>1200</v>
      </c>
    </row>
    <row r="110" spans="1:24">
      <c r="A110" s="15" t="s">
        <v>39</v>
      </c>
      <c r="B110" s="8">
        <v>0</v>
      </c>
      <c r="C110" s="8">
        <v>0</v>
      </c>
      <c r="D110" s="8"/>
      <c r="E110" s="8"/>
      <c r="F110" s="8"/>
      <c r="G110" s="8"/>
      <c r="H110" s="8"/>
      <c r="I110" s="8"/>
      <c r="J110" s="8"/>
      <c r="K110" s="8"/>
      <c r="L110" s="8"/>
      <c r="M110" s="62" cm="1">
        <f t="array" ref="M110">INDEX(tblPrices[cv_2018], MATCH(tblEnterpriseUnits[[#This Row],[Products]],tblPrices[Products],0), 0)* tblEnterpriseUnits[[#This Row],[cv_2018]]/10^6</f>
        <v>0</v>
      </c>
      <c r="N110" s="62" cm="1">
        <f t="array" ref="N110">INDEX(tblPrices[cv_2019], MATCH(tblEnterpriseUnits[[#This Row],[Products]],tblPrices[Products],0), 0)* tblEnterpriseUnits[[#This Row],[cv_2019]]/10^6</f>
        <v>0</v>
      </c>
      <c r="O110" s="62" cm="1">
        <f t="array" ref="O110">INDEX(tblPrices[cv_2020], MATCH(tblEnterpriseUnits[[#This Row],[Products]],tblPrices[Products],0), 0)* tblEnterpriseUnits[[#This Row],[cv_2020]]/10^6</f>
        <v>0</v>
      </c>
      <c r="P110" s="62" cm="1">
        <f t="array" ref="P110">INDEX(tblPrices[cv_2021], MATCH(tblEnterpriseUnits[[#This Row],[Products]],tblPrices[Products],0), 0)* tblEnterpriseUnits[[#This Row],[cv_2021]]/10^6</f>
        <v>0</v>
      </c>
      <c r="Q110" s="62" cm="1">
        <f t="array" ref="Q110">INDEX(tblPrices[cv_2022], MATCH(tblEnterpriseUnits[[#This Row],[Products]],tblPrices[Products],0), 0)* tblEnterpriseUnits[[#This Row],[cv_2022]]/10^6</f>
        <v>0</v>
      </c>
      <c r="R110" s="62" cm="1">
        <f t="array" ref="R110">INDEX(tblPrices[cv_2023], MATCH(tblEnterpriseUnits[[#This Row],[Products]],tblPrices[Products],0), 0)* tblEnterpriseUnits[[#This Row],[cv_2023]]/10^6</f>
        <v>0</v>
      </c>
      <c r="S110" s="62" cm="1">
        <f t="array" ref="S110">INDEX(tblPrices[cv_2024], MATCH(tblEnterpriseUnits[[#This Row],[Products]],tblPrices[Products],0), 0)* tblEnterpriseUnits[[#This Row],[cv_2024]]/10^6</f>
        <v>0</v>
      </c>
      <c r="T110" s="62" cm="1">
        <f t="array" ref="T110">INDEX(tblPrices[cv_2025], MATCH(tblEnterpriseUnits[[#This Row],[Products]],tblPrices[Products],0), 0)* tblEnterpriseUnits[[#This Row],[cv_2025]]/10^6</f>
        <v>0</v>
      </c>
      <c r="U110" s="62" cm="1">
        <f t="array" ref="U110">INDEX(tblPrices[cv_2026], MATCH(tblEnterpriseUnits[[#This Row],[Products]],tblPrices[Products],0), 0)* tblEnterpriseUnits[[#This Row],[cv_2026]]/10^6</f>
        <v>0</v>
      </c>
      <c r="V110" s="62" cm="1">
        <f t="array" ref="V110">INDEX(tblPrices[cv_2027], MATCH(tblEnterpriseUnits[[#This Row],[Products]],tblPrices[Products],0), 0)* tblEnterpriseUnits[[#This Row],[cv_2027]]/10^6</f>
        <v>0</v>
      </c>
      <c r="W110" s="62" cm="1">
        <f t="array" ref="W110">INDEX(tblPrices[cv_2028], MATCH(tblEnterpriseUnits[[#This Row],[Products]],tblPrices[Products],0), 0)* tblEnterpriseUnits[[#This Row],[cv_2028]]/10^6</f>
        <v>0</v>
      </c>
      <c r="X110" s="1">
        <f>VLOOKUP(A110,Products!$A$29:$F$110,6,FALSE)</f>
        <v>1600</v>
      </c>
    </row>
    <row r="111" spans="1:24">
      <c r="A111" t="s">
        <v>423</v>
      </c>
      <c r="B111" s="35">
        <f>SUM(B11:B110)</f>
        <v>24954879.331344243</v>
      </c>
      <c r="C111" s="35">
        <f t="shared" ref="C111:W111" si="0">SUM(C11:C110)</f>
        <v>25186503.003548842</v>
      </c>
      <c r="D111" s="35">
        <f t="shared" si="0"/>
        <v>0</v>
      </c>
      <c r="E111" s="35">
        <f t="shared" si="0"/>
        <v>0</v>
      </c>
      <c r="F111" s="35">
        <f t="shared" si="0"/>
        <v>0</v>
      </c>
      <c r="G111" s="35">
        <f t="shared" si="0"/>
        <v>0</v>
      </c>
      <c r="H111" s="35">
        <f t="shared" si="0"/>
        <v>0</v>
      </c>
      <c r="I111" s="35">
        <f t="shared" si="0"/>
        <v>0</v>
      </c>
      <c r="J111" s="35">
        <f t="shared" si="0"/>
        <v>0</v>
      </c>
      <c r="K111" s="35">
        <f t="shared" si="0"/>
        <v>0</v>
      </c>
      <c r="L111" s="35">
        <f t="shared" si="0"/>
        <v>0</v>
      </c>
      <c r="M111" s="123">
        <f t="shared" si="0"/>
        <v>892.94064956314355</v>
      </c>
      <c r="N111" s="123">
        <f t="shared" si="0"/>
        <v>726.52703047689431</v>
      </c>
      <c r="O111" s="123">
        <f t="shared" si="0"/>
        <v>0</v>
      </c>
      <c r="P111" s="123">
        <f t="shared" si="0"/>
        <v>0</v>
      </c>
      <c r="Q111" s="123">
        <f t="shared" si="0"/>
        <v>0</v>
      </c>
      <c r="R111" s="123">
        <f t="shared" si="0"/>
        <v>0</v>
      </c>
      <c r="S111" s="123">
        <f t="shared" si="0"/>
        <v>0</v>
      </c>
      <c r="T111" s="123">
        <f t="shared" si="0"/>
        <v>0</v>
      </c>
      <c r="U111" s="123">
        <f t="shared" si="0"/>
        <v>0</v>
      </c>
      <c r="V111" s="123">
        <f t="shared" si="0"/>
        <v>0</v>
      </c>
      <c r="W111" s="123">
        <f t="shared" si="0"/>
        <v>0</v>
      </c>
    </row>
    <row r="112" spans="1:24">
      <c r="A112" t="s">
        <v>313</v>
      </c>
      <c r="B112" s="35">
        <f>SUM(B11:B89)</f>
        <v>24790440.800063998</v>
      </c>
      <c r="C112" s="35">
        <f t="shared" ref="C112:W112" si="1">SUM(C11:C89)</f>
        <v>24989286.265234593</v>
      </c>
      <c r="D112" s="35">
        <f t="shared" si="1"/>
        <v>0</v>
      </c>
      <c r="E112" s="35">
        <f t="shared" si="1"/>
        <v>0</v>
      </c>
      <c r="F112" s="35">
        <f t="shared" si="1"/>
        <v>0</v>
      </c>
      <c r="G112" s="35">
        <f t="shared" si="1"/>
        <v>0</v>
      </c>
      <c r="H112" s="35">
        <f t="shared" si="1"/>
        <v>0</v>
      </c>
      <c r="I112" s="35">
        <f t="shared" si="1"/>
        <v>0</v>
      </c>
      <c r="J112" s="35">
        <f t="shared" si="1"/>
        <v>0</v>
      </c>
      <c r="K112" s="35">
        <f t="shared" si="1"/>
        <v>0</v>
      </c>
      <c r="L112" s="35">
        <f t="shared" si="1"/>
        <v>0</v>
      </c>
      <c r="M112" s="123">
        <f t="shared" si="1"/>
        <v>599.75039966718089</v>
      </c>
      <c r="N112" s="123">
        <f t="shared" si="1"/>
        <v>544.53745540715943</v>
      </c>
      <c r="O112" s="123">
        <f t="shared" si="1"/>
        <v>0</v>
      </c>
      <c r="P112" s="123">
        <f t="shared" si="1"/>
        <v>0</v>
      </c>
      <c r="Q112" s="123">
        <f t="shared" si="1"/>
        <v>0</v>
      </c>
      <c r="R112" s="123">
        <f t="shared" si="1"/>
        <v>0</v>
      </c>
      <c r="S112" s="123">
        <f t="shared" si="1"/>
        <v>0</v>
      </c>
      <c r="T112" s="123">
        <f t="shared" si="1"/>
        <v>0</v>
      </c>
      <c r="U112" s="123">
        <f t="shared" si="1"/>
        <v>0</v>
      </c>
      <c r="V112" s="123">
        <f t="shared" si="1"/>
        <v>0</v>
      </c>
      <c r="W112" s="123">
        <f t="shared" si="1"/>
        <v>0</v>
      </c>
    </row>
    <row r="113" spans="1:23">
      <c r="A113" t="s">
        <v>336</v>
      </c>
      <c r="B113" s="35">
        <f>SUM(B90:B110)</f>
        <v>164438.53128024982</v>
      </c>
      <c r="C113" s="35">
        <f t="shared" ref="C113:W113" si="2">SUM(C90:C110)</f>
        <v>197216.73831425142</v>
      </c>
      <c r="D113" s="35">
        <f t="shared" si="2"/>
        <v>0</v>
      </c>
      <c r="E113" s="35">
        <f t="shared" si="2"/>
        <v>0</v>
      </c>
      <c r="F113" s="35">
        <f t="shared" si="2"/>
        <v>0</v>
      </c>
      <c r="G113" s="35">
        <f t="shared" si="2"/>
        <v>0</v>
      </c>
      <c r="H113" s="35">
        <f t="shared" si="2"/>
        <v>0</v>
      </c>
      <c r="I113" s="35">
        <f t="shared" si="2"/>
        <v>0</v>
      </c>
      <c r="J113" s="35">
        <f t="shared" si="2"/>
        <v>0</v>
      </c>
      <c r="K113" s="35">
        <f t="shared" si="2"/>
        <v>0</v>
      </c>
      <c r="L113" s="35">
        <f t="shared" si="2"/>
        <v>0</v>
      </c>
      <c r="M113" s="123">
        <f t="shared" si="2"/>
        <v>293.19024989596261</v>
      </c>
      <c r="N113" s="123">
        <f t="shared" si="2"/>
        <v>181.98957506973485</v>
      </c>
      <c r="O113" s="123">
        <f t="shared" si="2"/>
        <v>0</v>
      </c>
      <c r="P113" s="123">
        <f t="shared" si="2"/>
        <v>0</v>
      </c>
      <c r="Q113" s="123">
        <f t="shared" si="2"/>
        <v>0</v>
      </c>
      <c r="R113" s="123">
        <f>SUM(R90:R110)</f>
        <v>0</v>
      </c>
      <c r="S113" s="123">
        <f t="shared" si="2"/>
        <v>0</v>
      </c>
      <c r="T113" s="123">
        <f t="shared" si="2"/>
        <v>0</v>
      </c>
      <c r="U113" s="123">
        <f t="shared" si="2"/>
        <v>0</v>
      </c>
      <c r="V113" s="123">
        <f t="shared" si="2"/>
        <v>0</v>
      </c>
      <c r="W113" s="123">
        <f t="shared" si="2"/>
        <v>0</v>
      </c>
    </row>
    <row r="114" spans="1:23">
      <c r="B114" s="59">
        <f>B113+B112-B111</f>
        <v>0</v>
      </c>
      <c r="C114" s="59">
        <f t="shared" ref="C114:W114" si="3">C113+C112-C111</f>
        <v>0</v>
      </c>
      <c r="D114" s="59">
        <f t="shared" si="3"/>
        <v>0</v>
      </c>
      <c r="E114" s="59">
        <f t="shared" si="3"/>
        <v>0</v>
      </c>
      <c r="F114" s="59">
        <f t="shared" si="3"/>
        <v>0</v>
      </c>
      <c r="G114" s="59">
        <f t="shared" si="3"/>
        <v>0</v>
      </c>
      <c r="H114" s="59">
        <f t="shared" si="3"/>
        <v>0</v>
      </c>
      <c r="I114" s="59">
        <f t="shared" si="3"/>
        <v>0</v>
      </c>
      <c r="J114" s="59">
        <f t="shared" si="3"/>
        <v>0</v>
      </c>
      <c r="K114" s="59">
        <f t="shared" si="3"/>
        <v>0</v>
      </c>
      <c r="L114" s="59">
        <f t="shared" si="3"/>
        <v>0</v>
      </c>
      <c r="M114" s="59">
        <f t="shared" si="3"/>
        <v>0</v>
      </c>
      <c r="N114" s="59">
        <f t="shared" si="3"/>
        <v>0</v>
      </c>
      <c r="O114" s="59">
        <f t="shared" si="3"/>
        <v>0</v>
      </c>
      <c r="P114" s="59">
        <f t="shared" si="3"/>
        <v>0</v>
      </c>
      <c r="Q114" s="59">
        <f t="shared" si="3"/>
        <v>0</v>
      </c>
      <c r="R114" s="59">
        <f t="shared" si="3"/>
        <v>0</v>
      </c>
      <c r="S114" s="59">
        <f t="shared" si="3"/>
        <v>0</v>
      </c>
      <c r="T114" s="59">
        <f t="shared" si="3"/>
        <v>0</v>
      </c>
      <c r="U114" s="59">
        <f t="shared" si="3"/>
        <v>0</v>
      </c>
      <c r="V114" s="59">
        <f t="shared" si="3"/>
        <v>0</v>
      </c>
      <c r="W114" s="59">
        <f t="shared" si="3"/>
        <v>0</v>
      </c>
    </row>
    <row r="116" spans="1:23">
      <c r="A116" s="175" t="s">
        <v>431</v>
      </c>
      <c r="B116" s="68">
        <v>2018</v>
      </c>
      <c r="C116" s="50">
        <v>2019</v>
      </c>
      <c r="D116" s="50">
        <v>2020</v>
      </c>
      <c r="E116" s="50">
        <v>2021</v>
      </c>
      <c r="F116" s="50">
        <v>2022</v>
      </c>
      <c r="G116" s="50">
        <v>2023</v>
      </c>
      <c r="H116" s="50">
        <v>2024</v>
      </c>
      <c r="I116" s="50">
        <v>2025</v>
      </c>
      <c r="J116" s="50">
        <v>2026</v>
      </c>
      <c r="K116" s="50">
        <v>2027</v>
      </c>
      <c r="L116" s="50">
        <v>2028</v>
      </c>
      <c r="M116" s="68">
        <v>2018</v>
      </c>
      <c r="N116" s="50">
        <v>2019</v>
      </c>
      <c r="O116" s="50">
        <v>2020</v>
      </c>
      <c r="P116" s="50">
        <v>2021</v>
      </c>
      <c r="Q116" s="50">
        <v>2022</v>
      </c>
      <c r="R116" s="50">
        <v>2023</v>
      </c>
      <c r="S116" s="50">
        <v>2024</v>
      </c>
      <c r="T116" s="50">
        <v>2025</v>
      </c>
      <c r="U116" s="50">
        <v>2026</v>
      </c>
      <c r="V116" s="50">
        <v>2027</v>
      </c>
      <c r="W116" s="50">
        <v>2028</v>
      </c>
    </row>
    <row r="117" spans="1:23">
      <c r="A117" s="65" t="s">
        <v>80</v>
      </c>
      <c r="B117" s="2">
        <f t="shared" ref="B117:W117" si="4">SUMIF($X$11:$X$89,40,B$11:B$89)</f>
        <v>798217.21</v>
      </c>
      <c r="C117" s="2">
        <f t="shared" si="4"/>
        <v>627803.4</v>
      </c>
      <c r="D117" s="2">
        <f t="shared" si="4"/>
        <v>0</v>
      </c>
      <c r="E117" s="2">
        <f t="shared" si="4"/>
        <v>0</v>
      </c>
      <c r="F117" s="2">
        <f t="shared" si="4"/>
        <v>0</v>
      </c>
      <c r="G117" s="2">
        <f t="shared" si="4"/>
        <v>0</v>
      </c>
      <c r="H117" s="2">
        <f t="shared" si="4"/>
        <v>0</v>
      </c>
      <c r="I117" s="2">
        <f t="shared" si="4"/>
        <v>0</v>
      </c>
      <c r="J117" s="2">
        <f t="shared" si="4"/>
        <v>0</v>
      </c>
      <c r="K117" s="2">
        <f t="shared" si="4"/>
        <v>0</v>
      </c>
      <c r="L117" s="2">
        <f t="shared" si="4"/>
        <v>0</v>
      </c>
      <c r="M117" s="63">
        <f t="shared" si="4"/>
        <v>169.26024203497036</v>
      </c>
      <c r="N117" s="63">
        <f t="shared" si="4"/>
        <v>123.66714355848873</v>
      </c>
      <c r="O117" s="63">
        <f t="shared" si="4"/>
        <v>0</v>
      </c>
      <c r="P117" s="63">
        <f t="shared" si="4"/>
        <v>0</v>
      </c>
      <c r="Q117" s="63">
        <f t="shared" si="4"/>
        <v>0</v>
      </c>
      <c r="R117" s="63">
        <f t="shared" si="4"/>
        <v>0</v>
      </c>
      <c r="S117" s="63">
        <f t="shared" si="4"/>
        <v>0</v>
      </c>
      <c r="T117" s="63">
        <f t="shared" si="4"/>
        <v>0</v>
      </c>
      <c r="U117" s="63">
        <f t="shared" si="4"/>
        <v>0</v>
      </c>
      <c r="V117" s="63">
        <f t="shared" si="4"/>
        <v>0</v>
      </c>
      <c r="W117" s="63">
        <f t="shared" si="4"/>
        <v>0</v>
      </c>
    </row>
    <row r="118" spans="1:23">
      <c r="A118" s="65" t="s">
        <v>205</v>
      </c>
      <c r="B118" s="2">
        <f t="shared" ref="B118:W118" si="5">SUMIF($X$11:$X$89,100,B$11:B$89)</f>
        <v>338179.91588235291</v>
      </c>
      <c r="C118" s="2">
        <f t="shared" si="5"/>
        <v>439394.39500000002</v>
      </c>
      <c r="D118" s="2">
        <f t="shared" si="5"/>
        <v>0</v>
      </c>
      <c r="E118" s="2">
        <f t="shared" si="5"/>
        <v>0</v>
      </c>
      <c r="F118" s="2">
        <f t="shared" si="5"/>
        <v>0</v>
      </c>
      <c r="G118" s="2">
        <f t="shared" si="5"/>
        <v>0</v>
      </c>
      <c r="H118" s="2">
        <f t="shared" si="5"/>
        <v>0</v>
      </c>
      <c r="I118" s="2">
        <f t="shared" si="5"/>
        <v>0</v>
      </c>
      <c r="J118" s="2">
        <f t="shared" si="5"/>
        <v>0</v>
      </c>
      <c r="K118" s="2">
        <f t="shared" si="5"/>
        <v>0</v>
      </c>
      <c r="L118" s="2">
        <f t="shared" si="5"/>
        <v>0</v>
      </c>
      <c r="M118" s="63">
        <f t="shared" si="5"/>
        <v>71.029944883907376</v>
      </c>
      <c r="N118" s="63">
        <f t="shared" si="5"/>
        <v>94.860897598958047</v>
      </c>
      <c r="O118" s="63">
        <f t="shared" si="5"/>
        <v>0</v>
      </c>
      <c r="P118" s="63">
        <f t="shared" si="5"/>
        <v>0</v>
      </c>
      <c r="Q118" s="63">
        <f t="shared" si="5"/>
        <v>0</v>
      </c>
      <c r="R118" s="63">
        <f t="shared" si="5"/>
        <v>0</v>
      </c>
      <c r="S118" s="63">
        <f t="shared" si="5"/>
        <v>0</v>
      </c>
      <c r="T118" s="63">
        <f t="shared" si="5"/>
        <v>0</v>
      </c>
      <c r="U118" s="63">
        <f t="shared" si="5"/>
        <v>0</v>
      </c>
      <c r="V118" s="63">
        <f t="shared" si="5"/>
        <v>0</v>
      </c>
      <c r="W118" s="63">
        <f t="shared" si="5"/>
        <v>0</v>
      </c>
    </row>
    <row r="119" spans="1:23">
      <c r="A119" s="65" t="s">
        <v>206</v>
      </c>
      <c r="B119" s="2">
        <f t="shared" ref="B119:W119" si="6">SUMIF($X$11:$X$89,200,B$11:B$89)</f>
        <v>0</v>
      </c>
      <c r="C119" s="2">
        <f t="shared" si="6"/>
        <v>0</v>
      </c>
      <c r="D119" s="2">
        <f t="shared" si="6"/>
        <v>0</v>
      </c>
      <c r="E119" s="2">
        <f t="shared" si="6"/>
        <v>0</v>
      </c>
      <c r="F119" s="2">
        <f t="shared" si="6"/>
        <v>0</v>
      </c>
      <c r="G119" s="2">
        <f t="shared" si="6"/>
        <v>0</v>
      </c>
      <c r="H119" s="2">
        <f t="shared" si="6"/>
        <v>0</v>
      </c>
      <c r="I119" s="2">
        <f t="shared" si="6"/>
        <v>0</v>
      </c>
      <c r="J119" s="2">
        <f t="shared" si="6"/>
        <v>0</v>
      </c>
      <c r="K119" s="2">
        <f t="shared" si="6"/>
        <v>0</v>
      </c>
      <c r="L119" s="2">
        <f t="shared" si="6"/>
        <v>0</v>
      </c>
      <c r="M119" s="63">
        <f t="shared" si="6"/>
        <v>0</v>
      </c>
      <c r="N119" s="63">
        <f t="shared" si="6"/>
        <v>0</v>
      </c>
      <c r="O119" s="63">
        <f t="shared" si="6"/>
        <v>0</v>
      </c>
      <c r="P119" s="63">
        <f t="shared" si="6"/>
        <v>0</v>
      </c>
      <c r="Q119" s="63">
        <f t="shared" si="6"/>
        <v>0</v>
      </c>
      <c r="R119" s="63">
        <f t="shared" si="6"/>
        <v>0</v>
      </c>
      <c r="S119" s="63">
        <f t="shared" si="6"/>
        <v>0</v>
      </c>
      <c r="T119" s="63">
        <f t="shared" si="6"/>
        <v>0</v>
      </c>
      <c r="U119" s="63">
        <f t="shared" si="6"/>
        <v>0</v>
      </c>
      <c r="V119" s="63">
        <f t="shared" si="6"/>
        <v>0</v>
      </c>
      <c r="W119" s="63">
        <f t="shared" si="6"/>
        <v>0</v>
      </c>
    </row>
    <row r="120" spans="1:23">
      <c r="A120" s="65" t="s">
        <v>207</v>
      </c>
      <c r="B120" s="2">
        <f t="shared" ref="B120:W120" si="7">SUMIF($X$11:$X$89,400,B$11:B$89)</f>
        <v>0</v>
      </c>
      <c r="C120" s="2">
        <f t="shared" si="7"/>
        <v>0</v>
      </c>
      <c r="D120" s="2">
        <f t="shared" si="7"/>
        <v>0</v>
      </c>
      <c r="E120" s="2">
        <f t="shared" si="7"/>
        <v>0</v>
      </c>
      <c r="F120" s="2">
        <f t="shared" si="7"/>
        <v>0</v>
      </c>
      <c r="G120" s="2">
        <f t="shared" si="7"/>
        <v>0</v>
      </c>
      <c r="H120" s="2">
        <f t="shared" si="7"/>
        <v>0</v>
      </c>
      <c r="I120" s="2">
        <f t="shared" si="7"/>
        <v>0</v>
      </c>
      <c r="J120" s="2">
        <f t="shared" si="7"/>
        <v>0</v>
      </c>
      <c r="K120" s="2">
        <f t="shared" si="7"/>
        <v>0</v>
      </c>
      <c r="L120" s="2">
        <f t="shared" si="7"/>
        <v>0</v>
      </c>
      <c r="M120" s="63">
        <f t="shared" si="7"/>
        <v>0</v>
      </c>
      <c r="N120" s="63">
        <f t="shared" si="7"/>
        <v>0</v>
      </c>
      <c r="O120" s="63">
        <f t="shared" si="7"/>
        <v>0</v>
      </c>
      <c r="P120" s="63">
        <f t="shared" si="7"/>
        <v>0</v>
      </c>
      <c r="Q120" s="63">
        <f t="shared" si="7"/>
        <v>0</v>
      </c>
      <c r="R120" s="63">
        <f t="shared" si="7"/>
        <v>0</v>
      </c>
      <c r="S120" s="63">
        <f t="shared" si="7"/>
        <v>0</v>
      </c>
      <c r="T120" s="63">
        <f t="shared" si="7"/>
        <v>0</v>
      </c>
      <c r="U120" s="63">
        <f t="shared" si="7"/>
        <v>0</v>
      </c>
      <c r="V120" s="63">
        <f t="shared" si="7"/>
        <v>0</v>
      </c>
      <c r="W120" s="63">
        <f t="shared" si="7"/>
        <v>0</v>
      </c>
    </row>
    <row r="121" spans="1:23">
      <c r="A121" s="65" t="s">
        <v>209</v>
      </c>
      <c r="B121" s="2">
        <f t="shared" ref="B121:W121" si="8">SUMIF($X$11:$X$89,800,B$11:B$89)</f>
        <v>0</v>
      </c>
      <c r="C121" s="2">
        <f t="shared" si="8"/>
        <v>0</v>
      </c>
      <c r="D121" s="2">
        <f t="shared" si="8"/>
        <v>0</v>
      </c>
      <c r="E121" s="2">
        <f t="shared" si="8"/>
        <v>0</v>
      </c>
      <c r="F121" s="2">
        <f t="shared" si="8"/>
        <v>0</v>
      </c>
      <c r="G121" s="2">
        <f t="shared" si="8"/>
        <v>0</v>
      </c>
      <c r="H121" s="2">
        <f t="shared" si="8"/>
        <v>0</v>
      </c>
      <c r="I121" s="2">
        <f t="shared" si="8"/>
        <v>0</v>
      </c>
      <c r="J121" s="2">
        <f t="shared" si="8"/>
        <v>0</v>
      </c>
      <c r="K121" s="2">
        <f t="shared" si="8"/>
        <v>0</v>
      </c>
      <c r="L121" s="2">
        <f t="shared" si="8"/>
        <v>0</v>
      </c>
      <c r="M121" s="63">
        <f t="shared" si="8"/>
        <v>0</v>
      </c>
      <c r="N121" s="63">
        <f t="shared" si="8"/>
        <v>0</v>
      </c>
      <c r="O121" s="63">
        <f t="shared" si="8"/>
        <v>0</v>
      </c>
      <c r="P121" s="63">
        <f t="shared" si="8"/>
        <v>0</v>
      </c>
      <c r="Q121" s="63">
        <f t="shared" si="8"/>
        <v>0</v>
      </c>
      <c r="R121" s="63">
        <f t="shared" si="8"/>
        <v>0</v>
      </c>
      <c r="S121" s="63">
        <f t="shared" si="8"/>
        <v>0</v>
      </c>
      <c r="T121" s="63">
        <f t="shared" si="8"/>
        <v>0</v>
      </c>
      <c r="U121" s="63">
        <f t="shared" si="8"/>
        <v>0</v>
      </c>
      <c r="V121" s="63">
        <f t="shared" si="8"/>
        <v>0</v>
      </c>
      <c r="W121" s="63">
        <f t="shared" si="8"/>
        <v>0</v>
      </c>
    </row>
    <row r="122" spans="1:23">
      <c r="A122" s="65" t="s">
        <v>211</v>
      </c>
      <c r="B122" s="2">
        <f t="shared" ref="B122:W122" si="9">SUMIF($X$11:$X$89,1600,B$11:B$89)</f>
        <v>0</v>
      </c>
      <c r="C122" s="2">
        <f t="shared" si="9"/>
        <v>0</v>
      </c>
      <c r="D122" s="2">
        <f t="shared" si="9"/>
        <v>0</v>
      </c>
      <c r="E122" s="2">
        <f t="shared" si="9"/>
        <v>0</v>
      </c>
      <c r="F122" s="2">
        <f t="shared" si="9"/>
        <v>0</v>
      </c>
      <c r="G122" s="2">
        <f t="shared" si="9"/>
        <v>0</v>
      </c>
      <c r="H122" s="2">
        <f t="shared" si="9"/>
        <v>0</v>
      </c>
      <c r="I122" s="2">
        <f t="shared" si="9"/>
        <v>0</v>
      </c>
      <c r="J122" s="2">
        <f t="shared" si="9"/>
        <v>0</v>
      </c>
      <c r="K122" s="2">
        <f t="shared" si="9"/>
        <v>0</v>
      </c>
      <c r="L122" s="2">
        <f t="shared" si="9"/>
        <v>0</v>
      </c>
      <c r="M122" s="63">
        <f t="shared" si="9"/>
        <v>0</v>
      </c>
      <c r="N122" s="63">
        <f t="shared" si="9"/>
        <v>0</v>
      </c>
      <c r="O122" s="63">
        <f t="shared" si="9"/>
        <v>0</v>
      </c>
      <c r="P122" s="63">
        <f t="shared" si="9"/>
        <v>0</v>
      </c>
      <c r="Q122" s="63">
        <f t="shared" si="9"/>
        <v>0</v>
      </c>
      <c r="R122" s="63">
        <f t="shared" si="9"/>
        <v>0</v>
      </c>
      <c r="S122" s="63">
        <f t="shared" si="9"/>
        <v>0</v>
      </c>
      <c r="T122" s="63">
        <f t="shared" si="9"/>
        <v>0</v>
      </c>
      <c r="U122" s="63">
        <f t="shared" si="9"/>
        <v>0</v>
      </c>
      <c r="V122" s="63">
        <f t="shared" si="9"/>
        <v>0</v>
      </c>
      <c r="W122" s="63">
        <f t="shared" si="9"/>
        <v>0</v>
      </c>
    </row>
    <row r="123" spans="1:23">
      <c r="A123" s="65" t="s">
        <v>276</v>
      </c>
      <c r="B123" s="2">
        <f>SUM(B11:B89)</f>
        <v>24790440.800063998</v>
      </c>
      <c r="C123" s="2">
        <f t="shared" ref="C123:W123" si="10">SUM(C11:C89)</f>
        <v>24989286.265234593</v>
      </c>
      <c r="D123" s="2">
        <f t="shared" si="10"/>
        <v>0</v>
      </c>
      <c r="E123" s="2">
        <f t="shared" si="10"/>
        <v>0</v>
      </c>
      <c r="F123" s="2">
        <f t="shared" si="10"/>
        <v>0</v>
      </c>
      <c r="G123" s="2">
        <f t="shared" si="10"/>
        <v>0</v>
      </c>
      <c r="H123" s="2">
        <f t="shared" si="10"/>
        <v>0</v>
      </c>
      <c r="I123" s="2">
        <f t="shared" si="10"/>
        <v>0</v>
      </c>
      <c r="J123" s="2">
        <f t="shared" si="10"/>
        <v>0</v>
      </c>
      <c r="K123" s="2">
        <f t="shared" si="10"/>
        <v>0</v>
      </c>
      <c r="L123" s="2">
        <f t="shared" si="10"/>
        <v>0</v>
      </c>
      <c r="M123" s="63">
        <f t="shared" si="10"/>
        <v>599.75039966718089</v>
      </c>
      <c r="N123" s="63">
        <f t="shared" si="10"/>
        <v>544.53745540715943</v>
      </c>
      <c r="O123" s="63">
        <f t="shared" si="10"/>
        <v>0</v>
      </c>
      <c r="P123" s="63">
        <f t="shared" si="10"/>
        <v>0</v>
      </c>
      <c r="Q123" s="63">
        <f t="shared" si="10"/>
        <v>0</v>
      </c>
      <c r="R123" s="63">
        <f t="shared" si="10"/>
        <v>0</v>
      </c>
      <c r="S123" s="63">
        <f t="shared" si="10"/>
        <v>0</v>
      </c>
      <c r="T123" s="63">
        <f t="shared" si="10"/>
        <v>0</v>
      </c>
      <c r="U123" s="63">
        <f t="shared" si="10"/>
        <v>0</v>
      </c>
      <c r="V123" s="63">
        <f t="shared" si="10"/>
        <v>0</v>
      </c>
      <c r="W123" s="63">
        <f t="shared" si="10"/>
        <v>0</v>
      </c>
    </row>
    <row r="124" spans="1:23">
      <c r="A124" s="65"/>
    </row>
    <row r="125" spans="1:23">
      <c r="A125" s="176" t="s">
        <v>428</v>
      </c>
      <c r="B125" s="68">
        <v>2018</v>
      </c>
      <c r="C125" s="50">
        <v>2019</v>
      </c>
      <c r="D125" s="50">
        <v>2020</v>
      </c>
      <c r="E125" s="50">
        <v>2021</v>
      </c>
      <c r="F125" s="50">
        <v>2022</v>
      </c>
      <c r="G125" s="50">
        <v>2023</v>
      </c>
      <c r="H125" s="50">
        <v>2024</v>
      </c>
      <c r="I125" s="50">
        <v>2025</v>
      </c>
      <c r="J125" s="50">
        <v>2026</v>
      </c>
      <c r="K125" s="50">
        <v>2027</v>
      </c>
      <c r="L125" s="50">
        <v>2028</v>
      </c>
      <c r="M125" s="68">
        <v>2018</v>
      </c>
      <c r="N125" s="50">
        <v>2019</v>
      </c>
      <c r="O125" s="50">
        <v>2020</v>
      </c>
      <c r="P125" s="50">
        <v>2021</v>
      </c>
      <c r="Q125" s="50">
        <v>2022</v>
      </c>
      <c r="R125" s="50">
        <v>2023</v>
      </c>
      <c r="S125" s="50">
        <v>2024</v>
      </c>
      <c r="T125" s="50">
        <v>2025</v>
      </c>
      <c r="U125" s="50">
        <v>2026</v>
      </c>
      <c r="V125" s="50">
        <v>2027</v>
      </c>
      <c r="W125" s="50">
        <v>2028</v>
      </c>
    </row>
    <row r="126" spans="1:23">
      <c r="A126" s="65" t="s">
        <v>205</v>
      </c>
      <c r="B126" s="2">
        <f t="shared" ref="B126:W126" si="11">SUMIF($X$90:$X$110,100,B$90:B$110)</f>
        <v>28568.290952380961</v>
      </c>
      <c r="C126" s="2">
        <f t="shared" si="11"/>
        <v>13603.243043478249</v>
      </c>
      <c r="D126" s="2">
        <f t="shared" si="11"/>
        <v>0</v>
      </c>
      <c r="E126" s="2">
        <f t="shared" si="11"/>
        <v>0</v>
      </c>
      <c r="F126" s="2">
        <f t="shared" si="11"/>
        <v>0</v>
      </c>
      <c r="G126" s="2">
        <f t="shared" si="11"/>
        <v>0</v>
      </c>
      <c r="H126" s="2">
        <f t="shared" si="11"/>
        <v>0</v>
      </c>
      <c r="I126" s="2">
        <f t="shared" si="11"/>
        <v>0</v>
      </c>
      <c r="J126" s="2">
        <f t="shared" si="11"/>
        <v>0</v>
      </c>
      <c r="K126" s="2">
        <f t="shared" si="11"/>
        <v>0</v>
      </c>
      <c r="L126" s="2">
        <f t="shared" si="11"/>
        <v>0</v>
      </c>
      <c r="M126" s="63">
        <f t="shared" si="11"/>
        <v>219.39417040616254</v>
      </c>
      <c r="N126" s="63">
        <f t="shared" si="11"/>
        <v>80.016113739130375</v>
      </c>
      <c r="O126" s="63">
        <f t="shared" si="11"/>
        <v>0</v>
      </c>
      <c r="P126" s="63">
        <f t="shared" si="11"/>
        <v>0</v>
      </c>
      <c r="Q126" s="63">
        <f t="shared" si="11"/>
        <v>0</v>
      </c>
      <c r="R126" s="63">
        <f t="shared" si="11"/>
        <v>0</v>
      </c>
      <c r="S126" s="63">
        <f t="shared" si="11"/>
        <v>0</v>
      </c>
      <c r="T126" s="63">
        <f t="shared" si="11"/>
        <v>0</v>
      </c>
      <c r="U126" s="63">
        <f t="shared" si="11"/>
        <v>0</v>
      </c>
      <c r="V126" s="63">
        <f t="shared" si="11"/>
        <v>0</v>
      </c>
      <c r="W126" s="63">
        <f t="shared" si="11"/>
        <v>0</v>
      </c>
    </row>
    <row r="127" spans="1:23">
      <c r="A127" s="65" t="s">
        <v>206</v>
      </c>
      <c r="B127" s="2">
        <f t="shared" ref="B127:W127" si="12">SUMIF($X$90:$X$110,200,B$90:B$110)</f>
        <v>3403.1803278688562</v>
      </c>
      <c r="C127" s="2">
        <f t="shared" si="12"/>
        <v>5427.096000000005</v>
      </c>
      <c r="D127" s="2">
        <f t="shared" si="12"/>
        <v>0</v>
      </c>
      <c r="E127" s="2">
        <f t="shared" si="12"/>
        <v>0</v>
      </c>
      <c r="F127" s="2">
        <f t="shared" si="12"/>
        <v>0</v>
      </c>
      <c r="G127" s="2">
        <f t="shared" si="12"/>
        <v>0</v>
      </c>
      <c r="H127" s="2">
        <f t="shared" si="12"/>
        <v>0</v>
      </c>
      <c r="I127" s="2">
        <f t="shared" si="12"/>
        <v>0</v>
      </c>
      <c r="J127" s="2">
        <f t="shared" si="12"/>
        <v>0</v>
      </c>
      <c r="K127" s="2">
        <f t="shared" si="12"/>
        <v>0</v>
      </c>
      <c r="L127" s="2">
        <f t="shared" si="12"/>
        <v>0</v>
      </c>
      <c r="M127" s="63">
        <f t="shared" si="12"/>
        <v>26.951302533532072</v>
      </c>
      <c r="N127" s="63">
        <f t="shared" si="12"/>
        <v>32.279382981818209</v>
      </c>
      <c r="O127" s="63">
        <f t="shared" si="12"/>
        <v>0</v>
      </c>
      <c r="P127" s="63">
        <f t="shared" si="12"/>
        <v>0</v>
      </c>
      <c r="Q127" s="63">
        <f t="shared" si="12"/>
        <v>0</v>
      </c>
      <c r="R127" s="63">
        <f t="shared" si="12"/>
        <v>0</v>
      </c>
      <c r="S127" s="63">
        <f t="shared" si="12"/>
        <v>0</v>
      </c>
      <c r="T127" s="63">
        <f t="shared" si="12"/>
        <v>0</v>
      </c>
      <c r="U127" s="63">
        <f t="shared" si="12"/>
        <v>0</v>
      </c>
      <c r="V127" s="63">
        <f t="shared" si="12"/>
        <v>0</v>
      </c>
      <c r="W127" s="63">
        <f t="shared" si="12"/>
        <v>0</v>
      </c>
    </row>
    <row r="128" spans="1:23">
      <c r="A128" s="65" t="s">
        <v>207</v>
      </c>
      <c r="B128" s="2">
        <f t="shared" ref="B128:W128" si="13">SUMIF($X$90:$X$110,400,B$90:B$110)</f>
        <v>0</v>
      </c>
      <c r="C128" s="2">
        <f t="shared" si="13"/>
        <v>1935.0000000000018</v>
      </c>
      <c r="D128" s="2">
        <f t="shared" si="13"/>
        <v>0</v>
      </c>
      <c r="E128" s="2">
        <f t="shared" si="13"/>
        <v>0</v>
      </c>
      <c r="F128" s="2">
        <f t="shared" si="13"/>
        <v>0</v>
      </c>
      <c r="G128" s="2">
        <f t="shared" si="13"/>
        <v>0</v>
      </c>
      <c r="H128" s="2">
        <f t="shared" si="13"/>
        <v>0</v>
      </c>
      <c r="I128" s="2">
        <f t="shared" si="13"/>
        <v>0</v>
      </c>
      <c r="J128" s="2">
        <f t="shared" si="13"/>
        <v>0</v>
      </c>
      <c r="K128" s="2">
        <f t="shared" si="13"/>
        <v>0</v>
      </c>
      <c r="L128" s="2">
        <f t="shared" si="13"/>
        <v>0</v>
      </c>
      <c r="M128" s="63">
        <f t="shared" si="13"/>
        <v>0</v>
      </c>
      <c r="N128" s="63">
        <f t="shared" si="13"/>
        <v>16.887272727272745</v>
      </c>
      <c r="O128" s="63">
        <f t="shared" si="13"/>
        <v>0</v>
      </c>
      <c r="P128" s="63">
        <f t="shared" si="13"/>
        <v>0</v>
      </c>
      <c r="Q128" s="63">
        <f t="shared" si="13"/>
        <v>0</v>
      </c>
      <c r="R128" s="63">
        <f t="shared" si="13"/>
        <v>0</v>
      </c>
      <c r="S128" s="63">
        <f t="shared" si="13"/>
        <v>0</v>
      </c>
      <c r="T128" s="63">
        <f t="shared" si="13"/>
        <v>0</v>
      </c>
      <c r="U128" s="63">
        <f t="shared" si="13"/>
        <v>0</v>
      </c>
      <c r="V128" s="63">
        <f t="shared" si="13"/>
        <v>0</v>
      </c>
      <c r="W128" s="63">
        <f t="shared" si="13"/>
        <v>0</v>
      </c>
    </row>
    <row r="129" spans="1:23">
      <c r="A129" s="65" t="s">
        <v>429</v>
      </c>
      <c r="B129" s="2">
        <f t="shared" ref="B129:W129" si="14">SUMIF($X$90:$X$110,600,B$90:B$110)+SUMIF($X$90:$X$110,800,B$90:B$110)</f>
        <v>0</v>
      </c>
      <c r="C129" s="2">
        <f t="shared" si="14"/>
        <v>0</v>
      </c>
      <c r="D129" s="2">
        <f t="shared" si="14"/>
        <v>0</v>
      </c>
      <c r="E129" s="2">
        <f t="shared" si="14"/>
        <v>0</v>
      </c>
      <c r="F129" s="2">
        <f t="shared" si="14"/>
        <v>0</v>
      </c>
      <c r="G129" s="2">
        <f t="shared" si="14"/>
        <v>0</v>
      </c>
      <c r="H129" s="2">
        <f t="shared" si="14"/>
        <v>0</v>
      </c>
      <c r="I129" s="2">
        <f t="shared" si="14"/>
        <v>0</v>
      </c>
      <c r="J129" s="2">
        <f t="shared" si="14"/>
        <v>0</v>
      </c>
      <c r="K129" s="2">
        <f t="shared" si="14"/>
        <v>0</v>
      </c>
      <c r="L129" s="2">
        <f t="shared" si="14"/>
        <v>0</v>
      </c>
      <c r="M129" s="63">
        <f t="shared" si="14"/>
        <v>0</v>
      </c>
      <c r="N129" s="63">
        <f t="shared" si="14"/>
        <v>0</v>
      </c>
      <c r="O129" s="63">
        <f t="shared" si="14"/>
        <v>0</v>
      </c>
      <c r="P129" s="63">
        <f t="shared" si="14"/>
        <v>0</v>
      </c>
      <c r="Q129" s="63">
        <f t="shared" si="14"/>
        <v>0</v>
      </c>
      <c r="R129" s="63">
        <f t="shared" si="14"/>
        <v>0</v>
      </c>
      <c r="S129" s="63">
        <f t="shared" si="14"/>
        <v>0</v>
      </c>
      <c r="T129" s="63">
        <f t="shared" si="14"/>
        <v>0</v>
      </c>
      <c r="U129" s="63">
        <f t="shared" si="14"/>
        <v>0</v>
      </c>
      <c r="V129" s="63">
        <f t="shared" si="14"/>
        <v>0</v>
      </c>
      <c r="W129" s="63">
        <f t="shared" si="14"/>
        <v>0</v>
      </c>
    </row>
    <row r="130" spans="1:23">
      <c r="A130" s="65" t="s">
        <v>430</v>
      </c>
      <c r="B130" s="2">
        <f t="shared" ref="B130:W130" si="15">SUMIF($X$90:$X$110,1200,B$90:B$110)+SUMIF($X$90:$X$110,1600,B$90:B$110)</f>
        <v>0</v>
      </c>
      <c r="C130" s="2">
        <f t="shared" si="15"/>
        <v>0</v>
      </c>
      <c r="D130" s="2">
        <f t="shared" si="15"/>
        <v>0</v>
      </c>
      <c r="E130" s="2">
        <f t="shared" si="15"/>
        <v>0</v>
      </c>
      <c r="F130" s="2">
        <f t="shared" si="15"/>
        <v>0</v>
      </c>
      <c r="G130" s="2">
        <f t="shared" si="15"/>
        <v>0</v>
      </c>
      <c r="H130" s="2">
        <f t="shared" si="15"/>
        <v>0</v>
      </c>
      <c r="I130" s="2">
        <f t="shared" si="15"/>
        <v>0</v>
      </c>
      <c r="J130" s="2">
        <f t="shared" si="15"/>
        <v>0</v>
      </c>
      <c r="K130" s="2">
        <f t="shared" si="15"/>
        <v>0</v>
      </c>
      <c r="L130" s="2">
        <f t="shared" si="15"/>
        <v>0</v>
      </c>
      <c r="M130" s="63">
        <f t="shared" si="15"/>
        <v>0</v>
      </c>
      <c r="N130" s="63">
        <f t="shared" si="15"/>
        <v>0</v>
      </c>
      <c r="O130" s="63">
        <f t="shared" si="15"/>
        <v>0</v>
      </c>
      <c r="P130" s="63">
        <f t="shared" si="15"/>
        <v>0</v>
      </c>
      <c r="Q130" s="63">
        <f t="shared" si="15"/>
        <v>0</v>
      </c>
      <c r="R130" s="63">
        <f t="shared" si="15"/>
        <v>0</v>
      </c>
      <c r="S130" s="63">
        <f t="shared" si="15"/>
        <v>0</v>
      </c>
      <c r="T130" s="63">
        <f t="shared" si="15"/>
        <v>0</v>
      </c>
      <c r="U130" s="63">
        <f t="shared" si="15"/>
        <v>0</v>
      </c>
      <c r="V130" s="63">
        <f t="shared" si="15"/>
        <v>0</v>
      </c>
      <c r="W130" s="63">
        <f t="shared" si="15"/>
        <v>0</v>
      </c>
    </row>
    <row r="131" spans="1:23">
      <c r="A131" s="65" t="s">
        <v>277</v>
      </c>
      <c r="B131" s="2">
        <f>SUM(B90:B110)</f>
        <v>164438.53128024982</v>
      </c>
      <c r="C131" s="2">
        <f t="shared" ref="C131:W131" si="16">SUM(C90:C110)</f>
        <v>197216.73831425142</v>
      </c>
      <c r="D131" s="2">
        <f t="shared" si="16"/>
        <v>0</v>
      </c>
      <c r="E131" s="2">
        <f t="shared" si="16"/>
        <v>0</v>
      </c>
      <c r="F131" s="2">
        <f t="shared" si="16"/>
        <v>0</v>
      </c>
      <c r="G131" s="2">
        <f t="shared" si="16"/>
        <v>0</v>
      </c>
      <c r="H131" s="2">
        <f t="shared" si="16"/>
        <v>0</v>
      </c>
      <c r="I131" s="2">
        <f t="shared" si="16"/>
        <v>0</v>
      </c>
      <c r="J131" s="2">
        <f t="shared" si="16"/>
        <v>0</v>
      </c>
      <c r="K131" s="2">
        <f t="shared" si="16"/>
        <v>0</v>
      </c>
      <c r="L131" s="2">
        <f t="shared" si="16"/>
        <v>0</v>
      </c>
      <c r="M131" s="63">
        <f t="shared" si="16"/>
        <v>293.19024989596261</v>
      </c>
      <c r="N131" s="63">
        <f t="shared" si="16"/>
        <v>181.98957506973485</v>
      </c>
      <c r="O131" s="63">
        <f t="shared" si="16"/>
        <v>0</v>
      </c>
      <c r="P131" s="63">
        <f t="shared" si="16"/>
        <v>0</v>
      </c>
      <c r="Q131" s="63">
        <f t="shared" si="16"/>
        <v>0</v>
      </c>
      <c r="R131" s="63">
        <f t="shared" si="16"/>
        <v>0</v>
      </c>
      <c r="S131" s="63">
        <f t="shared" si="16"/>
        <v>0</v>
      </c>
      <c r="T131" s="63">
        <f t="shared" si="16"/>
        <v>0</v>
      </c>
      <c r="U131" s="63">
        <f t="shared" si="16"/>
        <v>0</v>
      </c>
      <c r="V131" s="63">
        <f t="shared" si="16"/>
        <v>0</v>
      </c>
      <c r="W131" s="63">
        <f t="shared" si="16"/>
        <v>0</v>
      </c>
    </row>
    <row r="134" spans="1:23">
      <c r="A134" s="25" t="s">
        <v>275</v>
      </c>
    </row>
    <row r="135" spans="1:23">
      <c r="A135" s="40" t="s">
        <v>213</v>
      </c>
      <c r="B135" s="17">
        <v>2018</v>
      </c>
      <c r="C135" s="17">
        <v>2019</v>
      </c>
      <c r="D135" s="17">
        <v>2020</v>
      </c>
      <c r="E135" s="17">
        <v>2021</v>
      </c>
      <c r="F135" s="17">
        <v>2022</v>
      </c>
      <c r="G135" s="17">
        <v>2023</v>
      </c>
      <c r="H135" s="17">
        <v>2024</v>
      </c>
      <c r="I135" s="17">
        <v>2025</v>
      </c>
      <c r="J135" s="17">
        <v>2026</v>
      </c>
      <c r="K135" s="17">
        <v>2027</v>
      </c>
      <c r="L135" s="17">
        <v>2028</v>
      </c>
    </row>
    <row r="136" spans="1:23">
      <c r="A136" s="25" t="s">
        <v>250</v>
      </c>
      <c r="B136" s="28">
        <f>SUMPRODUCT(B11:B$89,$X$11:$X$89)/10^6</f>
        <v>207.59797345005177</v>
      </c>
      <c r="C136" s="28">
        <f>SUMPRODUCT(C11:C$89,$X$11:$X$89)/10^6</f>
        <v>233.04640912234598</v>
      </c>
      <c r="D136" s="28">
        <f>SUMPRODUCT(D11:D$89,$X$11:$X$89)/10^6</f>
        <v>0</v>
      </c>
      <c r="E136" s="28">
        <f>SUMPRODUCT(E11:E$89,$X$11:$X$89)/10^6</f>
        <v>0</v>
      </c>
      <c r="F136" s="28">
        <f>SUMPRODUCT(F11:F$89,$X$11:$X$89)/10^6</f>
        <v>0</v>
      </c>
      <c r="G136" s="28">
        <f>SUMPRODUCT(G11:G$89,$X$11:$X$89)/10^6</f>
        <v>0</v>
      </c>
      <c r="H136" s="28">
        <f>SUMPRODUCT(H11:H$89,$X$11:$X$89)/10^6</f>
        <v>0</v>
      </c>
      <c r="I136" s="28">
        <f>SUMPRODUCT(I11:I$89,$X$11:$X$89)/10^6</f>
        <v>0</v>
      </c>
      <c r="J136" s="28">
        <f>SUMPRODUCT(J11:J$89,$X$11:$X$89)/10^6</f>
        <v>0</v>
      </c>
      <c r="K136" s="28">
        <f>SUMPRODUCT(K11:K$89,$X$11:$X$89)/10^6</f>
        <v>0</v>
      </c>
      <c r="L136" s="28">
        <f>SUMPRODUCT(L11:L$89,$X$11:$X$89)/10^6</f>
        <v>0</v>
      </c>
    </row>
    <row r="137" spans="1:23">
      <c r="A137" s="25" t="s">
        <v>251</v>
      </c>
      <c r="B137" s="54">
        <f>B136+89</f>
        <v>296.59797345005177</v>
      </c>
      <c r="C137" s="29">
        <f>B137+C136</f>
        <v>529.64438257239772</v>
      </c>
      <c r="D137" s="29">
        <f>C137+D136</f>
        <v>529.64438257239772</v>
      </c>
      <c r="E137" s="29">
        <f t="shared" ref="E137:L137" si="17">D137+E136</f>
        <v>529.64438257239772</v>
      </c>
      <c r="F137" s="29">
        <f t="shared" si="17"/>
        <v>529.64438257239772</v>
      </c>
      <c r="G137" s="29">
        <f t="shared" si="17"/>
        <v>529.64438257239772</v>
      </c>
      <c r="H137" s="29">
        <f t="shared" si="17"/>
        <v>529.64438257239772</v>
      </c>
      <c r="I137" s="29">
        <f t="shared" si="17"/>
        <v>529.64438257239772</v>
      </c>
      <c r="J137" s="29">
        <f t="shared" si="17"/>
        <v>529.64438257239772</v>
      </c>
      <c r="K137" s="29">
        <f t="shared" si="17"/>
        <v>529.64438257239772</v>
      </c>
      <c r="L137" s="29">
        <f t="shared" si="17"/>
        <v>529.64438257239772</v>
      </c>
    </row>
    <row r="138" spans="1:23">
      <c r="A138" s="25" t="s">
        <v>252</v>
      </c>
      <c r="B138" s="26"/>
      <c r="C138" s="31">
        <f>C137/B137-1</f>
        <v>0.78573162996203627</v>
      </c>
      <c r="D138" s="31">
        <f t="shared" ref="D138:L138" si="18">D137/C137-1</f>
        <v>0</v>
      </c>
      <c r="E138" s="31">
        <f t="shared" si="18"/>
        <v>0</v>
      </c>
      <c r="F138" s="31">
        <f t="shared" si="18"/>
        <v>0</v>
      </c>
      <c r="G138" s="31">
        <f t="shared" si="18"/>
        <v>0</v>
      </c>
      <c r="H138" s="31">
        <f t="shared" si="18"/>
        <v>0</v>
      </c>
      <c r="I138" s="31">
        <f t="shared" si="18"/>
        <v>0</v>
      </c>
      <c r="J138" s="31">
        <f t="shared" si="18"/>
        <v>0</v>
      </c>
      <c r="K138" s="31">
        <f t="shared" si="18"/>
        <v>0</v>
      </c>
      <c r="L138" s="31">
        <f t="shared" si="18"/>
        <v>0</v>
      </c>
    </row>
    <row r="140" spans="1:23">
      <c r="A140" s="40" t="s">
        <v>214</v>
      </c>
      <c r="B140" s="17">
        <v>2018</v>
      </c>
      <c r="C140" s="17">
        <v>2019</v>
      </c>
      <c r="D140" s="17">
        <v>2020</v>
      </c>
      <c r="E140" s="17">
        <v>2021</v>
      </c>
      <c r="F140" s="17">
        <v>2022</v>
      </c>
      <c r="G140" s="17">
        <v>2023</v>
      </c>
      <c r="H140" s="17">
        <v>2024</v>
      </c>
      <c r="I140" s="17">
        <v>2025</v>
      </c>
      <c r="J140" s="17">
        <v>2026</v>
      </c>
      <c r="K140" s="17">
        <v>2027</v>
      </c>
      <c r="L140" s="17">
        <v>2028</v>
      </c>
    </row>
    <row r="141" spans="1:23">
      <c r="A141" s="25" t="s">
        <v>250</v>
      </c>
      <c r="B141" s="28">
        <f>SUMPRODUCT(B90:B$110,$X$90:$X$110)/10^6</f>
        <v>4.8104253608118679</v>
      </c>
      <c r="C141" s="28">
        <f>SUMPRODUCT(C90:C$110,$X$90:$X$110)/10^6</f>
        <v>4.9272151470555592</v>
      </c>
      <c r="D141" s="28">
        <f>SUMPRODUCT(D90:D$110,$X$90:$X$110)/10^6</f>
        <v>0</v>
      </c>
      <c r="E141" s="28">
        <f>SUMPRODUCT(E90:E$110,$X$90:$X$110)/10^6</f>
        <v>0</v>
      </c>
      <c r="F141" s="28">
        <f>SUMPRODUCT(F90:F$110,$X$90:$X$110)/10^6</f>
        <v>0</v>
      </c>
      <c r="G141" s="28">
        <f>SUMPRODUCT(G90:G$110,$X$90:$X$110)/10^6</f>
        <v>0</v>
      </c>
      <c r="H141" s="28">
        <f>SUMPRODUCT(H90:H$110,$X$90:$X$110)/10^6</f>
        <v>0</v>
      </c>
      <c r="I141" s="28">
        <f>SUMPRODUCT(I90:I$110,$X$90:$X$110)/10^6</f>
        <v>0</v>
      </c>
      <c r="J141" s="28">
        <f>SUMPRODUCT(J90:J$110,$X$90:$X$110)/10^6</f>
        <v>0</v>
      </c>
      <c r="K141" s="28">
        <f>SUMPRODUCT(K90:K$110,$X$90:$X$110)/10^6</f>
        <v>0</v>
      </c>
      <c r="L141" s="28">
        <f>SUMPRODUCT(L90:L$110,$X$90:$X$110)/10^6</f>
        <v>0</v>
      </c>
    </row>
    <row r="142" spans="1:23">
      <c r="A142" s="25" t="s">
        <v>251</v>
      </c>
      <c r="B142" s="30">
        <f>B141</f>
        <v>4.8104253608118679</v>
      </c>
      <c r="C142" s="29">
        <f>B142+C141</f>
        <v>9.7376405078674271</v>
      </c>
      <c r="D142" s="29">
        <f>C142+D141</f>
        <v>9.7376405078674271</v>
      </c>
      <c r="E142" s="29">
        <f t="shared" ref="E142" si="19">D142+E141</f>
        <v>9.7376405078674271</v>
      </c>
      <c r="F142" s="29">
        <f t="shared" ref="F142" si="20">E142+F141</f>
        <v>9.7376405078674271</v>
      </c>
      <c r="G142" s="29">
        <f t="shared" ref="G142" si="21">F142+G141</f>
        <v>9.7376405078674271</v>
      </c>
      <c r="H142" s="29">
        <f t="shared" ref="H142" si="22">G142+H141</f>
        <v>9.7376405078674271</v>
      </c>
      <c r="I142" s="29">
        <f t="shared" ref="I142" si="23">H142+I141</f>
        <v>9.7376405078674271</v>
      </c>
      <c r="J142" s="29">
        <f t="shared" ref="J142" si="24">I142+J141</f>
        <v>9.7376405078674271</v>
      </c>
      <c r="K142" s="29">
        <f t="shared" ref="K142" si="25">J142+K141</f>
        <v>9.7376405078674271</v>
      </c>
      <c r="L142" s="29">
        <f t="shared" ref="L142" si="26">K142+L141</f>
        <v>9.7376405078674271</v>
      </c>
    </row>
    <row r="143" spans="1:23">
      <c r="A143" s="25" t="s">
        <v>252</v>
      </c>
      <c r="B143" s="26"/>
      <c r="C143" s="31">
        <f>C142/B142-1</f>
        <v>1.0242784738320898</v>
      </c>
      <c r="D143" s="31">
        <f t="shared" ref="D143" si="27">D142/C142-1</f>
        <v>0</v>
      </c>
      <c r="E143" s="31">
        <f t="shared" ref="E143" si="28">E142/D142-1</f>
        <v>0</v>
      </c>
      <c r="F143" s="31">
        <f t="shared" ref="F143" si="29">F142/E142-1</f>
        <v>0</v>
      </c>
      <c r="G143" s="31">
        <f t="shared" ref="G143" si="30">G142/F142-1</f>
        <v>0</v>
      </c>
      <c r="H143" s="31">
        <f t="shared" ref="H143" si="31">H142/G142-1</f>
        <v>0</v>
      </c>
      <c r="I143" s="31">
        <f t="shared" ref="I143" si="32">I142/H142-1</f>
        <v>0</v>
      </c>
      <c r="J143" s="31">
        <f t="shared" ref="J143" si="33">J142/I142-1</f>
        <v>0</v>
      </c>
      <c r="K143" s="31">
        <f t="shared" ref="K143" si="34">K142/J142-1</f>
        <v>0</v>
      </c>
      <c r="L143" s="31">
        <f t="shared" ref="L143" si="35">L142/K142-1</f>
        <v>0</v>
      </c>
    </row>
  </sheetData>
  <mergeCells count="2">
    <mergeCell ref="B9:L9"/>
    <mergeCell ref="M9:W9"/>
  </mergeCells>
  <dataValidations count="1">
    <dataValidation type="list" allowBlank="1" showInputMessage="1" showErrorMessage="1" sqref="A11:A110" xr:uid="{00000000-0002-0000-1100-000000000000}">
      <formula1>INDIRECT("Products[LookupCodes]")</formula1>
    </dataValidation>
  </dataValidations>
  <pageMargins left="0.7" right="0.7" top="0.75" bottom="0.75" header="0.3" footer="0.3"/>
  <pageSetup paperSize="9" orientation="portrait" r:id="rId1"/>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M111"/>
  <sheetViews>
    <sheetView zoomScale="50" zoomScaleNormal="50" workbookViewId="0">
      <selection activeCell="A5" sqref="A5"/>
    </sheetView>
  </sheetViews>
  <sheetFormatPr defaultColWidth="8.5" defaultRowHeight="15.75"/>
  <cols>
    <col min="1" max="1" width="35.5" bestFit="1" customWidth="1"/>
    <col min="2" max="12" width="13.3125" customWidth="1"/>
  </cols>
  <sheetData>
    <row r="1" spans="1:13" s="1" customFormat="1" ht="14.25">
      <c r="A1" s="19"/>
    </row>
    <row r="2" spans="1:13" s="1" customFormat="1" ht="18">
      <c r="A2" s="20" t="str">
        <f>'Figures in the Report'!B2</f>
        <v>LightCounting Mega Datacenter Report Database</v>
      </c>
    </row>
    <row r="3" spans="1:13" s="1" customFormat="1">
      <c r="A3" s="21" t="str">
        <f>'Figures in the Report'!B3</f>
        <v xml:space="preserve"> Mega Datacenter Report - July 2023  sample template</v>
      </c>
    </row>
    <row r="4" spans="1:13" s="1" customFormat="1" ht="21">
      <c r="A4" s="22" t="str">
        <f>"Forecast for "&amp;A9</f>
        <v>Forecast for ASP</v>
      </c>
    </row>
    <row r="5" spans="1:13" s="1" customFormat="1" ht="14.25">
      <c r="A5" s="19"/>
    </row>
    <row r="9" spans="1:13">
      <c r="A9" s="12" t="s">
        <v>278</v>
      </c>
      <c r="B9" s="221" t="s">
        <v>279</v>
      </c>
      <c r="C9" s="221"/>
      <c r="D9" s="221"/>
      <c r="E9" s="221"/>
      <c r="F9" s="221"/>
      <c r="G9" s="221"/>
      <c r="H9" s="221"/>
      <c r="I9" s="221"/>
      <c r="J9" s="221"/>
      <c r="K9" s="221"/>
      <c r="L9" s="221"/>
    </row>
    <row r="10" spans="1:13" s="7" customFormat="1" ht="13.15">
      <c r="A10" s="13" t="s">
        <v>342</v>
      </c>
      <c r="B10" s="10" t="s">
        <v>233</v>
      </c>
      <c r="C10" s="10" t="s">
        <v>234</v>
      </c>
      <c r="D10" s="10" t="s">
        <v>235</v>
      </c>
      <c r="E10" s="10" t="s">
        <v>236</v>
      </c>
      <c r="F10" s="10" t="s">
        <v>237</v>
      </c>
      <c r="G10" s="10" t="s">
        <v>238</v>
      </c>
      <c r="H10" s="10" t="s">
        <v>239</v>
      </c>
      <c r="I10" s="10" t="s">
        <v>240</v>
      </c>
      <c r="J10" s="10" t="s">
        <v>241</v>
      </c>
      <c r="K10" s="10" t="s">
        <v>242</v>
      </c>
      <c r="L10" s="10" t="s">
        <v>243</v>
      </c>
      <c r="M10" s="27" t="s">
        <v>253</v>
      </c>
    </row>
    <row r="11" spans="1:13" s="1" customFormat="1" ht="13.15">
      <c r="A11" s="14" t="s">
        <v>149</v>
      </c>
      <c r="B11" s="43">
        <v>8.1963947817703744</v>
      </c>
      <c r="C11" s="43">
        <v>6.5310968236540647</v>
      </c>
      <c r="D11" s="43"/>
      <c r="E11" s="43"/>
      <c r="F11" s="43"/>
      <c r="G11" s="43"/>
      <c r="H11" s="43"/>
      <c r="I11" s="43"/>
      <c r="J11" s="43"/>
      <c r="K11" s="43"/>
      <c r="L11" s="43"/>
      <c r="M11" s="1">
        <v>1</v>
      </c>
    </row>
    <row r="12" spans="1:13" s="1" customFormat="1" ht="13.15">
      <c r="A12" s="9" t="s">
        <v>150</v>
      </c>
      <c r="B12" s="43">
        <v>7.9991133376783168</v>
      </c>
      <c r="C12" s="43">
        <v>7.7271597478083978</v>
      </c>
      <c r="D12" s="43"/>
      <c r="E12" s="43"/>
      <c r="F12" s="43"/>
      <c r="G12" s="43"/>
      <c r="H12" s="43"/>
      <c r="I12" s="43"/>
      <c r="J12" s="43"/>
      <c r="K12" s="43"/>
      <c r="L12" s="43"/>
      <c r="M12" s="1">
        <v>1</v>
      </c>
    </row>
    <row r="13" spans="1:13" s="1" customFormat="1" ht="13.15">
      <c r="A13" s="9" t="s">
        <v>151</v>
      </c>
      <c r="B13" s="43">
        <v>11.355942578382948</v>
      </c>
      <c r="C13" s="43">
        <v>6.73831916455803</v>
      </c>
      <c r="D13" s="43"/>
      <c r="E13" s="43"/>
      <c r="F13" s="43"/>
      <c r="G13" s="43"/>
      <c r="H13" s="43"/>
      <c r="I13" s="43"/>
      <c r="J13" s="43"/>
      <c r="K13" s="43"/>
      <c r="L13" s="43"/>
      <c r="M13" s="1">
        <v>1</v>
      </c>
    </row>
    <row r="14" spans="1:13" s="1" customFormat="1" ht="13.15">
      <c r="A14" s="9" t="s">
        <v>152</v>
      </c>
      <c r="B14" s="43">
        <v>32.87799862653884</v>
      </c>
      <c r="C14" s="43">
        <v>29.555877684398165</v>
      </c>
      <c r="D14" s="43"/>
      <c r="E14" s="43"/>
      <c r="F14" s="43"/>
      <c r="G14" s="43"/>
      <c r="H14" s="43"/>
      <c r="I14" s="43"/>
      <c r="J14" s="43"/>
      <c r="K14" s="43"/>
      <c r="L14" s="43"/>
      <c r="M14" s="1">
        <v>1</v>
      </c>
    </row>
    <row r="15" spans="1:13" s="1" customFormat="1" ht="13.15">
      <c r="A15" s="9" t="s">
        <v>153</v>
      </c>
      <c r="B15" s="43">
        <v>0</v>
      </c>
      <c r="C15" s="43">
        <v>0</v>
      </c>
      <c r="D15" s="43"/>
      <c r="E15" s="43"/>
      <c r="F15" s="43"/>
      <c r="G15" s="43"/>
      <c r="H15" s="43"/>
      <c r="I15" s="43"/>
      <c r="J15" s="43"/>
      <c r="K15" s="43"/>
      <c r="L15" s="43"/>
      <c r="M15" s="1">
        <v>1</v>
      </c>
    </row>
    <row r="16" spans="1:13" s="1" customFormat="1" ht="13.15">
      <c r="A16" s="9" t="s">
        <v>154</v>
      </c>
      <c r="B16" s="43">
        <v>53.859817130996483</v>
      </c>
      <c r="C16" s="43">
        <v>50.690660803147772</v>
      </c>
      <c r="D16" s="43"/>
      <c r="E16" s="43"/>
      <c r="F16" s="43"/>
      <c r="G16" s="43"/>
      <c r="H16" s="43"/>
      <c r="I16" s="43"/>
      <c r="J16" s="43"/>
      <c r="K16" s="43"/>
      <c r="L16" s="43"/>
      <c r="M16" s="1">
        <v>10</v>
      </c>
    </row>
    <row r="17" spans="1:13" s="1" customFormat="1" ht="13.15">
      <c r="A17" s="9" t="s">
        <v>155</v>
      </c>
      <c r="B17" s="43">
        <v>12.873119482168063</v>
      </c>
      <c r="C17" s="43">
        <v>11.901909081173461</v>
      </c>
      <c r="D17" s="43"/>
      <c r="E17" s="43"/>
      <c r="F17" s="43"/>
      <c r="G17" s="43"/>
      <c r="H17" s="43"/>
      <c r="I17" s="43"/>
      <c r="J17" s="43"/>
      <c r="K17" s="43"/>
      <c r="L17" s="43"/>
      <c r="M17" s="1">
        <v>10</v>
      </c>
    </row>
    <row r="18" spans="1:13" s="1" customFormat="1" ht="13.15">
      <c r="A18" s="9" t="s">
        <v>156</v>
      </c>
      <c r="B18" s="43">
        <v>62.552567664917163</v>
      </c>
      <c r="C18" s="43">
        <v>59.611529264181257</v>
      </c>
      <c r="D18" s="43"/>
      <c r="E18" s="43"/>
      <c r="F18" s="43"/>
      <c r="G18" s="43"/>
      <c r="H18" s="43"/>
      <c r="I18" s="43"/>
      <c r="J18" s="43"/>
      <c r="K18" s="43"/>
      <c r="L18" s="43"/>
      <c r="M18" s="1">
        <v>10</v>
      </c>
    </row>
    <row r="19" spans="1:13" s="1" customFormat="1" ht="13.15">
      <c r="A19" s="9" t="s">
        <v>157</v>
      </c>
      <c r="B19" s="43">
        <v>44.013044587017021</v>
      </c>
      <c r="C19" s="43">
        <v>41</v>
      </c>
      <c r="D19" s="43"/>
      <c r="E19" s="43"/>
      <c r="F19" s="43"/>
      <c r="G19" s="43"/>
      <c r="H19" s="43"/>
      <c r="I19" s="43"/>
      <c r="J19" s="43"/>
      <c r="K19" s="43"/>
      <c r="L19" s="43"/>
      <c r="M19" s="1">
        <v>10</v>
      </c>
    </row>
    <row r="20" spans="1:13" s="1" customFormat="1" ht="13.15">
      <c r="A20" s="9" t="s">
        <v>158</v>
      </c>
      <c r="B20" s="43">
        <v>24.174517052756187</v>
      </c>
      <c r="C20" s="43">
        <v>21.627202905666547</v>
      </c>
      <c r="D20" s="43"/>
      <c r="E20" s="43"/>
      <c r="F20" s="43"/>
      <c r="G20" s="43"/>
      <c r="H20" s="43"/>
      <c r="I20" s="43"/>
      <c r="J20" s="43"/>
      <c r="K20" s="43"/>
      <c r="L20" s="43"/>
      <c r="M20" s="1">
        <v>10</v>
      </c>
    </row>
    <row r="21" spans="1:13" s="1" customFormat="1" ht="13.15">
      <c r="A21" s="9" t="s">
        <v>159</v>
      </c>
      <c r="B21" s="43">
        <v>119.6669017796072</v>
      </c>
      <c r="C21" s="43">
        <v>119.50068790484173</v>
      </c>
      <c r="D21" s="43"/>
      <c r="E21" s="43"/>
      <c r="F21" s="43"/>
      <c r="G21" s="43"/>
      <c r="H21" s="43"/>
      <c r="I21" s="43"/>
      <c r="J21" s="43"/>
      <c r="K21" s="43"/>
      <c r="L21" s="43"/>
      <c r="M21" s="1">
        <v>10</v>
      </c>
    </row>
    <row r="22" spans="1:13" s="1" customFormat="1" ht="13.15">
      <c r="A22" s="9" t="s">
        <v>160</v>
      </c>
      <c r="B22" s="43">
        <v>99.963714368632438</v>
      </c>
      <c r="C22" s="43">
        <v>66.016798139647349</v>
      </c>
      <c r="D22" s="43"/>
      <c r="E22" s="43"/>
      <c r="F22" s="43"/>
      <c r="G22" s="43"/>
      <c r="H22" s="43"/>
      <c r="I22" s="43"/>
      <c r="J22" s="43"/>
      <c r="K22" s="43"/>
      <c r="L22" s="43"/>
      <c r="M22" s="1">
        <v>10</v>
      </c>
    </row>
    <row r="23" spans="1:13" s="1" customFormat="1" ht="13.15">
      <c r="A23" s="9" t="s">
        <v>161</v>
      </c>
      <c r="B23" s="43">
        <v>298.53432873031477</v>
      </c>
      <c r="C23" s="43">
        <v>339.79189270089455</v>
      </c>
      <c r="D23" s="43"/>
      <c r="E23" s="43"/>
      <c r="F23" s="43"/>
      <c r="G23" s="43"/>
      <c r="H23" s="43"/>
      <c r="I23" s="43"/>
      <c r="J23" s="43"/>
      <c r="K23" s="43"/>
      <c r="L23" s="43"/>
      <c r="M23" s="1">
        <v>10</v>
      </c>
    </row>
    <row r="24" spans="1:13" s="1" customFormat="1" ht="13.15">
      <c r="A24" s="9" t="s">
        <v>162</v>
      </c>
      <c r="B24" s="43">
        <v>232.06261204152722</v>
      </c>
      <c r="C24" s="43">
        <v>209.99253352557963</v>
      </c>
      <c r="D24" s="43"/>
      <c r="E24" s="43"/>
      <c r="F24" s="43"/>
      <c r="G24" s="43"/>
      <c r="H24" s="43"/>
      <c r="I24" s="43"/>
      <c r="J24" s="43"/>
      <c r="K24" s="43"/>
      <c r="L24" s="43"/>
      <c r="M24" s="1">
        <v>10</v>
      </c>
    </row>
    <row r="25" spans="1:13" s="1" customFormat="1" ht="13.15">
      <c r="A25" s="9" t="s">
        <v>163</v>
      </c>
      <c r="B25" s="43">
        <v>114.28571428571429</v>
      </c>
      <c r="C25" s="43">
        <v>120</v>
      </c>
      <c r="D25" s="43"/>
      <c r="E25" s="43"/>
      <c r="F25" s="43"/>
      <c r="G25" s="43"/>
      <c r="H25" s="43"/>
      <c r="I25" s="43"/>
      <c r="J25" s="43"/>
      <c r="K25" s="43"/>
      <c r="L25" s="43"/>
      <c r="M25" s="1">
        <v>10</v>
      </c>
    </row>
    <row r="26" spans="1:13" s="1" customFormat="1" ht="13.15">
      <c r="A26" s="9" t="s">
        <v>164</v>
      </c>
      <c r="B26" s="43">
        <v>87.296721341283785</v>
      </c>
      <c r="C26" s="43">
        <v>64.310689641111139</v>
      </c>
      <c r="D26" s="43"/>
      <c r="E26" s="43"/>
      <c r="F26" s="43"/>
      <c r="G26" s="43"/>
      <c r="H26" s="43"/>
      <c r="I26" s="43"/>
      <c r="J26" s="43"/>
      <c r="K26" s="43"/>
      <c r="L26" s="43"/>
      <c r="M26" s="1">
        <v>25</v>
      </c>
    </row>
    <row r="27" spans="1:13" s="1" customFormat="1" ht="13.15">
      <c r="A27" s="9" t="s">
        <v>165</v>
      </c>
      <c r="B27" s="43">
        <v>194.62477807755377</v>
      </c>
      <c r="C27" s="43">
        <v>117.28240761766357</v>
      </c>
      <c r="D27" s="43"/>
      <c r="E27" s="43"/>
      <c r="F27" s="43"/>
      <c r="G27" s="43"/>
      <c r="H27" s="43"/>
      <c r="I27" s="43"/>
      <c r="J27" s="43"/>
      <c r="K27" s="43"/>
      <c r="L27" s="43"/>
      <c r="M27" s="1">
        <v>25</v>
      </c>
    </row>
    <row r="28" spans="1:13" s="1" customFormat="1" ht="13.15">
      <c r="A28" s="9" t="s">
        <v>166</v>
      </c>
      <c r="B28" s="43">
        <v>0</v>
      </c>
      <c r="C28" s="43">
        <v>0</v>
      </c>
      <c r="D28" s="43"/>
      <c r="E28" s="43"/>
      <c r="F28" s="43"/>
      <c r="G28" s="43"/>
      <c r="H28" s="43"/>
      <c r="I28" s="43"/>
      <c r="J28" s="43"/>
      <c r="K28" s="43"/>
      <c r="L28" s="43"/>
      <c r="M28" s="1">
        <v>25</v>
      </c>
    </row>
    <row r="29" spans="1:13" s="1" customFormat="1" ht="13.15">
      <c r="A29" s="9" t="s">
        <v>0</v>
      </c>
      <c r="B29" s="43">
        <v>58.660264540622045</v>
      </c>
      <c r="C29" s="43">
        <v>46.122113533534389</v>
      </c>
      <c r="D29" s="43"/>
      <c r="E29" s="43"/>
      <c r="F29" s="43"/>
      <c r="G29" s="43"/>
      <c r="H29" s="43"/>
      <c r="I29" s="43"/>
      <c r="J29" s="43"/>
      <c r="K29" s="43"/>
      <c r="L29" s="43"/>
      <c r="M29" s="1">
        <f>VLOOKUP(A29,Products!$A$29:$F$110,6,FALSE)</f>
        <v>40</v>
      </c>
    </row>
    <row r="30" spans="1:13" s="1" customFormat="1" ht="13.15">
      <c r="A30" s="9" t="s">
        <v>167</v>
      </c>
      <c r="B30" s="43">
        <v>227</v>
      </c>
      <c r="C30" s="43">
        <v>215</v>
      </c>
      <c r="D30" s="43"/>
      <c r="E30" s="43"/>
      <c r="F30" s="43"/>
      <c r="G30" s="43"/>
      <c r="H30" s="43"/>
      <c r="I30" s="43"/>
      <c r="J30" s="43"/>
      <c r="K30" s="43"/>
      <c r="L30" s="43"/>
      <c r="M30" s="1">
        <f>VLOOKUP(A30,Products!$A$29:$F$110,6,FALSE)</f>
        <v>40</v>
      </c>
    </row>
    <row r="31" spans="1:13" s="1" customFormat="1" ht="13.15">
      <c r="A31" s="9" t="s">
        <v>1</v>
      </c>
      <c r="B31" s="43">
        <v>63.850920529241115</v>
      </c>
      <c r="C31" s="43">
        <v>62.046561131281194</v>
      </c>
      <c r="D31" s="43"/>
      <c r="E31" s="43"/>
      <c r="F31" s="43"/>
      <c r="G31" s="43"/>
      <c r="H31" s="43"/>
      <c r="I31" s="43"/>
      <c r="J31" s="43"/>
      <c r="K31" s="43"/>
      <c r="L31" s="43"/>
      <c r="M31" s="1">
        <f>VLOOKUP(A31,Products!$A$29:$F$110,6,FALSE)</f>
        <v>40</v>
      </c>
    </row>
    <row r="32" spans="1:13" s="1" customFormat="1" ht="13.15">
      <c r="A32" s="9" t="s">
        <v>168</v>
      </c>
      <c r="B32" s="43">
        <v>251.75081757202989</v>
      </c>
      <c r="C32" s="43">
        <v>229.09940986908356</v>
      </c>
      <c r="D32" s="43"/>
      <c r="E32" s="43"/>
      <c r="F32" s="43"/>
      <c r="G32" s="43"/>
      <c r="H32" s="43"/>
      <c r="I32" s="43"/>
      <c r="J32" s="43"/>
      <c r="K32" s="43"/>
      <c r="L32" s="43"/>
      <c r="M32" s="1">
        <f>VLOOKUP(A32,Products!$A$29:$F$110,6,FALSE)</f>
        <v>40</v>
      </c>
    </row>
    <row r="33" spans="1:13" s="1" customFormat="1">
      <c r="A33" s="15" t="s">
        <v>169</v>
      </c>
      <c r="B33" s="43">
        <v>0</v>
      </c>
      <c r="C33" s="43">
        <v>0</v>
      </c>
      <c r="D33" s="43"/>
      <c r="E33" s="43"/>
      <c r="F33" s="43"/>
      <c r="G33" s="43"/>
      <c r="H33" s="43"/>
      <c r="I33" s="43"/>
      <c r="J33" s="43"/>
      <c r="K33" s="43"/>
      <c r="L33" s="43"/>
      <c r="M33" s="1">
        <f>VLOOKUP(A33,Products!$A$29:$F$110,6,FALSE)</f>
        <v>40</v>
      </c>
    </row>
    <row r="34" spans="1:13" s="1" customFormat="1">
      <c r="A34" s="15" t="s">
        <v>2</v>
      </c>
      <c r="B34" s="43">
        <v>303.68617678545809</v>
      </c>
      <c r="C34" s="43">
        <v>253.43147678888388</v>
      </c>
      <c r="D34" s="43"/>
      <c r="E34" s="43"/>
      <c r="F34" s="43"/>
      <c r="G34" s="43"/>
      <c r="H34" s="43"/>
      <c r="I34" s="43"/>
      <c r="J34" s="43"/>
      <c r="K34" s="43"/>
      <c r="L34" s="43"/>
      <c r="M34" s="1">
        <f>VLOOKUP(A34,Products!$A$29:$F$110,6,FALSE)</f>
        <v>40</v>
      </c>
    </row>
    <row r="35" spans="1:13" s="1" customFormat="1">
      <c r="A35" s="15" t="s">
        <v>170</v>
      </c>
      <c r="B35" s="43">
        <v>0</v>
      </c>
      <c r="C35" s="43">
        <v>0</v>
      </c>
      <c r="D35" s="43"/>
      <c r="E35" s="43"/>
      <c r="F35" s="43"/>
      <c r="G35" s="43"/>
      <c r="H35" s="43"/>
      <c r="I35" s="43"/>
      <c r="J35" s="43"/>
      <c r="K35" s="43"/>
      <c r="L35" s="43"/>
      <c r="M35" s="1">
        <f>VLOOKUP(A35,Products!$A$29:$F$110,6,FALSE)</f>
        <v>40</v>
      </c>
    </row>
    <row r="36" spans="1:13" s="1" customFormat="1">
      <c r="A36" s="15" t="s">
        <v>171</v>
      </c>
      <c r="B36" s="43">
        <v>361.77095787062291</v>
      </c>
      <c r="C36" s="43">
        <v>248.30643495824251</v>
      </c>
      <c r="D36" s="43"/>
      <c r="E36" s="43"/>
      <c r="F36" s="43"/>
      <c r="G36" s="43"/>
      <c r="H36" s="43"/>
      <c r="I36" s="43"/>
      <c r="J36" s="43"/>
      <c r="K36" s="43"/>
      <c r="L36" s="43"/>
      <c r="M36" s="1">
        <f>VLOOKUP(A36,Products!$A$29:$F$110,6,FALSE)</f>
        <v>40</v>
      </c>
    </row>
    <row r="37" spans="1:13" s="1" customFormat="1">
      <c r="A37" s="15" t="s">
        <v>172</v>
      </c>
      <c r="B37" s="43">
        <v>1255.0508268482483</v>
      </c>
      <c r="C37" s="43">
        <v>894.2956424581015</v>
      </c>
      <c r="D37" s="43"/>
      <c r="E37" s="43"/>
      <c r="F37" s="43"/>
      <c r="G37" s="43"/>
      <c r="H37" s="43"/>
      <c r="I37" s="43"/>
      <c r="J37" s="43"/>
      <c r="K37" s="43"/>
      <c r="L37" s="43"/>
      <c r="M37" s="1">
        <f>VLOOKUP(A37,Products!$A$29:$F$110,6,FALSE)</f>
        <v>40</v>
      </c>
    </row>
    <row r="38" spans="1:13" s="1" customFormat="1">
      <c r="A38" s="15" t="s">
        <v>173</v>
      </c>
      <c r="B38" s="43">
        <v>0</v>
      </c>
      <c r="C38" s="43">
        <v>0</v>
      </c>
      <c r="D38" s="43"/>
      <c r="E38" s="43"/>
      <c r="F38" s="43"/>
      <c r="G38" s="43"/>
      <c r="H38" s="43"/>
      <c r="I38" s="43"/>
      <c r="J38" s="43"/>
      <c r="K38" s="43"/>
      <c r="L38" s="43"/>
      <c r="M38" s="1">
        <f>VLOOKUP(A38,Products!$A$29:$F$110,6,FALSE)</f>
        <v>50</v>
      </c>
    </row>
    <row r="39" spans="1:13">
      <c r="A39" s="15" t="s">
        <v>174</v>
      </c>
      <c r="B39" s="43">
        <v>0</v>
      </c>
      <c r="C39" s="43">
        <v>0</v>
      </c>
      <c r="D39" s="43"/>
      <c r="E39" s="43"/>
      <c r="F39" s="43"/>
      <c r="G39" s="43"/>
      <c r="H39" s="43"/>
      <c r="I39" s="43"/>
      <c r="J39" s="43"/>
      <c r="K39" s="43"/>
      <c r="L39" s="43"/>
      <c r="M39" s="1">
        <f>VLOOKUP(A39,Products!$A$29:$F$110,6,FALSE)</f>
        <v>50</v>
      </c>
    </row>
    <row r="40" spans="1:13">
      <c r="A40" s="15" t="s">
        <v>175</v>
      </c>
      <c r="B40" s="43">
        <v>0</v>
      </c>
      <c r="C40" s="43">
        <v>0</v>
      </c>
      <c r="D40" s="43"/>
      <c r="E40" s="43"/>
      <c r="F40" s="43"/>
      <c r="G40" s="43"/>
      <c r="H40" s="43"/>
      <c r="I40" s="43"/>
      <c r="J40" s="43"/>
      <c r="K40" s="43"/>
      <c r="L40" s="43"/>
      <c r="M40" s="1">
        <f>VLOOKUP(A40,Products!$A$29:$F$110,6,FALSE)</f>
        <v>50</v>
      </c>
    </row>
    <row r="41" spans="1:13">
      <c r="A41" s="15" t="s">
        <v>176</v>
      </c>
      <c r="B41" s="43">
        <v>0</v>
      </c>
      <c r="C41" s="43">
        <v>0</v>
      </c>
      <c r="D41" s="43"/>
      <c r="E41" s="43"/>
      <c r="F41" s="43"/>
      <c r="G41" s="43"/>
      <c r="H41" s="43"/>
      <c r="I41" s="43"/>
      <c r="J41" s="43"/>
      <c r="K41" s="43"/>
      <c r="L41" s="43"/>
      <c r="M41" s="1">
        <f>VLOOKUP(A41,Products!$A$29:$F$110,6,FALSE)</f>
        <v>50</v>
      </c>
    </row>
    <row r="42" spans="1:13">
      <c r="A42" s="15" t="s">
        <v>177</v>
      </c>
      <c r="B42" s="43">
        <v>0</v>
      </c>
      <c r="C42" s="43">
        <v>0</v>
      </c>
      <c r="D42" s="43"/>
      <c r="E42" s="43"/>
      <c r="F42" s="43"/>
      <c r="G42" s="43"/>
      <c r="H42" s="43"/>
      <c r="I42" s="43"/>
      <c r="J42" s="43"/>
      <c r="K42" s="43"/>
      <c r="L42" s="43"/>
      <c r="M42" s="1">
        <f>VLOOKUP(A42,Products!$A$29:$F$110,6,FALSE)</f>
        <v>50</v>
      </c>
    </row>
    <row r="43" spans="1:13">
      <c r="A43" s="15" t="s">
        <v>178</v>
      </c>
      <c r="B43" s="43">
        <v>1018.9069493521796</v>
      </c>
      <c r="C43" s="43">
        <v>1000</v>
      </c>
      <c r="D43" s="43"/>
      <c r="E43" s="43"/>
      <c r="F43" s="43"/>
      <c r="G43" s="43"/>
      <c r="H43" s="43"/>
      <c r="I43" s="43"/>
      <c r="J43" s="43"/>
      <c r="K43" s="43"/>
      <c r="L43" s="43"/>
      <c r="M43" s="1">
        <f>VLOOKUP(A43,Products!$A$29:$F$110,6,FALSE)</f>
        <v>100</v>
      </c>
    </row>
    <row r="44" spans="1:13">
      <c r="A44" s="15" t="s">
        <v>179</v>
      </c>
      <c r="B44" s="43">
        <v>1004.0468400000002</v>
      </c>
      <c r="C44" s="43">
        <v>903.64215600000023</v>
      </c>
      <c r="D44" s="43"/>
      <c r="E44" s="43"/>
      <c r="F44" s="43"/>
      <c r="G44" s="43"/>
      <c r="H44" s="43"/>
      <c r="I44" s="43"/>
      <c r="J44" s="43"/>
      <c r="K44" s="43"/>
      <c r="L44" s="43"/>
      <c r="M44" s="1">
        <f>VLOOKUP(A44,Products!$A$29:$F$110,6,FALSE)</f>
        <v>100</v>
      </c>
    </row>
    <row r="45" spans="1:13">
      <c r="A45" s="15" t="s">
        <v>3</v>
      </c>
      <c r="B45" s="43">
        <v>113.54682982085136</v>
      </c>
      <c r="C45" s="43">
        <v>84.990621213745783</v>
      </c>
      <c r="D45" s="43"/>
      <c r="E45" s="43"/>
      <c r="F45" s="43"/>
      <c r="G45" s="43"/>
      <c r="H45" s="43"/>
      <c r="I45" s="43"/>
      <c r="J45" s="43"/>
      <c r="K45" s="43"/>
      <c r="L45" s="43"/>
      <c r="M45" s="1">
        <f>VLOOKUP(A45,Products!$A$29:$F$110,6,FALSE)</f>
        <v>100</v>
      </c>
    </row>
    <row r="46" spans="1:13">
      <c r="A46" s="15" t="s">
        <v>180</v>
      </c>
      <c r="B46" s="43">
        <v>0</v>
      </c>
      <c r="C46" s="43">
        <v>240</v>
      </c>
      <c r="D46" s="43"/>
      <c r="E46" s="43"/>
      <c r="F46" s="43"/>
      <c r="G46" s="43"/>
      <c r="H46" s="43"/>
      <c r="I46" s="43"/>
      <c r="J46" s="43"/>
      <c r="K46" s="43"/>
      <c r="L46" s="43"/>
      <c r="M46" s="1">
        <f>VLOOKUP(A46,Products!$A$29:$F$110,6,FALSE)</f>
        <v>100</v>
      </c>
    </row>
    <row r="47" spans="1:13">
      <c r="A47" s="15" t="s">
        <v>181</v>
      </c>
      <c r="B47" s="43">
        <v>170</v>
      </c>
      <c r="C47" s="43">
        <v>225</v>
      </c>
      <c r="D47" s="43"/>
      <c r="E47" s="43"/>
      <c r="F47" s="43"/>
      <c r="G47" s="43"/>
      <c r="H47" s="43"/>
      <c r="I47" s="43"/>
      <c r="J47" s="43"/>
      <c r="K47" s="43"/>
      <c r="L47" s="43"/>
      <c r="M47" s="1">
        <f>VLOOKUP(A47,Products!$A$29:$F$110,6,FALSE)</f>
        <v>100</v>
      </c>
    </row>
    <row r="48" spans="1:13">
      <c r="A48" s="15" t="s">
        <v>4</v>
      </c>
      <c r="B48" s="43">
        <v>170</v>
      </c>
      <c r="C48" s="43">
        <v>125</v>
      </c>
      <c r="D48" s="43"/>
      <c r="E48" s="43"/>
      <c r="F48" s="43"/>
      <c r="G48" s="43"/>
      <c r="H48" s="43"/>
      <c r="I48" s="43"/>
      <c r="J48" s="43"/>
      <c r="K48" s="43"/>
      <c r="L48" s="43"/>
      <c r="M48" s="1">
        <f>VLOOKUP(A48,Products!$A$29:$F$110,6,FALSE)</f>
        <v>100</v>
      </c>
    </row>
    <row r="49" spans="1:13">
      <c r="A49" s="15" t="s">
        <v>43</v>
      </c>
      <c r="B49" s="43">
        <v>188.02033788894266</v>
      </c>
      <c r="C49" s="43">
        <v>160.00527287107832</v>
      </c>
      <c r="D49" s="43"/>
      <c r="E49" s="43"/>
      <c r="F49" s="43"/>
      <c r="G49" s="43"/>
      <c r="H49" s="43"/>
      <c r="I49" s="43"/>
      <c r="J49" s="43"/>
      <c r="K49" s="43"/>
      <c r="L49" s="43"/>
      <c r="M49" s="1">
        <f>VLOOKUP(A49,Products!$A$29:$F$110,6,FALSE)</f>
        <v>100</v>
      </c>
    </row>
    <row r="50" spans="1:13">
      <c r="A50" s="15" t="s">
        <v>44</v>
      </c>
      <c r="B50" s="43">
        <v>0</v>
      </c>
      <c r="C50" s="43">
        <v>0</v>
      </c>
      <c r="D50" s="43"/>
      <c r="E50" s="43"/>
      <c r="F50" s="43"/>
      <c r="G50" s="43"/>
      <c r="H50" s="43"/>
      <c r="I50" s="43"/>
      <c r="J50" s="43"/>
      <c r="K50" s="43"/>
      <c r="L50" s="43"/>
      <c r="M50" s="1">
        <f>VLOOKUP(A50,Products!$A$29:$F$110,6,FALSE)</f>
        <v>100</v>
      </c>
    </row>
    <row r="51" spans="1:13">
      <c r="A51" s="15" t="s">
        <v>40</v>
      </c>
      <c r="B51" s="43">
        <v>280</v>
      </c>
      <c r="C51" s="43">
        <v>180</v>
      </c>
      <c r="D51" s="43"/>
      <c r="E51" s="43"/>
      <c r="F51" s="43"/>
      <c r="G51" s="43"/>
      <c r="H51" s="43"/>
      <c r="I51" s="43"/>
      <c r="J51" s="43"/>
      <c r="K51" s="43"/>
      <c r="L51" s="43"/>
      <c r="M51" s="1">
        <f>VLOOKUP(A51,Products!$A$29:$F$110,6,FALSE)</f>
        <v>100</v>
      </c>
    </row>
    <row r="52" spans="1:13">
      <c r="A52" s="15" t="s">
        <v>5</v>
      </c>
      <c r="B52" s="43">
        <v>490</v>
      </c>
      <c r="C52" s="43">
        <v>240</v>
      </c>
      <c r="D52" s="43"/>
      <c r="E52" s="43"/>
      <c r="F52" s="43"/>
      <c r="G52" s="43"/>
      <c r="H52" s="43"/>
      <c r="I52" s="43"/>
      <c r="J52" s="43"/>
      <c r="K52" s="43"/>
      <c r="L52" s="43"/>
      <c r="M52" s="1">
        <f>VLOOKUP(A52,Products!$A$29:$F$110,6,FALSE)</f>
        <v>100</v>
      </c>
    </row>
    <row r="53" spans="1:13">
      <c r="A53" s="15" t="s">
        <v>45</v>
      </c>
      <c r="B53" s="43">
        <v>400</v>
      </c>
      <c r="C53" s="43">
        <v>206</v>
      </c>
      <c r="D53" s="43"/>
      <c r="E53" s="43"/>
      <c r="F53" s="43"/>
      <c r="G53" s="43"/>
      <c r="H53" s="43"/>
      <c r="I53" s="43"/>
      <c r="J53" s="43"/>
      <c r="K53" s="43"/>
      <c r="L53" s="43"/>
      <c r="M53" s="1">
        <f>VLOOKUP(A53,Products!$A$29:$F$110,6,FALSE)</f>
        <v>100</v>
      </c>
    </row>
    <row r="54" spans="1:13">
      <c r="A54" s="15" t="s">
        <v>182</v>
      </c>
      <c r="B54" s="43">
        <v>2103.9330552211131</v>
      </c>
      <c r="C54" s="43">
        <v>1472.9284542064104</v>
      </c>
      <c r="D54" s="43"/>
      <c r="E54" s="43"/>
      <c r="F54" s="43"/>
      <c r="G54" s="43"/>
      <c r="H54" s="43"/>
      <c r="I54" s="43"/>
      <c r="J54" s="43"/>
      <c r="K54" s="43"/>
      <c r="L54" s="43"/>
      <c r="M54" s="1">
        <f>VLOOKUP(A54,Products!$A$29:$F$110,6,FALSE)</f>
        <v>100</v>
      </c>
    </row>
    <row r="55" spans="1:13">
      <c r="A55" s="15" t="s">
        <v>183</v>
      </c>
      <c r="B55" s="43">
        <v>1371.5324877705048</v>
      </c>
      <c r="C55" s="43">
        <v>997.97560145256466</v>
      </c>
      <c r="D55" s="43"/>
      <c r="E55" s="43"/>
      <c r="F55" s="43"/>
      <c r="G55" s="43"/>
      <c r="H55" s="43"/>
      <c r="I55" s="43"/>
      <c r="J55" s="43"/>
      <c r="K55" s="43"/>
      <c r="L55" s="43"/>
      <c r="M55" s="1">
        <f>VLOOKUP(A55,Products!$A$29:$F$110,6,FALSE)</f>
        <v>100</v>
      </c>
    </row>
    <row r="56" spans="1:13">
      <c r="A56" s="15" t="s">
        <v>6</v>
      </c>
      <c r="B56" s="43">
        <v>833.83281288172873</v>
      </c>
      <c r="C56" s="43">
        <v>527.08718409117773</v>
      </c>
      <c r="D56" s="43"/>
      <c r="E56" s="43"/>
      <c r="F56" s="43"/>
      <c r="G56" s="43"/>
      <c r="H56" s="43"/>
      <c r="I56" s="43"/>
      <c r="J56" s="43"/>
      <c r="K56" s="43"/>
      <c r="L56" s="43"/>
      <c r="M56" s="1">
        <f>VLOOKUP(A56,Products!$A$29:$F$110,6,FALSE)</f>
        <v>100</v>
      </c>
    </row>
    <row r="57" spans="1:13">
      <c r="A57" s="15" t="s">
        <v>7</v>
      </c>
      <c r="B57" s="43">
        <v>300</v>
      </c>
      <c r="C57" s="43">
        <v>206.21854346332259</v>
      </c>
      <c r="D57" s="43"/>
      <c r="E57" s="43"/>
      <c r="F57" s="43"/>
      <c r="G57" s="43"/>
      <c r="H57" s="43"/>
      <c r="I57" s="43"/>
      <c r="J57" s="43"/>
      <c r="K57" s="43"/>
      <c r="L57" s="43"/>
      <c r="M57" s="1">
        <f>VLOOKUP(A57,Products!$A$29:$F$110,6,FALSE)</f>
        <v>100</v>
      </c>
    </row>
    <row r="58" spans="1:13">
      <c r="A58" s="15" t="s">
        <v>8</v>
      </c>
      <c r="B58" s="43">
        <v>0</v>
      </c>
      <c r="C58" s="43">
        <v>1707.6451454692551</v>
      </c>
      <c r="D58" s="43"/>
      <c r="E58" s="43"/>
      <c r="F58" s="43"/>
      <c r="G58" s="43"/>
      <c r="H58" s="43"/>
      <c r="I58" s="43"/>
      <c r="J58" s="43"/>
      <c r="K58" s="43"/>
      <c r="L58" s="43"/>
      <c r="M58" s="1">
        <f>VLOOKUP(A58,Products!$A$29:$F$110,6,FALSE)</f>
        <v>100</v>
      </c>
    </row>
    <row r="59" spans="1:13">
      <c r="A59" s="15" t="s">
        <v>184</v>
      </c>
      <c r="B59" s="43">
        <v>3113.2837037037038</v>
      </c>
      <c r="C59" s="43">
        <v>2278.8299701530491</v>
      </c>
      <c r="D59" s="43"/>
      <c r="E59" s="43"/>
      <c r="F59" s="43"/>
      <c r="G59" s="43"/>
      <c r="H59" s="43"/>
      <c r="I59" s="43"/>
      <c r="J59" s="43"/>
      <c r="K59" s="43"/>
      <c r="L59" s="43"/>
      <c r="M59" s="1">
        <f>VLOOKUP(A59,Products!$A$29:$F$110,6,FALSE)</f>
        <v>100</v>
      </c>
    </row>
    <row r="60" spans="1:13">
      <c r="A60" s="15" t="s">
        <v>185</v>
      </c>
      <c r="B60" s="43">
        <v>4939.9288403201153</v>
      </c>
      <c r="C60" s="43">
        <v>3852.056814832767</v>
      </c>
      <c r="D60" s="43"/>
      <c r="E60" s="43"/>
      <c r="F60" s="43"/>
      <c r="G60" s="43"/>
      <c r="H60" s="43"/>
      <c r="I60" s="43"/>
      <c r="J60" s="43"/>
      <c r="K60" s="43"/>
      <c r="L60" s="43"/>
      <c r="M60" s="1">
        <f>VLOOKUP(A60,Products!$A$29:$F$110,6,FALSE)</f>
        <v>100</v>
      </c>
    </row>
    <row r="61" spans="1:13">
      <c r="A61" s="15" t="s">
        <v>186</v>
      </c>
      <c r="B61" s="43">
        <v>0</v>
      </c>
      <c r="C61" s="43">
        <v>0</v>
      </c>
      <c r="D61" s="43"/>
      <c r="E61" s="43"/>
      <c r="F61" s="43"/>
      <c r="G61" s="43"/>
      <c r="H61" s="43"/>
      <c r="I61" s="43"/>
      <c r="J61" s="43"/>
      <c r="K61" s="43"/>
      <c r="L61" s="43"/>
      <c r="M61" s="1">
        <f>VLOOKUP(A61,Products!$A$29:$F$110,6,FALSE)</f>
        <v>100</v>
      </c>
    </row>
    <row r="62" spans="1:13">
      <c r="A62" s="15" t="s">
        <v>47</v>
      </c>
      <c r="B62" s="43">
        <v>700</v>
      </c>
      <c r="C62" s="43">
        <v>600</v>
      </c>
      <c r="D62" s="43"/>
      <c r="E62" s="43"/>
      <c r="F62" s="43"/>
      <c r="G62" s="43"/>
      <c r="H62" s="43"/>
      <c r="I62" s="43"/>
      <c r="J62" s="43"/>
      <c r="K62" s="43"/>
      <c r="L62" s="43"/>
      <c r="M62" s="1">
        <f>VLOOKUP(A62,Products!$A$29:$F$110,6,FALSE)</f>
        <v>200</v>
      </c>
    </row>
    <row r="63" spans="1:13">
      <c r="A63" s="15" t="s">
        <v>187</v>
      </c>
      <c r="B63" s="43">
        <v>0</v>
      </c>
      <c r="C63" s="43">
        <v>0</v>
      </c>
      <c r="D63" s="43"/>
      <c r="E63" s="43"/>
      <c r="F63" s="43"/>
      <c r="G63" s="43"/>
      <c r="H63" s="43"/>
      <c r="I63" s="43"/>
      <c r="J63" s="43"/>
      <c r="K63" s="43"/>
      <c r="L63" s="43"/>
      <c r="M63" s="1">
        <f>VLOOKUP(A63,Products!$A$29:$F$110,6,FALSE)</f>
        <v>200</v>
      </c>
    </row>
    <row r="64" spans="1:13">
      <c r="A64" s="15" t="s">
        <v>41</v>
      </c>
      <c r="B64" s="43">
        <v>1500</v>
      </c>
      <c r="C64" s="43">
        <v>509.63438735177863</v>
      </c>
      <c r="D64" s="43"/>
      <c r="E64" s="43"/>
      <c r="F64" s="43"/>
      <c r="G64" s="43"/>
      <c r="H64" s="43"/>
      <c r="I64" s="43"/>
      <c r="J64" s="43"/>
      <c r="K64" s="43"/>
      <c r="L64" s="43"/>
      <c r="M64" s="1">
        <f>VLOOKUP(A64,Products!$A$29:$F$110,6,FALSE)</f>
        <v>200</v>
      </c>
    </row>
    <row r="65" spans="1:13">
      <c r="A65" s="15" t="s">
        <v>188</v>
      </c>
      <c r="B65" s="43">
        <v>0</v>
      </c>
      <c r="C65" s="43">
        <v>0</v>
      </c>
      <c r="D65" s="43"/>
      <c r="E65" s="43"/>
      <c r="F65" s="43"/>
      <c r="G65" s="43"/>
      <c r="H65" s="43"/>
      <c r="I65" s="43"/>
      <c r="J65" s="43"/>
      <c r="K65" s="43"/>
      <c r="L65" s="43"/>
      <c r="M65" s="1">
        <f>VLOOKUP(A65,Products!$A$29:$F$110,6,FALSE)</f>
        <v>200</v>
      </c>
    </row>
    <row r="66" spans="1:13">
      <c r="A66" s="15" t="s">
        <v>189</v>
      </c>
      <c r="B66" s="43">
        <v>0</v>
      </c>
      <c r="C66" s="43">
        <v>0</v>
      </c>
      <c r="D66" s="43"/>
      <c r="E66" s="43"/>
      <c r="F66" s="43"/>
      <c r="G66" s="43"/>
      <c r="H66" s="43"/>
      <c r="I66" s="43"/>
      <c r="J66" s="43"/>
      <c r="K66" s="43"/>
      <c r="L66" s="43"/>
      <c r="M66" s="1">
        <f>VLOOKUP(A66,Products!$A$29:$F$110,6,FALSE)</f>
        <v>200</v>
      </c>
    </row>
    <row r="67" spans="1:13">
      <c r="A67" s="15" t="s">
        <v>9</v>
      </c>
      <c r="B67" s="43">
        <v>644</v>
      </c>
      <c r="C67" s="43">
        <v>520</v>
      </c>
      <c r="D67" s="43"/>
      <c r="E67" s="43"/>
      <c r="F67" s="43"/>
      <c r="G67" s="43"/>
      <c r="H67" s="43"/>
      <c r="I67" s="43"/>
      <c r="J67" s="43"/>
      <c r="K67" s="43"/>
      <c r="L67" s="43"/>
      <c r="M67" s="1">
        <f>VLOOKUP(A67,Products!$A$29:$F$110,6,FALSE)</f>
        <v>400</v>
      </c>
    </row>
    <row r="68" spans="1:13">
      <c r="A68" s="15" t="s">
        <v>339</v>
      </c>
      <c r="B68" s="43">
        <v>0</v>
      </c>
      <c r="C68" s="43">
        <v>0</v>
      </c>
      <c r="D68" s="43"/>
      <c r="E68" s="43"/>
      <c r="F68" s="43"/>
      <c r="G68" s="43"/>
      <c r="H68" s="43"/>
      <c r="I68" s="43"/>
      <c r="J68" s="43"/>
      <c r="K68" s="43"/>
      <c r="L68" s="43"/>
      <c r="M68" s="1">
        <f>VLOOKUP(A68,Products!$A$29:$F$110,6,FALSE)</f>
        <v>400</v>
      </c>
    </row>
    <row r="69" spans="1:13">
      <c r="A69" s="15" t="s">
        <v>11</v>
      </c>
      <c r="B69" s="43">
        <v>1100</v>
      </c>
      <c r="C69" s="43">
        <v>815.28168664412806</v>
      </c>
      <c r="D69" s="43"/>
      <c r="E69" s="43"/>
      <c r="F69" s="43"/>
      <c r="G69" s="43"/>
      <c r="H69" s="43"/>
      <c r="I69" s="43"/>
      <c r="J69" s="43"/>
      <c r="K69" s="43"/>
      <c r="L69" s="43"/>
      <c r="M69" s="1">
        <f>VLOOKUP(A69,Products!$A$29:$F$110,6,FALSE)</f>
        <v>400</v>
      </c>
    </row>
    <row r="70" spans="1:13">
      <c r="A70" s="15" t="s">
        <v>10</v>
      </c>
      <c r="B70" s="43">
        <v>1850</v>
      </c>
      <c r="C70" s="43">
        <v>1000</v>
      </c>
      <c r="D70" s="43"/>
      <c r="E70" s="43"/>
      <c r="F70" s="43"/>
      <c r="G70" s="43"/>
      <c r="H70" s="43"/>
      <c r="I70" s="43"/>
      <c r="J70" s="43"/>
      <c r="K70" s="43"/>
      <c r="L70" s="43"/>
      <c r="M70" s="1">
        <f>VLOOKUP(A70,Products!$A$29:$F$110,6,FALSE)</f>
        <v>400</v>
      </c>
    </row>
    <row r="71" spans="1:13">
      <c r="A71" s="15" t="s">
        <v>42</v>
      </c>
      <c r="B71" s="43">
        <v>2000</v>
      </c>
      <c r="C71" s="43">
        <v>1515.7223793275484</v>
      </c>
      <c r="D71" s="43"/>
      <c r="E71" s="43"/>
      <c r="F71" s="43"/>
      <c r="G71" s="43"/>
      <c r="H71" s="43"/>
      <c r="I71" s="43"/>
      <c r="J71" s="43"/>
      <c r="K71" s="43"/>
      <c r="L71" s="43"/>
      <c r="M71" s="1">
        <f>VLOOKUP(A71,Products!$A$29:$F$110,6,FALSE)</f>
        <v>400</v>
      </c>
    </row>
    <row r="72" spans="1:13">
      <c r="A72" s="15" t="s">
        <v>12</v>
      </c>
      <c r="B72" s="43">
        <v>8000</v>
      </c>
      <c r="C72" s="43">
        <v>6611.5927686633941</v>
      </c>
      <c r="D72" s="43"/>
      <c r="E72" s="43"/>
      <c r="F72" s="43"/>
      <c r="G72" s="43"/>
      <c r="H72" s="43"/>
      <c r="I72" s="43"/>
      <c r="J72" s="43"/>
      <c r="K72" s="43"/>
      <c r="L72" s="43"/>
      <c r="M72" s="1">
        <f>VLOOKUP(A72,Products!$A$29:$F$110,6,FALSE)</f>
        <v>400</v>
      </c>
    </row>
    <row r="73" spans="1:13">
      <c r="A73" s="15" t="s">
        <v>190</v>
      </c>
      <c r="B73" s="43">
        <v>0</v>
      </c>
      <c r="C73" s="43">
        <v>0</v>
      </c>
      <c r="D73" s="43"/>
      <c r="E73" s="43"/>
      <c r="F73" s="43"/>
      <c r="G73" s="43"/>
      <c r="H73" s="43"/>
      <c r="I73" s="43"/>
      <c r="J73" s="43"/>
      <c r="K73" s="43"/>
      <c r="L73" s="43"/>
      <c r="M73" s="1">
        <f>VLOOKUP(A73,Products!$A$29:$F$110,6,FALSE)</f>
        <v>400</v>
      </c>
    </row>
    <row r="74" spans="1:13">
      <c r="A74" s="15" t="s">
        <v>48</v>
      </c>
      <c r="B74" s="43">
        <v>0</v>
      </c>
      <c r="C74" s="43">
        <v>0</v>
      </c>
      <c r="D74" s="43"/>
      <c r="E74" s="43"/>
      <c r="F74" s="43"/>
      <c r="G74" s="43"/>
      <c r="H74" s="43"/>
      <c r="I74" s="43"/>
      <c r="J74" s="43"/>
      <c r="K74" s="43"/>
      <c r="L74" s="43"/>
      <c r="M74" s="1">
        <f>VLOOKUP(A74,Products!$A$29:$F$110,6,FALSE)</f>
        <v>800</v>
      </c>
    </row>
    <row r="75" spans="1:13">
      <c r="A75" s="15" t="s">
        <v>13</v>
      </c>
      <c r="B75" s="43">
        <v>0</v>
      </c>
      <c r="C75" s="43">
        <v>0</v>
      </c>
      <c r="D75" s="43"/>
      <c r="E75" s="43"/>
      <c r="F75" s="43"/>
      <c r="G75" s="43"/>
      <c r="H75" s="43"/>
      <c r="I75" s="43"/>
      <c r="J75" s="43"/>
      <c r="K75" s="43"/>
      <c r="L75" s="43"/>
      <c r="M75" s="1">
        <f>VLOOKUP(A75,Products!$A$29:$F$110,6,FALSE)</f>
        <v>800</v>
      </c>
    </row>
    <row r="76" spans="1:13">
      <c r="A76" s="15" t="s">
        <v>14</v>
      </c>
      <c r="B76" s="43">
        <v>0</v>
      </c>
      <c r="C76" s="43">
        <v>0</v>
      </c>
      <c r="D76" s="43"/>
      <c r="E76" s="43"/>
      <c r="F76" s="43"/>
      <c r="G76" s="43"/>
      <c r="H76" s="43"/>
      <c r="I76" s="43"/>
      <c r="J76" s="43"/>
      <c r="K76" s="43"/>
      <c r="L76" s="43"/>
      <c r="M76" s="1">
        <f>VLOOKUP(A76,Products!$A$29:$F$110,6,FALSE)</f>
        <v>800</v>
      </c>
    </row>
    <row r="77" spans="1:13">
      <c r="A77" s="15" t="s">
        <v>15</v>
      </c>
      <c r="B77" s="43">
        <v>0</v>
      </c>
      <c r="C77" s="43">
        <v>0</v>
      </c>
      <c r="D77" s="43"/>
      <c r="E77" s="43"/>
      <c r="F77" s="43"/>
      <c r="G77" s="43"/>
      <c r="H77" s="43"/>
      <c r="I77" s="43"/>
      <c r="J77" s="43"/>
      <c r="K77" s="43"/>
      <c r="L77" s="43"/>
      <c r="M77" s="1">
        <f>VLOOKUP(A77,Products!$A$29:$F$110,6,FALSE)</f>
        <v>800</v>
      </c>
    </row>
    <row r="78" spans="1:13">
      <c r="A78" s="15" t="s">
        <v>16</v>
      </c>
      <c r="B78" s="43">
        <v>0</v>
      </c>
      <c r="C78" s="43">
        <v>0</v>
      </c>
      <c r="D78" s="43"/>
      <c r="E78" s="43"/>
      <c r="F78" s="43"/>
      <c r="G78" s="43"/>
      <c r="H78" s="43"/>
      <c r="I78" s="43"/>
      <c r="J78" s="43"/>
      <c r="K78" s="43"/>
      <c r="L78" s="43"/>
      <c r="M78" s="1">
        <f>VLOOKUP(A78,Products!$A$29:$F$110,6,FALSE)</f>
        <v>800</v>
      </c>
    </row>
    <row r="79" spans="1:13">
      <c r="A79" s="15" t="s">
        <v>17</v>
      </c>
      <c r="B79" s="43">
        <v>0</v>
      </c>
      <c r="C79" s="43">
        <v>0</v>
      </c>
      <c r="D79" s="43"/>
      <c r="E79" s="43"/>
      <c r="F79" s="43"/>
      <c r="G79" s="43"/>
      <c r="H79" s="43"/>
      <c r="I79" s="43"/>
      <c r="J79" s="43"/>
      <c r="K79" s="43"/>
      <c r="L79" s="43"/>
      <c r="M79" s="1">
        <f>VLOOKUP(A79,Products!$A$29:$F$110,6,FALSE)</f>
        <v>800</v>
      </c>
    </row>
    <row r="80" spans="1:13">
      <c r="A80" s="15" t="s">
        <v>18</v>
      </c>
      <c r="B80" s="43">
        <v>0</v>
      </c>
      <c r="C80" s="43">
        <v>0</v>
      </c>
      <c r="D80" s="43"/>
      <c r="E80" s="43"/>
      <c r="F80" s="43"/>
      <c r="G80" s="43"/>
      <c r="H80" s="43"/>
      <c r="I80" s="43"/>
      <c r="J80" s="43"/>
      <c r="K80" s="43"/>
      <c r="L80" s="43"/>
      <c r="M80" s="1">
        <f>VLOOKUP(A80,Products!$A$29:$F$110,6,FALSE)</f>
        <v>1600</v>
      </c>
    </row>
    <row r="81" spans="1:13">
      <c r="A81" s="15" t="s">
        <v>19</v>
      </c>
      <c r="B81" s="43">
        <v>0</v>
      </c>
      <c r="C81" s="43">
        <v>0</v>
      </c>
      <c r="D81" s="43"/>
      <c r="E81" s="43"/>
      <c r="F81" s="43"/>
      <c r="G81" s="43"/>
      <c r="H81" s="43"/>
      <c r="I81" s="43"/>
      <c r="J81" s="43"/>
      <c r="K81" s="43"/>
      <c r="L81" s="43"/>
      <c r="M81" s="1">
        <f>VLOOKUP(A81,Products!$A$29:$F$110,6,FALSE)</f>
        <v>1600</v>
      </c>
    </row>
    <row r="82" spans="1:13">
      <c r="A82" s="15" t="s">
        <v>20</v>
      </c>
      <c r="B82" s="43">
        <v>0</v>
      </c>
      <c r="C82" s="43">
        <v>0</v>
      </c>
      <c r="D82" s="43"/>
      <c r="E82" s="43"/>
      <c r="F82" s="43"/>
      <c r="G82" s="43"/>
      <c r="H82" s="43"/>
      <c r="I82" s="43"/>
      <c r="J82" s="43"/>
      <c r="K82" s="43"/>
      <c r="L82" s="43"/>
      <c r="M82" s="1">
        <f>VLOOKUP(A82,Products!$A$29:$F$110,6,FALSE)</f>
        <v>1600</v>
      </c>
    </row>
    <row r="83" spans="1:13">
      <c r="A83" s="15" t="s">
        <v>49</v>
      </c>
      <c r="B83" s="43">
        <v>0</v>
      </c>
      <c r="C83" s="43">
        <v>0</v>
      </c>
      <c r="D83" s="43"/>
      <c r="E83" s="43"/>
      <c r="F83" s="43"/>
      <c r="G83" s="43"/>
      <c r="H83" s="43"/>
      <c r="I83" s="43"/>
      <c r="J83" s="43"/>
      <c r="K83" s="43"/>
      <c r="L83" s="43"/>
      <c r="M83" s="1">
        <f>VLOOKUP(A83,Products!$A$29:$F$110,6,FALSE)</f>
        <v>1600</v>
      </c>
    </row>
    <row r="84" spans="1:13">
      <c r="A84" s="15" t="s">
        <v>191</v>
      </c>
      <c r="B84" s="43">
        <v>0</v>
      </c>
      <c r="C84" s="43">
        <v>0</v>
      </c>
      <c r="D84" s="43"/>
      <c r="E84" s="43"/>
      <c r="F84" s="43"/>
      <c r="G84" s="43"/>
      <c r="H84" s="43"/>
      <c r="I84" s="43"/>
      <c r="J84" s="43"/>
      <c r="K84" s="43"/>
      <c r="L84" s="43"/>
      <c r="M84" s="1">
        <f>VLOOKUP(A84,Products!$A$29:$F$110,6,FALSE)</f>
        <v>1600</v>
      </c>
    </row>
    <row r="85" spans="1:13">
      <c r="A85" s="15" t="s">
        <v>192</v>
      </c>
      <c r="B85" s="43">
        <v>0</v>
      </c>
      <c r="C85" s="43">
        <v>0</v>
      </c>
      <c r="D85" s="43"/>
      <c r="E85" s="43"/>
      <c r="F85" s="43"/>
      <c r="G85" s="43"/>
      <c r="H85" s="43"/>
      <c r="I85" s="43"/>
      <c r="J85" s="43"/>
      <c r="K85" s="43"/>
      <c r="L85" s="43"/>
      <c r="M85" s="1">
        <f>VLOOKUP(A85,Products!$A$29:$F$110,6,FALSE)</f>
        <v>3200</v>
      </c>
    </row>
    <row r="86" spans="1:13">
      <c r="A86" s="15" t="s">
        <v>193</v>
      </c>
      <c r="B86" s="43">
        <v>0</v>
      </c>
      <c r="C86" s="43">
        <v>0</v>
      </c>
      <c r="D86" s="43"/>
      <c r="E86" s="43"/>
      <c r="F86" s="43"/>
      <c r="G86" s="43"/>
      <c r="H86" s="43"/>
      <c r="I86" s="43"/>
      <c r="J86" s="43"/>
      <c r="K86" s="43"/>
      <c r="L86" s="43"/>
      <c r="M86" s="1">
        <f>VLOOKUP(A86,Products!$A$29:$F$110,6,FALSE)</f>
        <v>3200</v>
      </c>
    </row>
    <row r="87" spans="1:13">
      <c r="A87" s="15" t="s">
        <v>194</v>
      </c>
      <c r="B87" s="43">
        <v>0</v>
      </c>
      <c r="C87" s="43">
        <v>0</v>
      </c>
      <c r="D87" s="43"/>
      <c r="E87" s="43"/>
      <c r="F87" s="43"/>
      <c r="G87" s="43"/>
      <c r="H87" s="43"/>
      <c r="I87" s="43"/>
      <c r="J87" s="43"/>
      <c r="K87" s="43"/>
      <c r="L87" s="43"/>
      <c r="M87" s="1">
        <f>VLOOKUP(A87,Products!$A$29:$F$110,6,FALSE)</f>
        <v>3200</v>
      </c>
    </row>
    <row r="88" spans="1:13">
      <c r="A88" s="15" t="s">
        <v>195</v>
      </c>
      <c r="B88" s="43">
        <v>0</v>
      </c>
      <c r="C88" s="43">
        <v>0</v>
      </c>
      <c r="D88" s="43"/>
      <c r="E88" s="43"/>
      <c r="F88" s="43"/>
      <c r="G88" s="43"/>
      <c r="H88" s="43"/>
      <c r="I88" s="43"/>
      <c r="J88" s="43"/>
      <c r="K88" s="43"/>
      <c r="L88" s="43"/>
      <c r="M88" s="1">
        <f>VLOOKUP(A88,Products!$A$29:$F$110,6,FALSE)</f>
        <v>3200</v>
      </c>
    </row>
    <row r="89" spans="1:13">
      <c r="A89" s="113" t="s">
        <v>196</v>
      </c>
      <c r="B89" s="108">
        <v>0</v>
      </c>
      <c r="C89" s="108">
        <v>0</v>
      </c>
      <c r="D89" s="108"/>
      <c r="E89" s="108"/>
      <c r="F89" s="108"/>
      <c r="G89" s="108"/>
      <c r="H89" s="108"/>
      <c r="I89" s="108"/>
      <c r="J89" s="108"/>
      <c r="K89" s="108"/>
      <c r="L89" s="108"/>
      <c r="M89" s="4">
        <f>VLOOKUP(A89,Products!$A$29:$F$110,6,FALSE)</f>
        <v>3200</v>
      </c>
    </row>
    <row r="90" spans="1:13">
      <c r="A90" s="15" t="s">
        <v>197</v>
      </c>
      <c r="B90" s="43">
        <v>194.66719181504152</v>
      </c>
      <c r="C90" s="43">
        <v>197.66865137878591</v>
      </c>
      <c r="D90" s="43"/>
      <c r="E90" s="43"/>
      <c r="F90" s="43"/>
      <c r="G90" s="43"/>
      <c r="H90" s="43"/>
      <c r="I90" s="43"/>
      <c r="J90" s="43"/>
      <c r="K90" s="43"/>
      <c r="L90" s="43"/>
      <c r="M90" s="1">
        <f>VLOOKUP(A90,Products!$A$29:$F$110,6,FALSE)</f>
        <v>10</v>
      </c>
    </row>
    <row r="91" spans="1:13">
      <c r="A91" s="15" t="s">
        <v>198</v>
      </c>
      <c r="B91" s="43">
        <v>226</v>
      </c>
      <c r="C91" s="43">
        <v>176.82061812404447</v>
      </c>
      <c r="D91" s="43"/>
      <c r="E91" s="43"/>
      <c r="F91" s="43"/>
      <c r="G91" s="43"/>
      <c r="H91" s="43"/>
      <c r="I91" s="43"/>
      <c r="J91" s="43"/>
      <c r="K91" s="43"/>
      <c r="L91" s="43"/>
      <c r="M91" s="1">
        <f>VLOOKUP(A91,Products!$A$29:$F$110,6,FALSE)</f>
        <v>2.5</v>
      </c>
    </row>
    <row r="92" spans="1:13">
      <c r="A92" s="15" t="s">
        <v>21</v>
      </c>
      <c r="B92" s="43">
        <v>479.07420454329076</v>
      </c>
      <c r="C92" s="43">
        <v>391.63085052651763</v>
      </c>
      <c r="D92" s="43"/>
      <c r="E92" s="43"/>
      <c r="F92" s="43"/>
      <c r="G92" s="43"/>
      <c r="H92" s="43"/>
      <c r="I92" s="43"/>
      <c r="J92" s="43"/>
      <c r="K92" s="43"/>
      <c r="L92" s="43"/>
      <c r="M92" s="1">
        <f>VLOOKUP(A92,Products!$A$29:$F$110,6,FALSE)</f>
        <v>10</v>
      </c>
    </row>
    <row r="93" spans="1:13">
      <c r="A93" s="15" t="s">
        <v>22</v>
      </c>
      <c r="B93" s="43">
        <v>0</v>
      </c>
      <c r="C93" s="43">
        <v>0</v>
      </c>
      <c r="D93" s="43"/>
      <c r="E93" s="43"/>
      <c r="F93" s="43"/>
      <c r="G93" s="43"/>
      <c r="H93" s="43"/>
      <c r="I93" s="43"/>
      <c r="J93" s="43"/>
      <c r="K93" s="43"/>
      <c r="L93" s="43"/>
      <c r="M93" s="1">
        <f>VLOOKUP(A93,Products!$A$29:$F$110,6,FALSE)</f>
        <v>40</v>
      </c>
    </row>
    <row r="94" spans="1:13">
      <c r="A94" s="15" t="s">
        <v>23</v>
      </c>
      <c r="B94" s="43">
        <v>8000</v>
      </c>
      <c r="C94" s="43">
        <v>6400</v>
      </c>
      <c r="D94" s="43"/>
      <c r="E94" s="43"/>
      <c r="F94" s="43"/>
      <c r="G94" s="43"/>
      <c r="H94" s="43"/>
      <c r="I94" s="43"/>
      <c r="J94" s="43"/>
      <c r="K94" s="43"/>
      <c r="L94" s="43"/>
      <c r="M94" s="1">
        <f>VLOOKUP(A94,Products!$A$29:$F$110,6,FALSE)</f>
        <v>100</v>
      </c>
    </row>
    <row r="95" spans="1:13">
      <c r="A95" s="15" t="s">
        <v>24</v>
      </c>
      <c r="B95" s="43">
        <v>2642</v>
      </c>
      <c r="C95" s="43">
        <v>2458.3333333333335</v>
      </c>
      <c r="D95" s="43"/>
      <c r="E95" s="43"/>
      <c r="F95" s="43"/>
      <c r="G95" s="43"/>
      <c r="H95" s="43"/>
      <c r="I95" s="43"/>
      <c r="J95" s="43"/>
      <c r="K95" s="43"/>
      <c r="L95" s="43"/>
      <c r="M95" s="1">
        <f>VLOOKUP(A95,Products!$A$29:$F$110,6,FALSE)</f>
        <v>100</v>
      </c>
    </row>
    <row r="96" spans="1:13">
      <c r="A96" s="15" t="s">
        <v>25</v>
      </c>
      <c r="B96" s="43">
        <v>5500</v>
      </c>
      <c r="C96" s="43">
        <v>4400</v>
      </c>
      <c r="D96" s="43"/>
      <c r="E96" s="43"/>
      <c r="F96" s="43"/>
      <c r="G96" s="43"/>
      <c r="H96" s="43"/>
      <c r="I96" s="43"/>
      <c r="J96" s="43"/>
      <c r="K96" s="43"/>
      <c r="L96" s="43"/>
      <c r="M96" s="1">
        <f>VLOOKUP(A96,Products!$A$29:$F$110,6,FALSE)</f>
        <v>100</v>
      </c>
    </row>
    <row r="97" spans="1:13">
      <c r="A97" s="15" t="s">
        <v>26</v>
      </c>
      <c r="B97" s="43">
        <v>0</v>
      </c>
      <c r="C97" s="43">
        <v>0</v>
      </c>
      <c r="D97" s="43"/>
      <c r="E97" s="43"/>
      <c r="F97" s="43"/>
      <c r="G97" s="43"/>
      <c r="H97" s="43"/>
      <c r="I97" s="43"/>
      <c r="J97" s="43"/>
      <c r="K97" s="43"/>
      <c r="L97" s="43"/>
      <c r="M97" s="1">
        <f>VLOOKUP(A97,Products!$A$29:$F$110,6,FALSE)</f>
        <v>100</v>
      </c>
    </row>
    <row r="98" spans="1:13">
      <c r="A98" s="15" t="s">
        <v>27</v>
      </c>
      <c r="B98" s="43">
        <v>5170</v>
      </c>
      <c r="C98" s="43">
        <v>3900</v>
      </c>
      <c r="D98" s="43"/>
      <c r="E98" s="43"/>
      <c r="F98" s="43"/>
      <c r="G98" s="43"/>
      <c r="H98" s="43"/>
      <c r="I98" s="43"/>
      <c r="J98" s="43"/>
      <c r="K98" s="43"/>
      <c r="L98" s="43"/>
      <c r="M98" s="1">
        <f>VLOOKUP(A98,Products!$A$29:$F$110,6,FALSE)</f>
        <v>100</v>
      </c>
    </row>
    <row r="99" spans="1:13">
      <c r="A99" s="15" t="s">
        <v>28</v>
      </c>
      <c r="B99" s="43">
        <v>8727.2727272727279</v>
      </c>
      <c r="C99" s="43">
        <v>6981.818181818182</v>
      </c>
      <c r="D99" s="43"/>
      <c r="E99" s="43"/>
      <c r="F99" s="43"/>
      <c r="G99" s="43"/>
      <c r="H99" s="43"/>
      <c r="I99" s="43"/>
      <c r="J99" s="43"/>
      <c r="K99" s="43"/>
      <c r="L99" s="43"/>
      <c r="M99" s="1">
        <f>VLOOKUP(A99,Products!$A$29:$F$110,6,FALSE)</f>
        <v>200</v>
      </c>
    </row>
    <row r="100" spans="1:13">
      <c r="A100" s="15" t="s">
        <v>29</v>
      </c>
      <c r="B100" s="43">
        <v>6000</v>
      </c>
      <c r="C100" s="43">
        <v>4800</v>
      </c>
      <c r="D100" s="43"/>
      <c r="E100" s="43"/>
      <c r="F100" s="43"/>
      <c r="G100" s="43"/>
      <c r="H100" s="43"/>
      <c r="I100" s="43"/>
      <c r="J100" s="43"/>
      <c r="K100" s="43"/>
      <c r="L100" s="43"/>
      <c r="M100" s="1">
        <f>VLOOKUP(A100,Products!$A$29:$F$110,6,FALSE)</f>
        <v>200</v>
      </c>
    </row>
    <row r="101" spans="1:13">
      <c r="A101" s="15" t="s">
        <v>30</v>
      </c>
      <c r="B101" s="43">
        <v>5600</v>
      </c>
      <c r="C101" s="43">
        <v>4300</v>
      </c>
      <c r="D101" s="43"/>
      <c r="E101" s="43"/>
      <c r="F101" s="43"/>
      <c r="G101" s="43"/>
      <c r="H101" s="43"/>
      <c r="I101" s="43"/>
      <c r="J101" s="43"/>
      <c r="K101" s="43"/>
      <c r="L101" s="43"/>
      <c r="M101" s="1">
        <f>VLOOKUP(A101,Products!$A$29:$F$110,6,FALSE)</f>
        <v>200</v>
      </c>
    </row>
    <row r="102" spans="1:13">
      <c r="A102" s="15" t="s">
        <v>31</v>
      </c>
      <c r="B102" s="43">
        <v>0</v>
      </c>
      <c r="C102" s="43">
        <v>8727.2727272727279</v>
      </c>
      <c r="D102" s="43"/>
      <c r="E102" s="43"/>
      <c r="F102" s="43"/>
      <c r="G102" s="43"/>
      <c r="H102" s="43"/>
      <c r="I102" s="43"/>
      <c r="J102" s="43"/>
      <c r="K102" s="43"/>
      <c r="L102" s="43"/>
      <c r="M102" s="1">
        <f>VLOOKUP(A102,Products!$A$29:$F$110,6,FALSE)</f>
        <v>400</v>
      </c>
    </row>
    <row r="103" spans="1:13">
      <c r="A103" s="15" t="s">
        <v>32</v>
      </c>
      <c r="B103" s="43">
        <v>0</v>
      </c>
      <c r="C103" s="43">
        <v>6000</v>
      </c>
      <c r="D103" s="43"/>
      <c r="E103" s="43"/>
      <c r="F103" s="43"/>
      <c r="G103" s="43"/>
      <c r="H103" s="43"/>
      <c r="I103" s="43"/>
      <c r="J103" s="43"/>
      <c r="K103" s="43"/>
      <c r="L103" s="43"/>
      <c r="M103" s="1">
        <f>VLOOKUP(A103,Products!$A$29:$F$110,6,FALSE)</f>
        <v>400</v>
      </c>
    </row>
    <row r="104" spans="1:13">
      <c r="A104" s="15" t="s">
        <v>33</v>
      </c>
      <c r="B104" s="43">
        <v>0</v>
      </c>
      <c r="C104" s="43">
        <v>8200</v>
      </c>
      <c r="D104" s="43"/>
      <c r="E104" s="43"/>
      <c r="F104" s="43"/>
      <c r="G104" s="43"/>
      <c r="H104" s="43"/>
      <c r="I104" s="43"/>
      <c r="J104" s="43"/>
      <c r="K104" s="43"/>
      <c r="L104" s="43"/>
      <c r="M104" s="1">
        <f>VLOOKUP(A104,Products!$A$29:$F$110,6,FALSE)</f>
        <v>400</v>
      </c>
    </row>
    <row r="105" spans="1:13">
      <c r="A105" s="15" t="s">
        <v>34</v>
      </c>
      <c r="B105" s="43">
        <v>0</v>
      </c>
      <c r="C105" s="43">
        <v>0</v>
      </c>
      <c r="D105" s="43"/>
      <c r="E105" s="43"/>
      <c r="F105" s="43"/>
      <c r="G105" s="43"/>
      <c r="H105" s="43"/>
      <c r="I105" s="43"/>
      <c r="J105" s="43"/>
      <c r="K105" s="43"/>
      <c r="L105" s="43"/>
      <c r="M105" s="1">
        <f>VLOOKUP(A105,Products!$A$29:$F$110,6,FALSE)</f>
        <v>400</v>
      </c>
    </row>
    <row r="106" spans="1:13">
      <c r="A106" s="15" t="s">
        <v>35</v>
      </c>
      <c r="B106" s="43">
        <v>16000</v>
      </c>
      <c r="C106" s="43">
        <v>10000</v>
      </c>
      <c r="D106" s="43"/>
      <c r="E106" s="43"/>
      <c r="F106" s="43"/>
      <c r="G106" s="43"/>
      <c r="H106" s="43"/>
      <c r="I106" s="43"/>
      <c r="J106" s="43"/>
      <c r="K106" s="43"/>
      <c r="L106" s="43"/>
      <c r="M106" s="1">
        <f>VLOOKUP(A106,Products!$A$29:$F$110,6,FALSE)</f>
        <v>600</v>
      </c>
    </row>
    <row r="107" spans="1:13">
      <c r="A107" s="15" t="s">
        <v>36</v>
      </c>
      <c r="B107" s="43">
        <v>0</v>
      </c>
      <c r="C107" s="43">
        <v>0</v>
      </c>
      <c r="D107" s="43"/>
      <c r="E107" s="43"/>
      <c r="F107" s="43"/>
      <c r="G107" s="43"/>
      <c r="H107" s="43"/>
      <c r="I107" s="43"/>
      <c r="J107" s="43"/>
      <c r="K107" s="43"/>
      <c r="L107" s="43"/>
      <c r="M107" s="1">
        <f>VLOOKUP(A107,Products!$A$29:$F$110,6,FALSE)</f>
        <v>800</v>
      </c>
    </row>
    <row r="108" spans="1:13">
      <c r="A108" s="15" t="s">
        <v>37</v>
      </c>
      <c r="B108" s="43">
        <v>0</v>
      </c>
      <c r="C108" s="43">
        <v>0</v>
      </c>
      <c r="D108" s="43"/>
      <c r="E108" s="43"/>
      <c r="F108" s="43"/>
      <c r="G108" s="43"/>
      <c r="H108" s="43"/>
      <c r="I108" s="43"/>
      <c r="J108" s="43"/>
      <c r="K108" s="43"/>
      <c r="L108" s="43"/>
      <c r="M108" s="1">
        <f>VLOOKUP(A108,Products!$A$29:$F$110,6,FALSE)</f>
        <v>800</v>
      </c>
    </row>
    <row r="109" spans="1:13">
      <c r="A109" s="15" t="s">
        <v>38</v>
      </c>
      <c r="B109" s="43">
        <v>0</v>
      </c>
      <c r="C109" s="43">
        <v>0</v>
      </c>
      <c r="D109" s="43"/>
      <c r="E109" s="43"/>
      <c r="F109" s="43"/>
      <c r="G109" s="43"/>
      <c r="H109" s="43"/>
      <c r="I109" s="43"/>
      <c r="J109" s="43"/>
      <c r="K109" s="43"/>
      <c r="L109" s="43"/>
      <c r="M109" s="1">
        <f>VLOOKUP(A109,Products!$A$29:$F$110,6,FALSE)</f>
        <v>1200</v>
      </c>
    </row>
    <row r="110" spans="1:13">
      <c r="A110" s="15" t="s">
        <v>39</v>
      </c>
      <c r="B110" s="43">
        <v>0</v>
      </c>
      <c r="C110" s="43">
        <v>0</v>
      </c>
      <c r="D110" s="43"/>
      <c r="E110" s="43"/>
      <c r="F110" s="43"/>
      <c r="G110" s="43"/>
      <c r="H110" s="43"/>
      <c r="I110" s="43"/>
      <c r="J110" s="43"/>
      <c r="K110" s="43"/>
      <c r="L110" s="43"/>
      <c r="M110" s="1">
        <f>VLOOKUP(A110,Products!$A$29:$F$110,6,FALSE)</f>
        <v>1600</v>
      </c>
    </row>
    <row r="111" spans="1:13">
      <c r="A111" s="15"/>
      <c r="B111" s="218"/>
      <c r="C111" s="218"/>
      <c r="D111" s="218"/>
      <c r="E111" s="218"/>
      <c r="F111" s="218"/>
      <c r="G111" s="218"/>
      <c r="H111" s="218"/>
      <c r="I111" s="218"/>
      <c r="J111" s="218"/>
      <c r="K111" s="218"/>
      <c r="L111" s="218"/>
    </row>
  </sheetData>
  <mergeCells count="1">
    <mergeCell ref="B9:L9"/>
  </mergeCells>
  <dataValidations count="1">
    <dataValidation type="list" allowBlank="1" showInputMessage="1" showErrorMessage="1" sqref="A11:A110" xr:uid="{00000000-0002-0000-1200-000000000000}">
      <formula1>INDIRECT("Products[LookupCodes]")</formula1>
    </dataValidation>
  </dataValidations>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O63"/>
  <sheetViews>
    <sheetView showGridLines="0" zoomScale="80" zoomScaleNormal="80" zoomScalePageLayoutView="80" workbookViewId="0"/>
  </sheetViews>
  <sheetFormatPr defaultColWidth="8.3125" defaultRowHeight="12.75"/>
  <cols>
    <col min="1" max="1" width="4" style="134" customWidth="1"/>
    <col min="2" max="2" width="15.3125" style="134" customWidth="1"/>
    <col min="3" max="13" width="8.1875" style="134" customWidth="1"/>
    <col min="14" max="14" width="10.5" style="134" bestFit="1" customWidth="1"/>
    <col min="15" max="15" width="9.3125" style="134" customWidth="1"/>
    <col min="16" max="16384" width="8.3125" style="134"/>
  </cols>
  <sheetData>
    <row r="2" spans="1:15" ht="17.649999999999999">
      <c r="B2" s="126" t="str">
        <f>Introduction!$B$2</f>
        <v>LightCounting Ethernet and DWDM Transceivers Forecast</v>
      </c>
    </row>
    <row r="3" spans="1:15" ht="15.75">
      <c r="B3" s="135" t="str">
        <f>Introduction!$B$3</f>
        <v xml:space="preserve"> Mega Datacenter Report - July 2023  sample template</v>
      </c>
    </row>
    <row r="4" spans="1:15" ht="17.649999999999999">
      <c r="B4" s="126" t="s">
        <v>354</v>
      </c>
    </row>
    <row r="5" spans="1:15" ht="13.15" thickBot="1"/>
    <row r="6" spans="1:15" ht="22.05" customHeight="1">
      <c r="B6" s="208" t="s">
        <v>373</v>
      </c>
      <c r="C6" s="209"/>
      <c r="D6" s="209"/>
      <c r="E6" s="209"/>
      <c r="F6" s="209"/>
      <c r="G6" s="209"/>
      <c r="H6" s="209"/>
      <c r="I6" s="209"/>
      <c r="J6" s="209"/>
      <c r="K6" s="209"/>
      <c r="L6" s="209"/>
      <c r="M6" s="209"/>
      <c r="N6" s="209"/>
      <c r="O6" s="210"/>
    </row>
    <row r="7" spans="1:15" ht="22.05" customHeight="1">
      <c r="B7" s="211" t="s">
        <v>482</v>
      </c>
      <c r="C7" s="212"/>
      <c r="D7" s="212"/>
      <c r="E7" s="212"/>
      <c r="F7" s="212"/>
      <c r="G7" s="212"/>
      <c r="H7" s="212"/>
      <c r="I7" s="212"/>
      <c r="J7" s="212"/>
      <c r="K7" s="212"/>
      <c r="L7" s="212"/>
      <c r="M7" s="212"/>
      <c r="N7" s="212"/>
      <c r="O7" s="213"/>
    </row>
    <row r="8" spans="1:15" ht="22.05" customHeight="1">
      <c r="B8" s="211" t="s">
        <v>374</v>
      </c>
      <c r="C8" s="212"/>
      <c r="D8" s="212"/>
      <c r="E8" s="212"/>
      <c r="F8" s="212"/>
      <c r="G8" s="212"/>
      <c r="H8" s="212"/>
      <c r="I8" s="212"/>
      <c r="J8" s="212"/>
      <c r="K8" s="212"/>
      <c r="L8" s="212"/>
      <c r="M8" s="212"/>
      <c r="N8" s="212"/>
      <c r="O8" s="213"/>
    </row>
    <row r="9" spans="1:15" ht="22.05" customHeight="1">
      <c r="B9" s="211" t="s">
        <v>375</v>
      </c>
      <c r="C9" s="212"/>
      <c r="D9" s="212"/>
      <c r="E9" s="212"/>
      <c r="F9" s="212"/>
      <c r="G9" s="212"/>
      <c r="H9" s="212"/>
      <c r="I9" s="212"/>
      <c r="J9" s="212"/>
      <c r="K9" s="212"/>
      <c r="L9" s="212"/>
      <c r="M9" s="212"/>
      <c r="N9" s="212"/>
      <c r="O9" s="213"/>
    </row>
    <row r="10" spans="1:15" ht="22.05" customHeight="1" thickBot="1">
      <c r="B10" s="214" t="s">
        <v>376</v>
      </c>
      <c r="C10" s="215"/>
      <c r="D10" s="215"/>
      <c r="E10" s="215"/>
      <c r="F10" s="215"/>
      <c r="G10" s="215"/>
      <c r="H10" s="215"/>
      <c r="I10" s="215"/>
      <c r="J10" s="215"/>
      <c r="K10" s="215"/>
      <c r="L10" s="215"/>
      <c r="M10" s="215"/>
      <c r="N10" s="215"/>
      <c r="O10" s="216"/>
    </row>
    <row r="12" spans="1:15">
      <c r="B12" s="136" t="s">
        <v>355</v>
      </c>
      <c r="C12" s="137"/>
      <c r="D12" s="137"/>
      <c r="E12" s="137"/>
      <c r="F12" s="137"/>
      <c r="G12" s="137"/>
      <c r="H12" s="137"/>
      <c r="I12" s="137"/>
      <c r="J12" s="137"/>
      <c r="K12" s="137"/>
      <c r="L12" s="137"/>
      <c r="M12" s="137"/>
      <c r="N12" s="137"/>
      <c r="O12" s="137"/>
    </row>
    <row r="13" spans="1:15">
      <c r="B13" s="136" t="s">
        <v>356</v>
      </c>
      <c r="C13" s="137"/>
      <c r="D13" s="137"/>
      <c r="E13" s="137"/>
      <c r="F13" s="137"/>
      <c r="G13" s="137"/>
      <c r="H13" s="137"/>
      <c r="I13" s="137"/>
      <c r="J13" s="137"/>
      <c r="K13" s="137"/>
      <c r="L13" s="137"/>
      <c r="M13" s="137"/>
      <c r="N13" s="137"/>
      <c r="O13" s="137"/>
    </row>
    <row r="14" spans="1:15">
      <c r="B14" s="136" t="s">
        <v>357</v>
      </c>
      <c r="C14" s="138"/>
      <c r="D14" s="138"/>
      <c r="E14" s="138"/>
      <c r="F14" s="138"/>
      <c r="G14" s="138"/>
      <c r="H14" s="138"/>
      <c r="I14" s="138"/>
      <c r="J14" s="137"/>
      <c r="K14" s="137"/>
      <c r="L14" s="137"/>
      <c r="M14" s="137"/>
      <c r="N14" s="137"/>
      <c r="O14" s="137"/>
    </row>
    <row r="15" spans="1:15">
      <c r="A15" s="136"/>
      <c r="B15" s="134" t="s">
        <v>358</v>
      </c>
      <c r="C15" s="137"/>
      <c r="D15" s="137"/>
      <c r="E15" s="137"/>
      <c r="F15" s="137"/>
      <c r="G15" s="137"/>
      <c r="H15" s="137"/>
      <c r="I15" s="137"/>
      <c r="J15" s="137"/>
      <c r="K15" s="137"/>
      <c r="L15" s="137"/>
      <c r="M15" s="137"/>
      <c r="N15" s="137"/>
      <c r="O15" s="137"/>
    </row>
    <row r="16" spans="1:15">
      <c r="B16" s="137"/>
      <c r="C16" s="137"/>
      <c r="D16" s="137"/>
      <c r="E16" s="137"/>
      <c r="F16" s="137"/>
      <c r="G16" s="137"/>
      <c r="H16" s="137"/>
      <c r="I16" s="137"/>
      <c r="J16" s="137"/>
      <c r="K16" s="137"/>
      <c r="L16" s="137"/>
      <c r="M16" s="137"/>
      <c r="N16" s="137"/>
      <c r="O16" s="137"/>
    </row>
    <row r="17" spans="2:15">
      <c r="B17" s="137"/>
      <c r="C17" s="137"/>
      <c r="D17" s="137"/>
      <c r="E17" s="137"/>
      <c r="F17" s="137"/>
      <c r="G17" s="137"/>
      <c r="H17" s="137"/>
      <c r="I17" s="137"/>
      <c r="J17" s="137"/>
      <c r="K17" s="137"/>
      <c r="L17" s="137"/>
      <c r="M17" s="137"/>
      <c r="N17" s="137"/>
      <c r="O17" s="137"/>
    </row>
    <row r="18" spans="2:15">
      <c r="B18" s="137"/>
      <c r="C18" s="137"/>
      <c r="D18" s="137"/>
      <c r="E18" s="137"/>
      <c r="F18" s="137"/>
      <c r="G18" s="137"/>
      <c r="H18" s="137"/>
      <c r="I18" s="137"/>
      <c r="J18" s="137"/>
      <c r="K18" s="137"/>
      <c r="L18" s="137"/>
      <c r="M18" s="137"/>
      <c r="N18" s="137"/>
      <c r="O18" s="137"/>
    </row>
    <row r="19" spans="2:15">
      <c r="B19" s="137"/>
      <c r="C19" s="137"/>
      <c r="D19" s="137"/>
      <c r="E19" s="137"/>
      <c r="F19" s="137"/>
      <c r="G19" s="137"/>
      <c r="H19" s="137"/>
      <c r="I19" s="137"/>
      <c r="J19" s="137"/>
      <c r="K19" s="137"/>
      <c r="L19" s="137"/>
      <c r="M19" s="137"/>
      <c r="N19" s="137"/>
      <c r="O19" s="137"/>
    </row>
    <row r="20" spans="2:15">
      <c r="B20" s="137"/>
      <c r="C20" s="137"/>
      <c r="D20" s="137"/>
      <c r="E20" s="137"/>
      <c r="F20" s="137"/>
      <c r="G20" s="137"/>
      <c r="H20" s="137"/>
      <c r="I20" s="137"/>
      <c r="J20" s="137"/>
      <c r="K20" s="137"/>
      <c r="L20" s="137"/>
      <c r="M20" s="137"/>
      <c r="N20" s="137"/>
      <c r="O20" s="137"/>
    </row>
    <row r="21" spans="2:15">
      <c r="B21" s="137"/>
      <c r="C21" s="137"/>
      <c r="D21" s="137"/>
      <c r="E21" s="137"/>
      <c r="F21" s="137"/>
      <c r="G21" s="137"/>
      <c r="H21" s="137"/>
      <c r="I21" s="137"/>
      <c r="J21" s="137"/>
      <c r="K21" s="137"/>
      <c r="L21" s="137"/>
      <c r="M21" s="137"/>
      <c r="N21" s="137"/>
      <c r="O21" s="137"/>
    </row>
    <row r="22" spans="2:15">
      <c r="B22" s="137"/>
      <c r="C22" s="137"/>
      <c r="D22" s="137"/>
      <c r="E22" s="137"/>
      <c r="F22" s="137"/>
      <c r="G22" s="137"/>
      <c r="H22" s="137"/>
      <c r="I22" s="137"/>
      <c r="J22" s="137"/>
      <c r="K22" s="137"/>
      <c r="L22" s="137"/>
      <c r="M22" s="137"/>
      <c r="N22" s="137"/>
      <c r="O22" s="137"/>
    </row>
    <row r="23" spans="2:15">
      <c r="B23" s="137"/>
      <c r="C23" s="137"/>
      <c r="D23" s="137"/>
      <c r="E23" s="137"/>
      <c r="F23" s="137"/>
      <c r="G23" s="137"/>
      <c r="H23" s="137"/>
      <c r="I23" s="137"/>
      <c r="J23" s="137"/>
      <c r="K23" s="137"/>
      <c r="L23" s="137"/>
      <c r="M23" s="137"/>
      <c r="N23" s="137"/>
      <c r="O23" s="137"/>
    </row>
    <row r="24" spans="2:15">
      <c r="B24" s="137"/>
      <c r="C24" s="137"/>
      <c r="D24" s="137"/>
      <c r="E24" s="137"/>
      <c r="F24" s="137"/>
      <c r="G24" s="137"/>
      <c r="H24" s="137"/>
      <c r="I24" s="137"/>
      <c r="J24" s="137"/>
      <c r="K24" s="137"/>
      <c r="L24" s="137"/>
      <c r="M24" s="137"/>
      <c r="N24" s="137"/>
      <c r="O24" s="137"/>
    </row>
    <row r="25" spans="2:15">
      <c r="B25" s="137"/>
      <c r="C25" s="137"/>
      <c r="D25" s="137"/>
      <c r="E25" s="137"/>
      <c r="F25" s="137"/>
      <c r="G25" s="137"/>
      <c r="H25" s="137"/>
      <c r="I25" s="137"/>
      <c r="J25" s="137"/>
      <c r="K25" s="137"/>
      <c r="L25" s="137"/>
      <c r="M25" s="137"/>
      <c r="N25" s="137"/>
      <c r="O25" s="137"/>
    </row>
    <row r="26" spans="2:15">
      <c r="B26" s="137"/>
      <c r="C26" s="137"/>
      <c r="D26" s="137"/>
      <c r="E26" s="137"/>
      <c r="F26" s="137"/>
      <c r="G26" s="137"/>
      <c r="H26" s="137"/>
      <c r="I26" s="137"/>
      <c r="J26" s="137"/>
      <c r="K26" s="137"/>
      <c r="L26" s="137"/>
      <c r="M26" s="137"/>
      <c r="N26" s="137"/>
      <c r="O26" s="137"/>
    </row>
    <row r="27" spans="2:15">
      <c r="B27" s="137"/>
      <c r="C27" s="137"/>
      <c r="D27" s="137"/>
      <c r="E27" s="137"/>
      <c r="F27" s="137"/>
      <c r="G27" s="137"/>
      <c r="H27" s="137"/>
      <c r="I27" s="137"/>
      <c r="J27" s="137"/>
      <c r="K27" s="137"/>
      <c r="L27" s="137"/>
      <c r="M27" s="137"/>
      <c r="N27" s="137"/>
      <c r="O27" s="137"/>
    </row>
    <row r="28" spans="2:15" s="125" customFormat="1" ht="15.75">
      <c r="B28" s="139"/>
      <c r="C28" s="140"/>
      <c r="D28" s="141"/>
      <c r="E28" s="141"/>
      <c r="F28" s="141"/>
      <c r="G28" s="141"/>
      <c r="H28" s="141"/>
      <c r="I28" s="141"/>
      <c r="J28" s="141"/>
      <c r="K28" s="142"/>
    </row>
    <row r="29" spans="2:15" ht="13.15">
      <c r="B29" s="143" t="s">
        <v>359</v>
      </c>
      <c r="C29" s="137"/>
      <c r="D29" s="137"/>
      <c r="E29" s="137"/>
      <c r="F29" s="137"/>
      <c r="G29" s="137"/>
      <c r="H29" s="137"/>
      <c r="I29" s="137"/>
      <c r="J29" s="137"/>
      <c r="K29" s="137"/>
      <c r="L29" s="137"/>
      <c r="M29" s="137"/>
      <c r="N29" s="137"/>
      <c r="O29" s="137"/>
    </row>
    <row r="30" spans="2:15">
      <c r="B30" s="137"/>
      <c r="C30" s="137"/>
      <c r="D30" s="137"/>
      <c r="E30" s="137"/>
      <c r="F30" s="137"/>
      <c r="G30" s="137"/>
      <c r="H30" s="137"/>
      <c r="I30" s="137"/>
      <c r="J30" s="137"/>
      <c r="K30" s="137"/>
      <c r="L30" s="137"/>
      <c r="M30" s="137"/>
      <c r="N30" s="137"/>
      <c r="O30" s="137"/>
    </row>
    <row r="31" spans="2:15">
      <c r="B31" s="136" t="s">
        <v>360</v>
      </c>
      <c r="C31" s="136"/>
      <c r="D31" s="136"/>
      <c r="E31" s="136"/>
      <c r="F31" s="136"/>
      <c r="G31" s="136"/>
      <c r="H31" s="136"/>
      <c r="I31" s="136"/>
      <c r="J31" s="137"/>
      <c r="K31" s="137"/>
      <c r="L31" s="137"/>
      <c r="M31" s="137"/>
      <c r="N31" s="137"/>
      <c r="O31" s="137"/>
    </row>
    <row r="32" spans="2:15">
      <c r="B32" s="136"/>
      <c r="C32" s="136"/>
      <c r="D32" s="136"/>
      <c r="E32" s="136"/>
      <c r="F32" s="136"/>
      <c r="G32" s="136"/>
      <c r="H32" s="136"/>
      <c r="I32" s="136"/>
      <c r="J32" s="137"/>
      <c r="K32" s="137"/>
      <c r="L32" s="137"/>
      <c r="M32" s="137"/>
      <c r="N32" s="137"/>
      <c r="O32" s="137"/>
    </row>
    <row r="33" spans="2:15" ht="13.15">
      <c r="B33" s="143" t="s">
        <v>361</v>
      </c>
      <c r="C33" s="136"/>
      <c r="D33" s="136"/>
      <c r="E33" s="136"/>
      <c r="F33" s="136"/>
      <c r="G33" s="136"/>
      <c r="H33" s="136"/>
      <c r="I33" s="136"/>
      <c r="J33" s="137"/>
      <c r="K33" s="137"/>
      <c r="L33" s="137"/>
      <c r="M33" s="137"/>
      <c r="N33" s="137"/>
      <c r="O33" s="137"/>
    </row>
    <row r="34" spans="2:15" ht="13.15">
      <c r="B34" s="143"/>
      <c r="C34" s="136"/>
      <c r="D34" s="136"/>
      <c r="E34" s="136"/>
      <c r="F34" s="136"/>
      <c r="G34" s="136"/>
      <c r="H34" s="136"/>
      <c r="I34" s="136"/>
      <c r="J34" s="137"/>
      <c r="K34" s="137"/>
      <c r="L34" s="137"/>
      <c r="M34" s="137"/>
      <c r="N34" s="137"/>
      <c r="O34" s="137"/>
    </row>
    <row r="35" spans="2:15" ht="13.5" customHeight="1">
      <c r="B35" s="220" t="s">
        <v>362</v>
      </c>
      <c r="C35" s="220"/>
      <c r="D35" s="220"/>
      <c r="E35" s="220"/>
      <c r="F35" s="220"/>
      <c r="G35" s="220"/>
      <c r="H35" s="220"/>
      <c r="I35" s="220"/>
      <c r="J35" s="137"/>
      <c r="K35" s="137"/>
      <c r="L35" s="137"/>
      <c r="M35" s="137"/>
      <c r="N35" s="137"/>
      <c r="O35" s="137"/>
    </row>
    <row r="36" spans="2:15">
      <c r="B36" s="220"/>
      <c r="C36" s="220"/>
      <c r="D36" s="220"/>
      <c r="E36" s="220"/>
      <c r="F36" s="220"/>
      <c r="G36" s="220"/>
      <c r="H36" s="220"/>
      <c r="I36" s="220"/>
      <c r="J36" s="137"/>
      <c r="K36" s="137"/>
      <c r="L36" s="137"/>
      <c r="M36" s="137"/>
      <c r="N36" s="137"/>
      <c r="O36" s="137"/>
    </row>
    <row r="37" spans="2:15">
      <c r="B37" s="220"/>
      <c r="C37" s="220"/>
      <c r="D37" s="220"/>
      <c r="E37" s="220"/>
      <c r="F37" s="220"/>
      <c r="G37" s="220"/>
      <c r="H37" s="220"/>
      <c r="I37" s="220"/>
      <c r="J37" s="137"/>
      <c r="K37" s="137"/>
      <c r="L37" s="137"/>
      <c r="M37" s="137"/>
      <c r="N37" s="137"/>
      <c r="O37" s="137"/>
    </row>
    <row r="38" spans="2:15">
      <c r="B38" s="220"/>
      <c r="C38" s="220"/>
      <c r="D38" s="220"/>
      <c r="E38" s="220"/>
      <c r="F38" s="220"/>
      <c r="G38" s="220"/>
      <c r="H38" s="220"/>
      <c r="I38" s="220"/>
      <c r="J38" s="137"/>
      <c r="K38" s="137"/>
      <c r="L38" s="137"/>
      <c r="M38" s="137"/>
      <c r="N38" s="137"/>
      <c r="O38" s="137"/>
    </row>
    <row r="39" spans="2:15">
      <c r="B39" s="136"/>
      <c r="C39" s="136"/>
      <c r="D39" s="136"/>
      <c r="E39" s="136"/>
      <c r="F39" s="136"/>
      <c r="G39" s="136"/>
      <c r="H39" s="136"/>
      <c r="I39" s="136"/>
      <c r="J39" s="137"/>
      <c r="K39" s="137"/>
      <c r="L39" s="137"/>
      <c r="M39" s="137"/>
      <c r="N39" s="137"/>
      <c r="O39" s="137"/>
    </row>
    <row r="40" spans="2:15" ht="13.15">
      <c r="B40" s="143" t="s">
        <v>363</v>
      </c>
      <c r="C40" s="136"/>
      <c r="D40" s="136"/>
      <c r="E40" s="136"/>
      <c r="F40" s="136"/>
      <c r="G40" s="136"/>
      <c r="H40" s="136"/>
      <c r="I40" s="136"/>
      <c r="J40" s="137"/>
      <c r="K40" s="137"/>
      <c r="L40" s="137"/>
      <c r="M40" s="137"/>
      <c r="N40" s="137"/>
      <c r="O40" s="137"/>
    </row>
    <row r="41" spans="2:15" ht="13.5" customHeight="1">
      <c r="B41" s="220" t="s">
        <v>364</v>
      </c>
      <c r="C41" s="220"/>
      <c r="D41" s="220"/>
      <c r="E41" s="220"/>
      <c r="F41" s="220"/>
      <c r="G41" s="220"/>
      <c r="H41" s="220"/>
      <c r="I41" s="220"/>
      <c r="J41" s="137"/>
      <c r="K41" s="137"/>
      <c r="L41" s="137"/>
      <c r="M41" s="137"/>
      <c r="N41" s="137"/>
      <c r="O41" s="137"/>
    </row>
    <row r="42" spans="2:15">
      <c r="B42" s="220"/>
      <c r="C42" s="220"/>
      <c r="D42" s="220"/>
      <c r="E42" s="220"/>
      <c r="F42" s="220"/>
      <c r="G42" s="220"/>
      <c r="H42" s="220"/>
      <c r="I42" s="220"/>
      <c r="J42" s="137"/>
      <c r="K42" s="137"/>
      <c r="L42" s="137"/>
      <c r="M42" s="137"/>
      <c r="N42" s="137"/>
      <c r="O42" s="137"/>
    </row>
    <row r="43" spans="2:15">
      <c r="B43" s="220"/>
      <c r="C43" s="220"/>
      <c r="D43" s="220"/>
      <c r="E43" s="220"/>
      <c r="F43" s="220"/>
      <c r="G43" s="220"/>
      <c r="H43" s="220"/>
      <c r="I43" s="220"/>
      <c r="J43" s="137"/>
      <c r="K43" s="137"/>
      <c r="L43" s="137"/>
      <c r="M43" s="137"/>
      <c r="N43" s="137"/>
      <c r="O43" s="137"/>
    </row>
    <row r="44" spans="2:15">
      <c r="B44" s="220"/>
      <c r="C44" s="220"/>
      <c r="D44" s="220"/>
      <c r="E44" s="220"/>
      <c r="F44" s="220"/>
      <c r="G44" s="220"/>
      <c r="H44" s="220"/>
      <c r="I44" s="220"/>
      <c r="J44" s="137"/>
      <c r="K44" s="137"/>
      <c r="L44" s="137"/>
      <c r="M44" s="137"/>
      <c r="N44" s="137"/>
      <c r="O44" s="137"/>
    </row>
    <row r="45" spans="2:15">
      <c r="B45" s="136"/>
      <c r="C45" s="136"/>
      <c r="D45" s="136"/>
      <c r="E45" s="136"/>
      <c r="F45" s="136"/>
      <c r="G45" s="136"/>
      <c r="H45" s="136"/>
      <c r="I45" s="136"/>
      <c r="J45" s="137"/>
      <c r="K45" s="137"/>
      <c r="L45" s="137"/>
      <c r="M45" s="137"/>
      <c r="N45" s="137"/>
      <c r="O45" s="137"/>
    </row>
    <row r="46" spans="2:15" ht="13.15">
      <c r="B46" s="143" t="s">
        <v>365</v>
      </c>
      <c r="C46" s="136"/>
      <c r="D46" s="136"/>
      <c r="E46" s="136"/>
      <c r="F46" s="136"/>
      <c r="G46" s="136"/>
      <c r="H46" s="136"/>
      <c r="I46" s="136"/>
      <c r="J46" s="137"/>
      <c r="K46" s="137"/>
      <c r="L46" s="137"/>
      <c r="M46" s="137"/>
      <c r="N46" s="137"/>
      <c r="O46" s="137"/>
    </row>
    <row r="47" spans="2:15" ht="13.5" customHeight="1">
      <c r="B47" s="220" t="s">
        <v>366</v>
      </c>
      <c r="C47" s="220"/>
      <c r="D47" s="220"/>
      <c r="E47" s="220"/>
      <c r="F47" s="220"/>
      <c r="G47" s="220"/>
      <c r="H47" s="220"/>
      <c r="I47" s="220"/>
      <c r="J47" s="137"/>
      <c r="K47" s="137"/>
      <c r="L47" s="137"/>
      <c r="M47" s="137"/>
      <c r="N47" s="137"/>
      <c r="O47" s="137"/>
    </row>
    <row r="48" spans="2:15">
      <c r="B48" s="220"/>
      <c r="C48" s="220"/>
      <c r="D48" s="220"/>
      <c r="E48" s="220"/>
      <c r="F48" s="220"/>
      <c r="G48" s="220"/>
      <c r="H48" s="220"/>
      <c r="I48" s="220"/>
      <c r="J48" s="137"/>
      <c r="K48" s="137"/>
      <c r="L48" s="137"/>
      <c r="M48" s="137"/>
      <c r="N48" s="137"/>
      <c r="O48" s="137"/>
    </row>
    <row r="49" spans="2:15">
      <c r="B49" s="220"/>
      <c r="C49" s="220"/>
      <c r="D49" s="220"/>
      <c r="E49" s="220"/>
      <c r="F49" s="220"/>
      <c r="G49" s="220"/>
      <c r="H49" s="220"/>
      <c r="I49" s="220"/>
      <c r="J49" s="137"/>
      <c r="K49" s="137"/>
      <c r="L49" s="137"/>
      <c r="M49" s="137"/>
      <c r="N49" s="137"/>
      <c r="O49" s="137"/>
    </row>
    <row r="50" spans="2:15">
      <c r="B50" s="220"/>
      <c r="C50" s="220"/>
      <c r="D50" s="220"/>
      <c r="E50" s="220"/>
      <c r="F50" s="220"/>
      <c r="G50" s="220"/>
      <c r="H50" s="220"/>
      <c r="I50" s="220"/>
      <c r="J50" s="137"/>
      <c r="K50" s="137"/>
      <c r="L50" s="137"/>
      <c r="M50" s="137"/>
      <c r="N50" s="137"/>
      <c r="O50" s="137"/>
    </row>
    <row r="51" spans="2:15">
      <c r="B51" s="220"/>
      <c r="C51" s="220"/>
      <c r="D51" s="220"/>
      <c r="E51" s="220"/>
      <c r="F51" s="220"/>
      <c r="G51" s="220"/>
      <c r="H51" s="220"/>
      <c r="I51" s="220"/>
      <c r="J51" s="137"/>
      <c r="K51" s="137"/>
      <c r="L51" s="137"/>
      <c r="M51" s="137"/>
      <c r="N51" s="137"/>
      <c r="O51" s="137"/>
    </row>
    <row r="52" spans="2:15">
      <c r="B52" s="136"/>
      <c r="C52" s="136"/>
      <c r="D52" s="136"/>
      <c r="E52" s="136"/>
      <c r="F52" s="136"/>
      <c r="G52" s="136"/>
      <c r="H52" s="136"/>
      <c r="I52" s="136"/>
      <c r="J52" s="137"/>
      <c r="K52" s="137"/>
      <c r="L52" s="137"/>
      <c r="M52" s="137"/>
      <c r="N52" s="137"/>
      <c r="O52" s="137"/>
    </row>
    <row r="53" spans="2:15" ht="13.15">
      <c r="B53" s="143" t="s">
        <v>367</v>
      </c>
      <c r="C53" s="136"/>
      <c r="D53" s="136"/>
      <c r="E53" s="136"/>
      <c r="F53" s="136"/>
      <c r="G53" s="136"/>
      <c r="H53" s="136"/>
      <c r="I53" s="136"/>
      <c r="J53" s="137"/>
      <c r="K53" s="137"/>
      <c r="L53" s="137"/>
      <c r="M53" s="137"/>
      <c r="N53" s="137"/>
      <c r="O53" s="137"/>
    </row>
    <row r="54" spans="2:15" ht="13.5" customHeight="1">
      <c r="B54" s="220" t="s">
        <v>368</v>
      </c>
      <c r="C54" s="220"/>
      <c r="D54" s="220"/>
      <c r="E54" s="220"/>
      <c r="F54" s="220"/>
      <c r="G54" s="220"/>
      <c r="H54" s="220"/>
      <c r="I54" s="220"/>
      <c r="J54" s="137"/>
      <c r="K54" s="137"/>
      <c r="L54" s="137"/>
      <c r="M54" s="137"/>
      <c r="N54" s="137"/>
      <c r="O54" s="137"/>
    </row>
    <row r="55" spans="2:15">
      <c r="B55" s="220"/>
      <c r="C55" s="220"/>
      <c r="D55" s="220"/>
      <c r="E55" s="220"/>
      <c r="F55" s="220"/>
      <c r="G55" s="220"/>
      <c r="H55" s="220"/>
      <c r="I55" s="220"/>
      <c r="J55" s="137"/>
      <c r="K55" s="137"/>
      <c r="L55" s="137"/>
      <c r="M55" s="137"/>
      <c r="N55" s="137"/>
      <c r="O55" s="137"/>
    </row>
    <row r="56" spans="2:15">
      <c r="B56" s="220"/>
      <c r="C56" s="220"/>
      <c r="D56" s="220"/>
      <c r="E56" s="220"/>
      <c r="F56" s="220"/>
      <c r="G56" s="220"/>
      <c r="H56" s="220"/>
      <c r="I56" s="220"/>
      <c r="J56" s="137"/>
      <c r="K56" s="137"/>
      <c r="L56" s="137"/>
      <c r="M56" s="137"/>
      <c r="N56" s="137"/>
      <c r="O56" s="137"/>
    </row>
    <row r="57" spans="2:15">
      <c r="B57" s="220"/>
      <c r="C57" s="220"/>
      <c r="D57" s="220"/>
      <c r="E57" s="220"/>
      <c r="F57" s="220"/>
      <c r="G57" s="220"/>
      <c r="H57" s="220"/>
      <c r="I57" s="220"/>
      <c r="J57" s="137"/>
      <c r="K57" s="137"/>
      <c r="L57" s="137"/>
      <c r="M57" s="137"/>
      <c r="N57" s="137"/>
      <c r="O57" s="137"/>
    </row>
    <row r="58" spans="2:15">
      <c r="B58" s="136"/>
      <c r="C58" s="136"/>
      <c r="D58" s="136"/>
      <c r="E58" s="136"/>
      <c r="F58" s="136"/>
      <c r="G58" s="136"/>
      <c r="H58" s="136"/>
      <c r="I58" s="136"/>
      <c r="J58" s="137"/>
      <c r="K58" s="137"/>
      <c r="L58" s="137"/>
      <c r="M58" s="137"/>
      <c r="N58" s="137"/>
      <c r="O58" s="137"/>
    </row>
    <row r="59" spans="2:15" ht="13.15">
      <c r="B59" s="143" t="s">
        <v>369</v>
      </c>
      <c r="C59" s="136"/>
      <c r="D59" s="136"/>
      <c r="E59" s="136"/>
      <c r="F59" s="136"/>
      <c r="G59" s="136"/>
      <c r="H59" s="136"/>
      <c r="I59" s="136"/>
      <c r="J59" s="137"/>
      <c r="K59" s="137"/>
      <c r="L59" s="137"/>
      <c r="M59" s="137"/>
      <c r="N59" s="137"/>
      <c r="O59" s="137"/>
    </row>
    <row r="60" spans="2:15" ht="13.5" customHeight="1">
      <c r="B60" s="220" t="s">
        <v>370</v>
      </c>
      <c r="C60" s="220"/>
      <c r="D60" s="220"/>
      <c r="E60" s="220"/>
      <c r="F60" s="220"/>
      <c r="G60" s="220"/>
      <c r="H60" s="220"/>
      <c r="I60" s="220"/>
      <c r="J60" s="137"/>
      <c r="K60" s="137"/>
      <c r="L60" s="137"/>
      <c r="M60" s="137"/>
      <c r="N60" s="137"/>
      <c r="O60" s="137"/>
    </row>
    <row r="61" spans="2:15">
      <c r="B61" s="220"/>
      <c r="C61" s="220"/>
      <c r="D61" s="220"/>
      <c r="E61" s="220"/>
      <c r="F61" s="220"/>
      <c r="G61" s="220"/>
      <c r="H61" s="220"/>
      <c r="I61" s="220"/>
      <c r="J61" s="137"/>
      <c r="K61" s="137"/>
      <c r="L61" s="137"/>
      <c r="M61" s="137"/>
      <c r="N61" s="137"/>
      <c r="O61" s="137"/>
    </row>
    <row r="62" spans="2:15">
      <c r="B62" s="220"/>
      <c r="C62" s="220"/>
      <c r="D62" s="220"/>
      <c r="E62" s="220"/>
      <c r="F62" s="220"/>
      <c r="G62" s="220"/>
      <c r="H62" s="220"/>
      <c r="I62" s="220"/>
      <c r="J62" s="137"/>
      <c r="K62" s="137"/>
      <c r="L62" s="137"/>
      <c r="M62" s="137"/>
      <c r="N62" s="137"/>
      <c r="O62" s="137"/>
    </row>
    <row r="63" spans="2:15">
      <c r="B63" s="220"/>
      <c r="C63" s="220"/>
      <c r="D63" s="220"/>
      <c r="E63" s="220"/>
      <c r="F63" s="220"/>
      <c r="G63" s="220"/>
      <c r="H63" s="220"/>
      <c r="I63" s="220"/>
      <c r="J63" s="137"/>
      <c r="K63" s="137"/>
      <c r="L63" s="137"/>
      <c r="M63" s="137"/>
      <c r="N63" s="137"/>
      <c r="O63" s="137"/>
    </row>
  </sheetData>
  <mergeCells count="5">
    <mergeCell ref="B35:I38"/>
    <mergeCell ref="B41:I44"/>
    <mergeCell ref="B47:I51"/>
    <mergeCell ref="B54:I57"/>
    <mergeCell ref="B60:I63"/>
  </mergeCells>
  <pageMargins left="0.7" right="0.7" top="0.75" bottom="0.75" header="0.3" footer="0.3"/>
  <pageSetup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I198"/>
  <sheetViews>
    <sheetView zoomScale="50" zoomScaleNormal="50" workbookViewId="0">
      <selection activeCell="A6" sqref="A6"/>
    </sheetView>
  </sheetViews>
  <sheetFormatPr defaultColWidth="8.5" defaultRowHeight="15.75"/>
  <cols>
    <col min="1" max="1" width="42.5" bestFit="1" customWidth="1"/>
    <col min="2" max="2" width="13.5" bestFit="1" customWidth="1"/>
    <col min="3" max="6" width="10.5" bestFit="1" customWidth="1"/>
    <col min="7" max="7" width="12.3125" customWidth="1"/>
    <col min="8" max="11" width="10.5" bestFit="1" customWidth="1"/>
    <col min="12" max="12" width="11" bestFit="1" customWidth="1"/>
    <col min="13" max="22" width="10.5" customWidth="1"/>
    <col min="23" max="23" width="11.8125" customWidth="1"/>
    <col min="24" max="24" width="10.6875" bestFit="1" customWidth="1"/>
    <col min="25" max="27" width="8.6875" bestFit="1" customWidth="1"/>
    <col min="28" max="28" width="10" customWidth="1"/>
    <col min="29" max="29" width="10.8125" customWidth="1"/>
    <col min="30" max="30" width="8.6875" bestFit="1" customWidth="1"/>
    <col min="31" max="32" width="9.8125" bestFit="1" customWidth="1"/>
    <col min="33" max="34" width="10" bestFit="1" customWidth="1"/>
  </cols>
  <sheetData>
    <row r="1" spans="1:22" s="1" customFormat="1" ht="14.25">
      <c r="A1" s="19"/>
    </row>
    <row r="2" spans="1:22" s="1" customFormat="1" ht="18">
      <c r="A2" s="20" t="str">
        <f>'Figures in the Report'!B2</f>
        <v>LightCounting Mega Datacenter Report Database</v>
      </c>
      <c r="D2" s="70"/>
      <c r="F2" s="38"/>
    </row>
    <row r="3" spans="1:22" s="1" customFormat="1">
      <c r="A3" s="21" t="str">
        <f>'Figures in the Report'!B3</f>
        <v xml:space="preserve"> Mega Datacenter Report - July 2023  sample template</v>
      </c>
      <c r="D3" s="34"/>
    </row>
    <row r="4" spans="1:22" s="1" customFormat="1" ht="21">
      <c r="A4" s="22" t="str">
        <f>"New Forecast for "&amp;A24</f>
        <v>New Forecast for Global Market</v>
      </c>
      <c r="D4" s="34"/>
    </row>
    <row r="5" spans="1:22" s="1" customFormat="1" ht="14.25">
      <c r="A5" s="19"/>
    </row>
    <row r="6" spans="1:22" s="1" customFormat="1" ht="14.25">
      <c r="A6" s="19"/>
    </row>
    <row r="7" spans="1:22" s="1" customFormat="1" ht="14.25">
      <c r="A7" s="19"/>
    </row>
    <row r="8" spans="1:22" s="1" customFormat="1">
      <c r="A8" t="str">
        <f>"Ethernet transceivers consumed annually by "&amp;A24</f>
        <v>Ethernet transceivers consumed annually by Global Market</v>
      </c>
      <c r="B8"/>
      <c r="C8"/>
      <c r="D8"/>
      <c r="E8" t="str">
        <f>"DWDM transceivers consumed annually by "&amp;A24</f>
        <v>DWDM transceivers consumed annually by Global Market</v>
      </c>
      <c r="G8"/>
      <c r="H8"/>
      <c r="I8"/>
      <c r="J8"/>
      <c r="K8" t="str">
        <f>"Annual spending on Ethernet transceivers by "&amp;A24</f>
        <v>Annual spending on Ethernet transceivers by Global Market</v>
      </c>
      <c r="L8"/>
      <c r="M8"/>
      <c r="N8"/>
      <c r="P8"/>
      <c r="Q8"/>
      <c r="R8" t="str">
        <f>"Annual spending on DWDM transceivers by "&amp;A24</f>
        <v>Annual spending on DWDM transceivers by Global Market</v>
      </c>
      <c r="S8"/>
      <c r="U8"/>
      <c r="V8"/>
    </row>
    <row r="9" spans="1:22" s="1" customFormat="1" ht="14.25">
      <c r="A9" s="19"/>
    </row>
    <row r="10" spans="1:22" s="1" customFormat="1" ht="14.25">
      <c r="A10" s="19"/>
    </row>
    <row r="11" spans="1:22" s="1" customFormat="1" ht="14.25">
      <c r="A11" s="19"/>
    </row>
    <row r="12" spans="1:22" s="1" customFormat="1" ht="14.25">
      <c r="A12" s="19"/>
    </row>
    <row r="13" spans="1:22" s="1" customFormat="1" ht="14.25">
      <c r="A13" s="19"/>
    </row>
    <row r="14" spans="1:22" s="1" customFormat="1" ht="14.25">
      <c r="A14" s="19"/>
    </row>
    <row r="15" spans="1:22" s="1" customFormat="1" ht="14.25">
      <c r="A15" s="19"/>
    </row>
    <row r="16" spans="1:22" s="1" customFormat="1" ht="14.25">
      <c r="A16" s="19"/>
    </row>
    <row r="17" spans="1:35" s="1" customFormat="1" ht="14.25">
      <c r="A17" s="19"/>
    </row>
    <row r="18" spans="1:35" s="1" customFormat="1" ht="14.25">
      <c r="A18" s="19"/>
    </row>
    <row r="19" spans="1:35" s="1" customFormat="1" ht="14.25">
      <c r="A19" s="19"/>
    </row>
    <row r="20" spans="1:35" s="1" customFormat="1" ht="14.25">
      <c r="A20" s="19"/>
    </row>
    <row r="21" spans="1:35" s="1" customFormat="1" ht="14.25">
      <c r="A21" s="19"/>
    </row>
    <row r="24" spans="1:35" s="20" customFormat="1" ht="18">
      <c r="A24" s="81" t="s">
        <v>247</v>
      </c>
      <c r="B24" s="223" t="s">
        <v>280</v>
      </c>
      <c r="C24" s="223"/>
      <c r="D24" s="223"/>
      <c r="E24" s="223"/>
      <c r="F24" s="223"/>
      <c r="G24" s="223"/>
      <c r="H24" s="223"/>
      <c r="I24" s="223"/>
      <c r="J24" s="223"/>
      <c r="K24" s="223"/>
      <c r="L24" s="223"/>
      <c r="M24" s="224" t="s">
        <v>316</v>
      </c>
      <c r="N24" s="224"/>
      <c r="O24" s="224"/>
      <c r="P24" s="224"/>
      <c r="Q24" s="224"/>
      <c r="R24" s="224"/>
      <c r="S24" s="224"/>
      <c r="T24" s="224"/>
      <c r="U24" s="224"/>
      <c r="V24" s="224"/>
      <c r="W24" s="224"/>
      <c r="X24" s="223" t="s">
        <v>317</v>
      </c>
      <c r="Y24" s="223"/>
      <c r="Z24" s="223"/>
      <c r="AA24" s="223"/>
      <c r="AB24" s="223"/>
      <c r="AC24" s="223"/>
      <c r="AD24" s="223"/>
      <c r="AE24" s="223"/>
      <c r="AF24" s="223"/>
      <c r="AG24" s="223"/>
      <c r="AH24" s="223"/>
    </row>
    <row r="25" spans="1:35">
      <c r="A25" s="13" t="s">
        <v>342</v>
      </c>
      <c r="B25" s="10" t="s">
        <v>281</v>
      </c>
      <c r="C25" s="10" t="s">
        <v>282</v>
      </c>
      <c r="D25" s="10" t="s">
        <v>283</v>
      </c>
      <c r="E25" s="10" t="s">
        <v>284</v>
      </c>
      <c r="F25" s="10" t="s">
        <v>285</v>
      </c>
      <c r="G25" s="10" t="s">
        <v>286</v>
      </c>
      <c r="H25" s="10" t="s">
        <v>287</v>
      </c>
      <c r="I25" s="10" t="s">
        <v>288</v>
      </c>
      <c r="J25" s="10" t="s">
        <v>289</v>
      </c>
      <c r="K25" s="10" t="s">
        <v>290</v>
      </c>
      <c r="L25" s="10" t="s">
        <v>291</v>
      </c>
      <c r="M25" s="9" t="s">
        <v>292</v>
      </c>
      <c r="N25" s="9" t="s">
        <v>293</v>
      </c>
      <c r="O25" s="9" t="s">
        <v>294</v>
      </c>
      <c r="P25" s="9" t="s">
        <v>295</v>
      </c>
      <c r="Q25" s="9" t="s">
        <v>296</v>
      </c>
      <c r="R25" s="9" t="s">
        <v>297</v>
      </c>
      <c r="S25" s="9" t="s">
        <v>298</v>
      </c>
      <c r="T25" s="9" t="s">
        <v>299</v>
      </c>
      <c r="U25" s="9" t="s">
        <v>300</v>
      </c>
      <c r="V25" s="9" t="s">
        <v>301</v>
      </c>
      <c r="W25" s="9" t="s">
        <v>302</v>
      </c>
      <c r="X25" s="47" t="s">
        <v>318</v>
      </c>
      <c r="Y25" s="47" t="s">
        <v>319</v>
      </c>
      <c r="Z25" s="47" t="s">
        <v>320</v>
      </c>
      <c r="AA25" s="47" t="s">
        <v>321</v>
      </c>
      <c r="AB25" s="47" t="s">
        <v>322</v>
      </c>
      <c r="AC25" s="47" t="s">
        <v>323</v>
      </c>
      <c r="AD25" s="47" t="s">
        <v>324</v>
      </c>
      <c r="AE25" s="47" t="s">
        <v>325</v>
      </c>
      <c r="AF25" s="47" t="s">
        <v>326</v>
      </c>
      <c r="AG25" s="47" t="s">
        <v>327</v>
      </c>
      <c r="AH25" s="47" t="s">
        <v>328</v>
      </c>
    </row>
    <row r="26" spans="1:35">
      <c r="A26" s="12" t="s">
        <v>149</v>
      </c>
      <c r="B26" s="8">
        <f xml:space="preserve"> SUMIF(tblGoogleUnits[Products],$A26, tblGoogleUnits[cv_2018]) + SUMIF(tblMetaUnits[Products],$A26, tblMetaUnits[cv_2018]) + SUMIF(tblAmazonUnits[Products],$A26, tblAmazonUnits[cv_2018]) + SUMIF(tblMicrosoftUnits[Products],$A26, tblMicrosoftUnits[cv_2018]) + SUMIF(tblAppleUnits[Products],$A26, tblAppleUnits[cv_2018]) + SUMIF(tblAlibabaUnits[Products],$A26, tblAlibabaUnits[cv_2018]) + SUMIF(tblHuaweiUnits[Products],$A26, tblHuaweiUnits[cv_2018]) + SUMIF(tblTencentUnits[Products],$A26, tblTencentUnits[cv_2018]) + SUMIF(tblBaiduUnits[Products],$A26, tblBaiduUnits[cv_2018]) + SUMIF(tblByteDanceUnits[Products],$A26, tblByteDanceUnits[cv_2018]) + SUMIF(tblCloudAOUnits[Products],$A26, tblCloudAOUnits[cv_2018]) + SUMIF(tblTelecomUnits[Products],$A26, tblTelecomUnits[cv_2018]) + SUMIF(tblEnterpriseUnits[Products],$A26, tblEnterpriseUnits[cv_2018])</f>
        <v>4962296</v>
      </c>
      <c r="C26" s="8">
        <f xml:space="preserve"> SUMIF(tblGoogleUnits[Products],$A26, tblGoogleUnits[cv_2019]) + SUMIF(tblMetaUnits[Products],$A26, tblMetaUnits[cv_2019]) + SUMIF(tblAmazonUnits[Products],$A26, tblAmazonUnits[cv_2019]) + SUMIF(tblMicrosoftUnits[Products],$A26, tblMicrosoftUnits[cv_2019]) + SUMIF(tblAppleUnits[Products],$A26, tblAppleUnits[cv_2019]) + SUMIF(tblAlibabaUnits[Products],$A26, tblAlibabaUnits[cv_2019]) + SUMIF(tblHuaweiUnits[Products],$A26, tblHuaweiUnits[cv_2019]) + SUMIF(tblTencentUnits[Products],$A26, tblTencentUnits[cv_2019]) + SUMIF(tblBaiduUnits[Products],$A26, tblBaiduUnits[cv_2019]) + SUMIF(tblByteDanceUnits[Products],$A26, tblByteDanceUnits[cv_2019]) + SUMIF(tblCloudAOUnits[Products],$A26, tblCloudAOUnits[cv_2019]) + SUMIF(tblTelecomUnits[Products],$A26, tblTelecomUnits[cv_2019]) + SUMIF(tblEnterpriseUnits[Products],$A26, tblEnterpriseUnits[cv_2019])</f>
        <v>3594917</v>
      </c>
      <c r="D26" s="8">
        <f xml:space="preserve"> SUMIF(tblGoogleUnits[Products],$A26, tblGoogleUnits[cv_2020]) + SUMIF(tblMetaUnits[Products],$A26, tblMetaUnits[cv_2020]) + SUMIF(tblAmazonUnits[Products],$A26, tblAmazonUnits[cv_2020]) + SUMIF(tblMicrosoftUnits[Products],$A26, tblMicrosoftUnits[cv_2020]) + SUMIF(tblAppleUnits[Products],$A26, tblAppleUnits[cv_2020]) + SUMIF(tblAlibabaUnits[Products],$A26, tblAlibabaUnits[cv_2020]) + SUMIF(tblHuaweiUnits[Products],$A26, tblHuaweiUnits[cv_2020]) + SUMIF(tblTencentUnits[Products],$A26, tblTencentUnits[cv_2020]) + SUMIF(tblBaiduUnits[Products],$A26, tblBaiduUnits[cv_2020]) + SUMIF(tblByteDanceUnits[Products],$A26, tblByteDanceUnits[cv_2020]) + SUMIF(tblCloudAOUnits[Products],$A26, tblCloudAOUnits[cv_2020]) + SUMIF(tblTelecomUnits[Products],$A26, tblTelecomUnits[cv_2020]) + SUMIF(tblEnterpriseUnits[Products],$A26, tblEnterpriseUnits[cv_2020])</f>
        <v>0</v>
      </c>
      <c r="E26" s="8">
        <f xml:space="preserve"> SUMIF(tblGoogleUnits[Products],$A26, tblGoogleUnits[cv_2021]) + SUMIF(tblMetaUnits[Products],$A26, tblMetaUnits[cv_2021]) + SUMIF(tblAmazonUnits[Products],$A26, tblAmazonUnits[cv_2021]) + SUMIF(tblMicrosoftUnits[Products],$A26, tblMicrosoftUnits[cv_2021]) + SUMIF(tblAppleUnits[Products],$A26, tblAppleUnits[cv_2021]) + SUMIF(tblAlibabaUnits[Products],$A26, tblAlibabaUnits[cv_2021]) + SUMIF(tblHuaweiUnits[Products],$A26, tblHuaweiUnits[cv_2021]) + SUMIF(tblTencentUnits[Products],$A26, tblTencentUnits[cv_2021]) + SUMIF(tblBaiduUnits[Products],$A26, tblBaiduUnits[cv_2021]) + SUMIF(tblByteDanceUnits[Products],$A26, tblByteDanceUnits[cv_2021]) + SUMIF(tblCloudAOUnits[Products],$A26, tblCloudAOUnits[cv_2021]) + SUMIF(tblTelecomUnits[Products],$A26, tblTelecomUnits[cv_2021]) + SUMIF(tblEnterpriseUnits[Products],$A26, tblEnterpriseUnits[cv_2021])</f>
        <v>0</v>
      </c>
      <c r="F26" s="8">
        <f xml:space="preserve"> SUMIF(tblGoogleUnits[Products],$A26, tblGoogleUnits[cv_2022]) + SUMIF(tblMetaUnits[Products],$A26, tblMetaUnits[cv_2022]) + SUMIF(tblAmazonUnits[Products],$A26, tblAmazonUnits[cv_2022]) + SUMIF(tblMicrosoftUnits[Products],$A26, tblMicrosoftUnits[cv_2022]) + SUMIF(tblAppleUnits[Products],$A26, tblAppleUnits[cv_2022]) + SUMIF(tblAlibabaUnits[Products],$A26, tblAlibabaUnits[cv_2022]) + SUMIF(tblHuaweiUnits[Products],$A26, tblHuaweiUnits[cv_2022]) + SUMIF(tblTencentUnits[Products],$A26, tblTencentUnits[cv_2022]) + SUMIF(tblBaiduUnits[Products],$A26, tblBaiduUnits[cv_2022]) + SUMIF(tblByteDanceUnits[Products],$A26, tblByteDanceUnits[cv_2022]) + SUMIF(tblCloudAOUnits[Products],$A26, tblCloudAOUnits[cv_2022]) + SUMIF(tblTelecomUnits[Products],$A26, tblTelecomUnits[cv_2022]) + SUMIF(tblEnterpriseUnits[Products],$A26, tblEnterpriseUnits[cv_2022])</f>
        <v>0</v>
      </c>
      <c r="G26" s="8">
        <f xml:space="preserve"> SUMIF(tblGoogleUnits[Products],$A26, tblGoogleUnits[cv_2023]) + SUMIF(tblMetaUnits[Products],$A26, tblMetaUnits[cv_2023]) + SUMIF(tblAmazonUnits[Products],$A26, tblAmazonUnits[cv_2023]) + SUMIF(tblMicrosoftUnits[Products],$A26, tblMicrosoftUnits[cv_2023]) + SUMIF(tblAppleUnits[Products],$A26, tblAppleUnits[cv_2023]) + SUMIF(tblAlibabaUnits[Products],$A26, tblAlibabaUnits[cv_2023]) + SUMIF(tblHuaweiUnits[Products],$A26, tblHuaweiUnits[cv_2023]) + SUMIF(tblTencentUnits[Products],$A26, tblTencentUnits[cv_2023]) + SUMIF(tblBaiduUnits[Products],$A26, tblBaiduUnits[cv_2023]) + SUMIF(tblByteDanceUnits[Products],$A26, tblByteDanceUnits[cv_2023]) + SUMIF(tblCloudAOUnits[Products],$A26, tblCloudAOUnits[cv_2023]) + SUMIF(tblTelecomUnits[Products],$A26, tblTelecomUnits[cv_2023]) + SUMIF(tblEnterpriseUnits[Products],$A26, tblEnterpriseUnits[cv_2023])</f>
        <v>0</v>
      </c>
      <c r="H26" s="8">
        <f xml:space="preserve"> SUMIF(tblGoogleUnits[Products],$A26, tblGoogleUnits[cv_2024]) + SUMIF(tblMetaUnits[Products],$A26, tblMetaUnits[cv_2024]) + SUMIF(tblAmazonUnits[Products],$A26, tblAmazonUnits[cv_2024]) + SUMIF(tblMicrosoftUnits[Products],$A26, tblMicrosoftUnits[cv_2024]) + SUMIF(tblAppleUnits[Products],$A26, tblAppleUnits[cv_2024]) + SUMIF(tblAlibabaUnits[Products],$A26, tblAlibabaUnits[cv_2024]) + SUMIF(tblHuaweiUnits[Products],$A26, tblHuaweiUnits[cv_2024]) + SUMIF(tblTencentUnits[Products],$A26, tblTencentUnits[cv_2024]) + SUMIF(tblBaiduUnits[Products],$A26, tblBaiduUnits[cv_2024]) + SUMIF(tblByteDanceUnits[Products],$A26, tblByteDanceUnits[cv_2024]) + SUMIF(tblCloudAOUnits[Products],$A26, tblCloudAOUnits[cv_2024]) + SUMIF(tblTelecomUnits[Products],$A26, tblTelecomUnits[cv_2024]) + SUMIF(tblEnterpriseUnits[Products],$A26, tblEnterpriseUnits[cv_2024])</f>
        <v>0</v>
      </c>
      <c r="I26" s="8">
        <f xml:space="preserve"> SUMIF(tblGoogleUnits[Products],$A26, tblGoogleUnits[cv_2025]) + SUMIF(tblMetaUnits[Products],$A26, tblMetaUnits[cv_2025]) + SUMIF(tblAmazonUnits[Products],$A26, tblAmazonUnits[cv_2025]) + SUMIF(tblMicrosoftUnits[Products],$A26, tblMicrosoftUnits[cv_2025]) + SUMIF(tblAppleUnits[Products],$A26, tblAppleUnits[cv_2025]) + SUMIF(tblAlibabaUnits[Products],$A26, tblAlibabaUnits[cv_2025]) + SUMIF(tblHuaweiUnits[Products],$A26, tblHuaweiUnits[cv_2025]) + SUMIF(tblTencentUnits[Products],$A26, tblTencentUnits[cv_2025]) + SUMIF(tblBaiduUnits[Products],$A26, tblBaiduUnits[cv_2025]) + SUMIF(tblByteDanceUnits[Products],$A26, tblByteDanceUnits[cv_2025]) + SUMIF(tblCloudAOUnits[Products],$A26, tblCloudAOUnits[cv_2025]) + SUMIF(tblTelecomUnits[Products],$A26, tblTelecomUnits[cv_2025]) + SUMIF(tblEnterpriseUnits[Products],$A26, tblEnterpriseUnits[cv_2025])</f>
        <v>0</v>
      </c>
      <c r="J26" s="8">
        <f xml:space="preserve"> SUMIF(tblGoogleUnits[Products],$A26, tblGoogleUnits[cv_2026]) + SUMIF(tblMetaUnits[Products],$A26, tblMetaUnits[cv_2026]) + SUMIF(tblAmazonUnits[Products],$A26, tblAmazonUnits[cv_2026]) + SUMIF(tblMicrosoftUnits[Products],$A26, tblMicrosoftUnits[cv_2026]) + SUMIF(tblAppleUnits[Products],$A26, tblAppleUnits[cv_2026]) + SUMIF(tblAlibabaUnits[Products],$A26, tblAlibabaUnits[cv_2026]) + SUMIF(tblHuaweiUnits[Products],$A26, tblHuaweiUnits[cv_2026]) + SUMIF(tblTencentUnits[Products],$A26, tblTencentUnits[cv_2026]) + SUMIF(tblBaiduUnits[Products],$A26, tblBaiduUnits[cv_2026]) + SUMIF(tblByteDanceUnits[Products],$A26, tblByteDanceUnits[cv_2026]) + SUMIF(tblCloudAOUnits[Products],$A26, tblCloudAOUnits[cv_2026]) + SUMIF(tblTelecomUnits[Products],$A26, tblTelecomUnits[cv_2026]) + SUMIF(tblEnterpriseUnits[Products],$A26, tblEnterpriseUnits[cv_2026])</f>
        <v>0</v>
      </c>
      <c r="K26" s="8">
        <f xml:space="preserve"> SUMIF(tblGoogleUnits[Products],$A26, tblGoogleUnits[cv_2027]) + SUMIF(tblMetaUnits[Products],$A26, tblMetaUnits[cv_2027]) + SUMIF(tblAmazonUnits[Products],$A26, tblAmazonUnits[cv_2027]) + SUMIF(tblMicrosoftUnits[Products],$A26, tblMicrosoftUnits[cv_2027]) + SUMIF(tblAppleUnits[Products],$A26, tblAppleUnits[cv_2027]) + SUMIF(tblAlibabaUnits[Products],$A26, tblAlibabaUnits[cv_2027]) + SUMIF(tblHuaweiUnits[Products],$A26, tblHuaweiUnits[cv_2027]) + SUMIF(tblTencentUnits[Products],$A26, tblTencentUnits[cv_2027]) + SUMIF(tblBaiduUnits[Products],$A26, tblBaiduUnits[cv_2027]) + SUMIF(tblByteDanceUnits[Products],$A26, tblByteDanceUnits[cv_2027]) + SUMIF(tblCloudAOUnits[Products],$A26, tblCloudAOUnits[cv_2027]) + SUMIF(tblTelecomUnits[Products],$A26, tblTelecomUnits[cv_2027]) + SUMIF(tblEnterpriseUnits[Products],$A26, tblEnterpriseUnits[cv_2027])</f>
        <v>0</v>
      </c>
      <c r="L26" s="8">
        <f xml:space="preserve"> SUMIF(tblGoogleUnits[Products],$A26, tblGoogleUnits[cv_2028]) + SUMIF(tblMetaUnits[Products],$A26, tblMetaUnits[cv_2028]) + SUMIF(tblAmazonUnits[Products],$A26, tblAmazonUnits[cv_2028]) + SUMIF(tblMicrosoftUnits[Products],$A26, tblMicrosoftUnits[cv_2028]) + SUMIF(tblAppleUnits[Products],$A26, tblAppleUnits[cv_2028]) + SUMIF(tblAlibabaUnits[Products],$A26, tblAlibabaUnits[cv_2028]) + SUMIF(tblHuaweiUnits[Products],$A26, tblHuaweiUnits[cv_2028]) + SUMIF(tblTencentUnits[Products],$A26, tblTencentUnits[cv_2028]) + SUMIF(tblBaiduUnits[Products],$A26, tblBaiduUnits[cv_2028]) + SUMIF(tblByteDanceUnits[Products],$A26, tblByteDanceUnits[cv_2028]) + SUMIF(tblCloudAOUnits[Products],$A26, tblCloudAOUnits[cv_2028]) + SUMIF(tblTelecomUnits[Products],$A26, tblTelecomUnits[cv_2028]) + SUMIF(tblEnterpriseUnits[Products],$A26, tblEnterpriseUnits[cv_2028])</f>
        <v>0</v>
      </c>
      <c r="M26" s="105" cm="1">
        <f t="array" ref="M26">INDEX(tblPrices[cv_2018], MATCH($A26,tblPrices[Products],0), 0)</f>
        <v>8.1963947817703744</v>
      </c>
      <c r="N26" s="105" cm="1">
        <f t="array" ref="N26">INDEX(tblPrices[cv_2019], MATCH($A26,tblPrices[Products],0), 0)</f>
        <v>6.5310968236540647</v>
      </c>
      <c r="O26" s="105" cm="1">
        <f t="array" ref="O26">INDEX(tblPrices[cv_2020], MATCH($A26,tblPrices[Products],0), 0)</f>
        <v>0</v>
      </c>
      <c r="P26" s="105" cm="1">
        <f t="array" ref="P26">INDEX(tblPrices[cv_2021], MATCH($A26,tblPrices[Products],0), 0)</f>
        <v>0</v>
      </c>
      <c r="Q26" s="105" cm="1">
        <f t="array" ref="Q26">INDEX(tblPrices[cv_2022], MATCH($A26,tblPrices[Products],0), 0)</f>
        <v>0</v>
      </c>
      <c r="R26" s="105" cm="1">
        <f t="array" ref="R26">INDEX(tblPrices[cv_2023], MATCH($A26,tblPrices[Products],0), 0)</f>
        <v>0</v>
      </c>
      <c r="S26" s="105" cm="1">
        <f t="array" ref="S26">INDEX(tblPrices[cv_2024], MATCH($A26,tblPrices[Products],0), 0)</f>
        <v>0</v>
      </c>
      <c r="T26" s="105" cm="1">
        <f t="array" ref="T26">INDEX(tblPrices[cv_2025], MATCH($A26,tblPrices[Products],0), 0)</f>
        <v>0</v>
      </c>
      <c r="U26" s="105" cm="1">
        <f t="array" ref="U26">INDEX(tblPrices[cv_2026], MATCH($A26,tblPrices[Products],0), 0)</f>
        <v>0</v>
      </c>
      <c r="V26" s="105" cm="1">
        <f t="array" ref="V26">INDEX(tblPrices[cv_2027], MATCH($A26,tblPrices[Products],0), 0)</f>
        <v>0</v>
      </c>
      <c r="W26" s="105" cm="1">
        <f t="array" ref="W26">INDEX(tblPrices[cv_2028], MATCH($A26,tblPrices[Products],0), 0)</f>
        <v>0</v>
      </c>
      <c r="X26" s="106" cm="1">
        <f t="array" ref="X26">INDEX(tblPrices[cv_2018], MATCH($A26,tblPrices[Products],0), 0)* tblForecast[[#This Row],[un_2018]]/10^6</f>
        <v>40.672937040000001</v>
      </c>
      <c r="Y26" s="106" cm="1">
        <f t="array" ref="Y26">INDEX(tblPrices[cv_2019], MATCH($A26,tblPrices[Products],0), 0)* tblForecast[[#This Row],[un_2019]]/10^6</f>
        <v>23.478750999999999</v>
      </c>
      <c r="Z26" s="106" cm="1">
        <f t="array" ref="Z26">INDEX(tblPrices[cv_2020], MATCH($A26,tblPrices[Products],0), 0)* tblForecast[[#This Row],[un_2020]]/10^6</f>
        <v>0</v>
      </c>
      <c r="AA26" s="106" cm="1">
        <f t="array" ref="AA26">INDEX(tblPrices[cv_2021], MATCH($A26,tblPrices[Products],0), 0)* tblForecast[[#This Row],[un_2021]]/10^6</f>
        <v>0</v>
      </c>
      <c r="AB26" s="106" cm="1">
        <f t="array" ref="AB26">INDEX(tblPrices[cv_2022], MATCH($A26,tblPrices[Products],0), 0)* tblForecast[[#This Row],[un_2022]]/10^6</f>
        <v>0</v>
      </c>
      <c r="AC26" s="106" cm="1">
        <f t="array" ref="AC26">INDEX(tblPrices[cv_2023], MATCH($A26,tblPrices[Products],0), 0)* tblForecast[[#This Row],[un_2023]]/10^6</f>
        <v>0</v>
      </c>
      <c r="AD26" s="106" cm="1">
        <f t="array" ref="AD26">INDEX(tblPrices[cv_2024], MATCH($A26,tblPrices[Products],0), 0)* tblForecast[[#This Row],[un_2024]]/10^6</f>
        <v>0</v>
      </c>
      <c r="AE26" s="106" cm="1">
        <f t="array" ref="AE26">INDEX(tblPrices[cv_2025], MATCH($A26,tblPrices[Products],0), 0)* tblForecast[[#This Row],[un_2025]]/10^6</f>
        <v>0</v>
      </c>
      <c r="AF26" s="106" cm="1">
        <f t="array" ref="AF26">INDEX(tblPrices[cv_2026], MATCH($A26,tblPrices[Products],0), 0)* tblForecast[[#This Row],[un_2026]]/10^6</f>
        <v>0</v>
      </c>
      <c r="AG26" s="106" cm="1">
        <f t="array" ref="AG26">INDEX(tblPrices[cv_2027], MATCH($A26,tblPrices[Products],0), 0)* tblForecast[[#This Row],[un_2027]]/10^6</f>
        <v>0</v>
      </c>
      <c r="AH26" s="106" cm="1">
        <f t="array" ref="AH26">INDEX(tblPrices[cv_2028], MATCH($A26,tblPrices[Products],0), 0)* tblForecast[[#This Row],[un_2028]]/10^6</f>
        <v>0</v>
      </c>
      <c r="AI26" s="60">
        <f>VLOOKUP(A26,Products!$A$11:$F$110,6,FALSE)</f>
        <v>1</v>
      </c>
    </row>
    <row r="27" spans="1:35">
      <c r="A27" s="12" t="s">
        <v>150</v>
      </c>
      <c r="B27" s="8">
        <f xml:space="preserve"> SUMIF(tblGoogleUnits[Products],$A27, tblGoogleUnits[cv_2018]) + SUMIF(tblMetaUnits[Products],$A27, tblMetaUnits[cv_2018]) + SUMIF(tblAmazonUnits[Products],$A27, tblAmazonUnits[cv_2018]) + SUMIF(tblMicrosoftUnits[Products],$A27, tblMicrosoftUnits[cv_2018]) + SUMIF(tblAppleUnits[Products],$A27, tblAppleUnits[cv_2018]) + SUMIF(tblAlibabaUnits[Products],$A27, tblAlibabaUnits[cv_2018]) + SUMIF(tblHuaweiUnits[Products],$A27, tblHuaweiUnits[cv_2018]) + SUMIF(tblTencentUnits[Products],$A27, tblTencentUnits[cv_2018]) + SUMIF(tblBaiduUnits[Products],$A27, tblBaiduUnits[cv_2018]) + SUMIF(tblByteDanceUnits[Products],$A27, tblByteDanceUnits[cv_2018]) + SUMIF(tblCloudAOUnits[Products],$A27, tblCloudAOUnits[cv_2018]) + SUMIF(tblTelecomUnits[Products],$A27, tblTelecomUnits[cv_2018]) + SUMIF(tblEnterpriseUnits[Products],$A27, tblEnterpriseUnits[cv_2018])</f>
        <v>7845061</v>
      </c>
      <c r="C27" s="8">
        <f xml:space="preserve"> SUMIF(tblGoogleUnits[Products],$A27, tblGoogleUnits[cv_2019]) + SUMIF(tblMetaUnits[Products],$A27, tblMetaUnits[cv_2019]) + SUMIF(tblAmazonUnits[Products],$A27, tblAmazonUnits[cv_2019]) + SUMIF(tblMicrosoftUnits[Products],$A27, tblMicrosoftUnits[cv_2019]) + SUMIF(tblAppleUnits[Products],$A27, tblAppleUnits[cv_2019]) + SUMIF(tblAlibabaUnits[Products],$A27, tblAlibabaUnits[cv_2019]) + SUMIF(tblHuaweiUnits[Products],$A27, tblHuaweiUnits[cv_2019]) + SUMIF(tblTencentUnits[Products],$A27, tblTencentUnits[cv_2019]) + SUMIF(tblBaiduUnits[Products],$A27, tblBaiduUnits[cv_2019]) + SUMIF(tblByteDanceUnits[Products],$A27, tblByteDanceUnits[cv_2019]) + SUMIF(tblCloudAOUnits[Products],$A27, tblCloudAOUnits[cv_2019]) + SUMIF(tblTelecomUnits[Products],$A27, tblTelecomUnits[cv_2019]) + SUMIF(tblEnterpriseUnits[Products],$A27, tblEnterpriseUnits[cv_2019])</f>
        <v>7456788.0000000009</v>
      </c>
      <c r="D27" s="8">
        <f xml:space="preserve"> SUMIF(tblGoogleUnits[Products],$A27, tblGoogleUnits[cv_2020]) + SUMIF(tblMetaUnits[Products],$A27, tblMetaUnits[cv_2020]) + SUMIF(tblAmazonUnits[Products],$A27, tblAmazonUnits[cv_2020]) + SUMIF(tblMicrosoftUnits[Products],$A27, tblMicrosoftUnits[cv_2020]) + SUMIF(tblAppleUnits[Products],$A27, tblAppleUnits[cv_2020]) + SUMIF(tblAlibabaUnits[Products],$A27, tblAlibabaUnits[cv_2020]) + SUMIF(tblHuaweiUnits[Products],$A27, tblHuaweiUnits[cv_2020]) + SUMIF(tblTencentUnits[Products],$A27, tblTencentUnits[cv_2020]) + SUMIF(tblBaiduUnits[Products],$A27, tblBaiduUnits[cv_2020]) + SUMIF(tblByteDanceUnits[Products],$A27, tblByteDanceUnits[cv_2020]) + SUMIF(tblCloudAOUnits[Products],$A27, tblCloudAOUnits[cv_2020]) + SUMIF(tblTelecomUnits[Products],$A27, tblTelecomUnits[cv_2020]) + SUMIF(tblEnterpriseUnits[Products],$A27, tblEnterpriseUnits[cv_2020])</f>
        <v>0</v>
      </c>
      <c r="E27" s="8">
        <f xml:space="preserve"> SUMIF(tblGoogleUnits[Products],$A27, tblGoogleUnits[cv_2021]) + SUMIF(tblMetaUnits[Products],$A27, tblMetaUnits[cv_2021]) + SUMIF(tblAmazonUnits[Products],$A27, tblAmazonUnits[cv_2021]) + SUMIF(tblMicrosoftUnits[Products],$A27, tblMicrosoftUnits[cv_2021]) + SUMIF(tblAppleUnits[Products],$A27, tblAppleUnits[cv_2021]) + SUMIF(tblAlibabaUnits[Products],$A27, tblAlibabaUnits[cv_2021]) + SUMIF(tblHuaweiUnits[Products],$A27, tblHuaweiUnits[cv_2021]) + SUMIF(tblTencentUnits[Products],$A27, tblTencentUnits[cv_2021]) + SUMIF(tblBaiduUnits[Products],$A27, tblBaiduUnits[cv_2021]) + SUMIF(tblByteDanceUnits[Products],$A27, tblByteDanceUnits[cv_2021]) + SUMIF(tblCloudAOUnits[Products],$A27, tblCloudAOUnits[cv_2021]) + SUMIF(tblTelecomUnits[Products],$A27, tblTelecomUnits[cv_2021]) + SUMIF(tblEnterpriseUnits[Products],$A27, tblEnterpriseUnits[cv_2021])</f>
        <v>0</v>
      </c>
      <c r="F27" s="8">
        <f xml:space="preserve"> SUMIF(tblGoogleUnits[Products],$A27, tblGoogleUnits[cv_2022]) + SUMIF(tblMetaUnits[Products],$A27, tblMetaUnits[cv_2022]) + SUMIF(tblAmazonUnits[Products],$A27, tblAmazonUnits[cv_2022]) + SUMIF(tblMicrosoftUnits[Products],$A27, tblMicrosoftUnits[cv_2022]) + SUMIF(tblAppleUnits[Products],$A27, tblAppleUnits[cv_2022]) + SUMIF(tblAlibabaUnits[Products],$A27, tblAlibabaUnits[cv_2022]) + SUMIF(tblHuaweiUnits[Products],$A27, tblHuaweiUnits[cv_2022]) + SUMIF(tblTencentUnits[Products],$A27, tblTencentUnits[cv_2022]) + SUMIF(tblBaiduUnits[Products],$A27, tblBaiduUnits[cv_2022]) + SUMIF(tblByteDanceUnits[Products],$A27, tblByteDanceUnits[cv_2022]) + SUMIF(tblCloudAOUnits[Products],$A27, tblCloudAOUnits[cv_2022]) + SUMIF(tblTelecomUnits[Products],$A27, tblTelecomUnits[cv_2022]) + SUMIF(tblEnterpriseUnits[Products],$A27, tblEnterpriseUnits[cv_2022])</f>
        <v>0</v>
      </c>
      <c r="G27" s="8">
        <f xml:space="preserve"> SUMIF(tblGoogleUnits[Products],$A27, tblGoogleUnits[cv_2023]) + SUMIF(tblMetaUnits[Products],$A27, tblMetaUnits[cv_2023]) + SUMIF(tblAmazonUnits[Products],$A27, tblAmazonUnits[cv_2023]) + SUMIF(tblMicrosoftUnits[Products],$A27, tblMicrosoftUnits[cv_2023]) + SUMIF(tblAppleUnits[Products],$A27, tblAppleUnits[cv_2023]) + SUMIF(tblAlibabaUnits[Products],$A27, tblAlibabaUnits[cv_2023]) + SUMIF(tblHuaweiUnits[Products],$A27, tblHuaweiUnits[cv_2023]) + SUMIF(tblTencentUnits[Products],$A27, tblTencentUnits[cv_2023]) + SUMIF(tblBaiduUnits[Products],$A27, tblBaiduUnits[cv_2023]) + SUMIF(tblByteDanceUnits[Products],$A27, tblByteDanceUnits[cv_2023]) + SUMIF(tblCloudAOUnits[Products],$A27, tblCloudAOUnits[cv_2023]) + SUMIF(tblTelecomUnits[Products],$A27, tblTelecomUnits[cv_2023]) + SUMIF(tblEnterpriseUnits[Products],$A27, tblEnterpriseUnits[cv_2023])</f>
        <v>0</v>
      </c>
      <c r="H27" s="8">
        <f xml:space="preserve"> SUMIF(tblGoogleUnits[Products],$A27, tblGoogleUnits[cv_2024]) + SUMIF(tblMetaUnits[Products],$A27, tblMetaUnits[cv_2024]) + SUMIF(tblAmazonUnits[Products],$A27, tblAmazonUnits[cv_2024]) + SUMIF(tblMicrosoftUnits[Products],$A27, tblMicrosoftUnits[cv_2024]) + SUMIF(tblAppleUnits[Products],$A27, tblAppleUnits[cv_2024]) + SUMIF(tblAlibabaUnits[Products],$A27, tblAlibabaUnits[cv_2024]) + SUMIF(tblHuaweiUnits[Products],$A27, tblHuaweiUnits[cv_2024]) + SUMIF(tblTencentUnits[Products],$A27, tblTencentUnits[cv_2024]) + SUMIF(tblBaiduUnits[Products],$A27, tblBaiduUnits[cv_2024]) + SUMIF(tblByteDanceUnits[Products],$A27, tblByteDanceUnits[cv_2024]) + SUMIF(tblCloudAOUnits[Products],$A27, tblCloudAOUnits[cv_2024]) + SUMIF(tblTelecomUnits[Products],$A27, tblTelecomUnits[cv_2024]) + SUMIF(tblEnterpriseUnits[Products],$A27, tblEnterpriseUnits[cv_2024])</f>
        <v>0</v>
      </c>
      <c r="I27" s="8">
        <f xml:space="preserve"> SUMIF(tblGoogleUnits[Products],$A27, tblGoogleUnits[cv_2025]) + SUMIF(tblMetaUnits[Products],$A27, tblMetaUnits[cv_2025]) + SUMIF(tblAmazonUnits[Products],$A27, tblAmazonUnits[cv_2025]) + SUMIF(tblMicrosoftUnits[Products],$A27, tblMicrosoftUnits[cv_2025]) + SUMIF(tblAppleUnits[Products],$A27, tblAppleUnits[cv_2025]) + SUMIF(tblAlibabaUnits[Products],$A27, tblAlibabaUnits[cv_2025]) + SUMIF(tblHuaweiUnits[Products],$A27, tblHuaweiUnits[cv_2025]) + SUMIF(tblTencentUnits[Products],$A27, tblTencentUnits[cv_2025]) + SUMIF(tblBaiduUnits[Products],$A27, tblBaiduUnits[cv_2025]) + SUMIF(tblByteDanceUnits[Products],$A27, tblByteDanceUnits[cv_2025]) + SUMIF(tblCloudAOUnits[Products],$A27, tblCloudAOUnits[cv_2025]) + SUMIF(tblTelecomUnits[Products],$A27, tblTelecomUnits[cv_2025]) + SUMIF(tblEnterpriseUnits[Products],$A27, tblEnterpriseUnits[cv_2025])</f>
        <v>0</v>
      </c>
      <c r="J27" s="8">
        <f xml:space="preserve"> SUMIF(tblGoogleUnits[Products],$A27, tblGoogleUnits[cv_2026]) + SUMIF(tblMetaUnits[Products],$A27, tblMetaUnits[cv_2026]) + SUMIF(tblAmazonUnits[Products],$A27, tblAmazonUnits[cv_2026]) + SUMIF(tblMicrosoftUnits[Products],$A27, tblMicrosoftUnits[cv_2026]) + SUMIF(tblAppleUnits[Products],$A27, tblAppleUnits[cv_2026]) + SUMIF(tblAlibabaUnits[Products],$A27, tblAlibabaUnits[cv_2026]) + SUMIF(tblHuaweiUnits[Products],$A27, tblHuaweiUnits[cv_2026]) + SUMIF(tblTencentUnits[Products],$A27, tblTencentUnits[cv_2026]) + SUMIF(tblBaiduUnits[Products],$A27, tblBaiduUnits[cv_2026]) + SUMIF(tblByteDanceUnits[Products],$A27, tblByteDanceUnits[cv_2026]) + SUMIF(tblCloudAOUnits[Products],$A27, tblCloudAOUnits[cv_2026]) + SUMIF(tblTelecomUnits[Products],$A27, tblTelecomUnits[cv_2026]) + SUMIF(tblEnterpriseUnits[Products],$A27, tblEnterpriseUnits[cv_2026])</f>
        <v>0</v>
      </c>
      <c r="K27" s="8">
        <f xml:space="preserve"> SUMIF(tblGoogleUnits[Products],$A27, tblGoogleUnits[cv_2027]) + SUMIF(tblMetaUnits[Products],$A27, tblMetaUnits[cv_2027]) + SUMIF(tblAmazonUnits[Products],$A27, tblAmazonUnits[cv_2027]) + SUMIF(tblMicrosoftUnits[Products],$A27, tblMicrosoftUnits[cv_2027]) + SUMIF(tblAppleUnits[Products],$A27, tblAppleUnits[cv_2027]) + SUMIF(tblAlibabaUnits[Products],$A27, tblAlibabaUnits[cv_2027]) + SUMIF(tblHuaweiUnits[Products],$A27, tblHuaweiUnits[cv_2027]) + SUMIF(tblTencentUnits[Products],$A27, tblTencentUnits[cv_2027]) + SUMIF(tblBaiduUnits[Products],$A27, tblBaiduUnits[cv_2027]) + SUMIF(tblByteDanceUnits[Products],$A27, tblByteDanceUnits[cv_2027]) + SUMIF(tblCloudAOUnits[Products],$A27, tblCloudAOUnits[cv_2027]) + SUMIF(tblTelecomUnits[Products],$A27, tblTelecomUnits[cv_2027]) + SUMIF(tblEnterpriseUnits[Products],$A27, tblEnterpriseUnits[cv_2027])</f>
        <v>0</v>
      </c>
      <c r="L27" s="8">
        <f xml:space="preserve"> SUMIF(tblGoogleUnits[Products],$A27, tblGoogleUnits[cv_2028]) + SUMIF(tblMetaUnits[Products],$A27, tblMetaUnits[cv_2028]) + SUMIF(tblAmazonUnits[Products],$A27, tblAmazonUnits[cv_2028]) + SUMIF(tblMicrosoftUnits[Products],$A27, tblMicrosoftUnits[cv_2028]) + SUMIF(tblAppleUnits[Products],$A27, tblAppleUnits[cv_2028]) + SUMIF(tblAlibabaUnits[Products],$A27, tblAlibabaUnits[cv_2028]) + SUMIF(tblHuaweiUnits[Products],$A27, tblHuaweiUnits[cv_2028]) + SUMIF(tblTencentUnits[Products],$A27, tblTencentUnits[cv_2028]) + SUMIF(tblBaiduUnits[Products],$A27, tblBaiduUnits[cv_2028]) + SUMIF(tblByteDanceUnits[Products],$A27, tblByteDanceUnits[cv_2028]) + SUMIF(tblCloudAOUnits[Products],$A27, tblCloudAOUnits[cv_2028]) + SUMIF(tblTelecomUnits[Products],$A27, tblTelecomUnits[cv_2028]) + SUMIF(tblEnterpriseUnits[Products],$A27, tblEnterpriseUnits[cv_2028])</f>
        <v>0</v>
      </c>
      <c r="M27" s="105" cm="1">
        <f t="array" ref="M27">INDEX(tblPrices[cv_2018], MATCH($A27,tblPrices[Products],0), 0)</f>
        <v>7.9991133376783168</v>
      </c>
      <c r="N27" s="105" cm="1">
        <f t="array" ref="N27">INDEX(tblPrices[cv_2019], MATCH($A27,tblPrices[Products],0), 0)</f>
        <v>7.7271597478083978</v>
      </c>
      <c r="O27" s="105" cm="1">
        <f t="array" ref="O27">INDEX(tblPrices[cv_2020], MATCH($A27,tblPrices[Products],0), 0)</f>
        <v>0</v>
      </c>
      <c r="P27" s="105" cm="1">
        <f t="array" ref="P27">INDEX(tblPrices[cv_2021], MATCH($A27,tblPrices[Products],0), 0)</f>
        <v>0</v>
      </c>
      <c r="Q27" s="105" cm="1">
        <f t="array" ref="Q27">INDEX(tblPrices[cv_2022], MATCH($A27,tblPrices[Products],0), 0)</f>
        <v>0</v>
      </c>
      <c r="R27" s="105" cm="1">
        <f t="array" ref="R27">INDEX(tblPrices[cv_2023], MATCH($A27,tblPrices[Products],0), 0)</f>
        <v>0</v>
      </c>
      <c r="S27" s="105" cm="1">
        <f t="array" ref="S27">INDEX(tblPrices[cv_2024], MATCH($A27,tblPrices[Products],0), 0)</f>
        <v>0</v>
      </c>
      <c r="T27" s="105" cm="1">
        <f t="array" ref="T27">INDEX(tblPrices[cv_2025], MATCH($A27,tblPrices[Products],0), 0)</f>
        <v>0</v>
      </c>
      <c r="U27" s="105" cm="1">
        <f t="array" ref="U27">INDEX(tblPrices[cv_2026], MATCH($A27,tblPrices[Products],0), 0)</f>
        <v>0</v>
      </c>
      <c r="V27" s="105" cm="1">
        <f t="array" ref="V27">INDEX(tblPrices[cv_2027], MATCH($A27,tblPrices[Products],0), 0)</f>
        <v>0</v>
      </c>
      <c r="W27" s="105" cm="1">
        <f t="array" ref="W27">INDEX(tblPrices[cv_2028], MATCH($A27,tblPrices[Products],0), 0)</f>
        <v>0</v>
      </c>
      <c r="X27" s="106" cm="1">
        <f t="array" ref="X27">INDEX(tblPrices[cv_2018], MATCH($A27,tblPrices[Products],0), 0)* tblForecast[[#This Row],[un_2018]]/10^6</f>
        <v>62.753532079999992</v>
      </c>
      <c r="Y27" s="106" cm="1">
        <f t="array" ref="Y27">INDEX(tblPrices[cv_2019], MATCH($A27,tblPrices[Products],0), 0)* tblForecast[[#This Row],[un_2019]]/10^6</f>
        <v>57.619792081540695</v>
      </c>
      <c r="Z27" s="106" cm="1">
        <f t="array" ref="Z27">INDEX(tblPrices[cv_2020], MATCH($A27,tblPrices[Products],0), 0)* tblForecast[[#This Row],[un_2020]]/10^6</f>
        <v>0</v>
      </c>
      <c r="AA27" s="106" cm="1">
        <f t="array" ref="AA27">INDEX(tblPrices[cv_2021], MATCH($A27,tblPrices[Products],0), 0)* tblForecast[[#This Row],[un_2021]]/10^6</f>
        <v>0</v>
      </c>
      <c r="AB27" s="106" cm="1">
        <f t="array" ref="AB27">INDEX(tblPrices[cv_2022], MATCH($A27,tblPrices[Products],0), 0)* tblForecast[[#This Row],[un_2022]]/10^6</f>
        <v>0</v>
      </c>
      <c r="AC27" s="106" cm="1">
        <f t="array" ref="AC27">INDEX(tblPrices[cv_2023], MATCH($A27,tblPrices[Products],0), 0)* tblForecast[[#This Row],[un_2023]]/10^6</f>
        <v>0</v>
      </c>
      <c r="AD27" s="106" cm="1">
        <f t="array" ref="AD27">INDEX(tblPrices[cv_2024], MATCH($A27,tblPrices[Products],0), 0)* tblForecast[[#This Row],[un_2024]]/10^6</f>
        <v>0</v>
      </c>
      <c r="AE27" s="106" cm="1">
        <f t="array" ref="AE27">INDEX(tblPrices[cv_2025], MATCH($A27,tblPrices[Products],0), 0)* tblForecast[[#This Row],[un_2025]]/10^6</f>
        <v>0</v>
      </c>
      <c r="AF27" s="106" cm="1">
        <f t="array" ref="AF27">INDEX(tblPrices[cv_2026], MATCH($A27,tblPrices[Products],0), 0)* tblForecast[[#This Row],[un_2026]]/10^6</f>
        <v>0</v>
      </c>
      <c r="AG27" s="106" cm="1">
        <f t="array" ref="AG27">INDEX(tblPrices[cv_2027], MATCH($A27,tblPrices[Products],0), 0)* tblForecast[[#This Row],[un_2027]]/10^6</f>
        <v>0</v>
      </c>
      <c r="AH27" s="106" cm="1">
        <f t="array" ref="AH27">INDEX(tblPrices[cv_2028], MATCH($A27,tblPrices[Products],0), 0)* tblForecast[[#This Row],[un_2028]]/10^6</f>
        <v>0</v>
      </c>
      <c r="AI27" s="60">
        <f>VLOOKUP(A27,Products!$A$11:$F$110,6,FALSE)</f>
        <v>1</v>
      </c>
    </row>
    <row r="28" spans="1:35">
      <c r="A28" s="12" t="s">
        <v>151</v>
      </c>
      <c r="B28" s="8">
        <f xml:space="preserve"> SUMIF(tblGoogleUnits[Products],$A28, tblGoogleUnits[cv_2018]) + SUMIF(tblMetaUnits[Products],$A28, tblMetaUnits[cv_2018]) + SUMIF(tblAmazonUnits[Products],$A28, tblAmazonUnits[cv_2018]) + SUMIF(tblMicrosoftUnits[Products],$A28, tblMicrosoftUnits[cv_2018]) + SUMIF(tblAppleUnits[Products],$A28, tblAppleUnits[cv_2018]) + SUMIF(tblAlibabaUnits[Products],$A28, tblAlibabaUnits[cv_2018]) + SUMIF(tblHuaweiUnits[Products],$A28, tblHuaweiUnits[cv_2018]) + SUMIF(tblTencentUnits[Products],$A28, tblTencentUnits[cv_2018]) + SUMIF(tblBaiduUnits[Products],$A28, tblBaiduUnits[cv_2018]) + SUMIF(tblByteDanceUnits[Products],$A28, tblByteDanceUnits[cv_2018]) + SUMIF(tblCloudAOUnits[Products],$A28, tblCloudAOUnits[cv_2018]) + SUMIF(tblTelecomUnits[Products],$A28, tblTelecomUnits[cv_2018]) + SUMIF(tblEnterpriseUnits[Products],$A28, tblEnterpriseUnits[cv_2018])</f>
        <v>1016133</v>
      </c>
      <c r="C28" s="8">
        <f xml:space="preserve"> SUMIF(tblGoogleUnits[Products],$A28, tblGoogleUnits[cv_2019]) + SUMIF(tblMetaUnits[Products],$A28, tblMetaUnits[cv_2019]) + SUMIF(tblAmazonUnits[Products],$A28, tblAmazonUnits[cv_2019]) + SUMIF(tblMicrosoftUnits[Products],$A28, tblMicrosoftUnits[cv_2019]) + SUMIF(tblAppleUnits[Products],$A28, tblAppleUnits[cv_2019]) + SUMIF(tblAlibabaUnits[Products],$A28, tblAlibabaUnits[cv_2019]) + SUMIF(tblHuaweiUnits[Products],$A28, tblHuaweiUnits[cv_2019]) + SUMIF(tblTencentUnits[Products],$A28, tblTencentUnits[cv_2019]) + SUMIF(tblBaiduUnits[Products],$A28, tblBaiduUnits[cv_2019]) + SUMIF(tblByteDanceUnits[Products],$A28, tblByteDanceUnits[cv_2019]) + SUMIF(tblCloudAOUnits[Products],$A28, tblCloudAOUnits[cv_2019]) + SUMIF(tblTelecomUnits[Products],$A28, tblTelecomUnits[cv_2019]) + SUMIF(tblEnterpriseUnits[Products],$A28, tblEnterpriseUnits[cv_2019])</f>
        <v>852243</v>
      </c>
      <c r="D28" s="8">
        <f xml:space="preserve"> SUMIF(tblGoogleUnits[Products],$A28, tblGoogleUnits[cv_2020]) + SUMIF(tblMetaUnits[Products],$A28, tblMetaUnits[cv_2020]) + SUMIF(tblAmazonUnits[Products],$A28, tblAmazonUnits[cv_2020]) + SUMIF(tblMicrosoftUnits[Products],$A28, tblMicrosoftUnits[cv_2020]) + SUMIF(tblAppleUnits[Products],$A28, tblAppleUnits[cv_2020]) + SUMIF(tblAlibabaUnits[Products],$A28, tblAlibabaUnits[cv_2020]) + SUMIF(tblHuaweiUnits[Products],$A28, tblHuaweiUnits[cv_2020]) + SUMIF(tblTencentUnits[Products],$A28, tblTencentUnits[cv_2020]) + SUMIF(tblBaiduUnits[Products],$A28, tblBaiduUnits[cv_2020]) + SUMIF(tblByteDanceUnits[Products],$A28, tblByteDanceUnits[cv_2020]) + SUMIF(tblCloudAOUnits[Products],$A28, tblCloudAOUnits[cv_2020]) + SUMIF(tblTelecomUnits[Products],$A28, tblTelecomUnits[cv_2020]) + SUMIF(tblEnterpriseUnits[Products],$A28, tblEnterpriseUnits[cv_2020])</f>
        <v>0</v>
      </c>
      <c r="E28" s="8">
        <f xml:space="preserve"> SUMIF(tblGoogleUnits[Products],$A28, tblGoogleUnits[cv_2021]) + SUMIF(tblMetaUnits[Products],$A28, tblMetaUnits[cv_2021]) + SUMIF(tblAmazonUnits[Products],$A28, tblAmazonUnits[cv_2021]) + SUMIF(tblMicrosoftUnits[Products],$A28, tblMicrosoftUnits[cv_2021]) + SUMIF(tblAppleUnits[Products],$A28, tblAppleUnits[cv_2021]) + SUMIF(tblAlibabaUnits[Products],$A28, tblAlibabaUnits[cv_2021]) + SUMIF(tblHuaweiUnits[Products],$A28, tblHuaweiUnits[cv_2021]) + SUMIF(tblTencentUnits[Products],$A28, tblTencentUnits[cv_2021]) + SUMIF(tblBaiduUnits[Products],$A28, tblBaiduUnits[cv_2021]) + SUMIF(tblByteDanceUnits[Products],$A28, tblByteDanceUnits[cv_2021]) + SUMIF(tblCloudAOUnits[Products],$A28, tblCloudAOUnits[cv_2021]) + SUMIF(tblTelecomUnits[Products],$A28, tblTelecomUnits[cv_2021]) + SUMIF(tblEnterpriseUnits[Products],$A28, tblEnterpriseUnits[cv_2021])</f>
        <v>0</v>
      </c>
      <c r="F28" s="8">
        <f xml:space="preserve"> SUMIF(tblGoogleUnits[Products],$A28, tblGoogleUnits[cv_2022]) + SUMIF(tblMetaUnits[Products],$A28, tblMetaUnits[cv_2022]) + SUMIF(tblAmazonUnits[Products],$A28, tblAmazonUnits[cv_2022]) + SUMIF(tblMicrosoftUnits[Products],$A28, tblMicrosoftUnits[cv_2022]) + SUMIF(tblAppleUnits[Products],$A28, tblAppleUnits[cv_2022]) + SUMIF(tblAlibabaUnits[Products],$A28, tblAlibabaUnits[cv_2022]) + SUMIF(tblHuaweiUnits[Products],$A28, tblHuaweiUnits[cv_2022]) + SUMIF(tblTencentUnits[Products],$A28, tblTencentUnits[cv_2022]) + SUMIF(tblBaiduUnits[Products],$A28, tblBaiduUnits[cv_2022]) + SUMIF(tblByteDanceUnits[Products],$A28, tblByteDanceUnits[cv_2022]) + SUMIF(tblCloudAOUnits[Products],$A28, tblCloudAOUnits[cv_2022]) + SUMIF(tblTelecomUnits[Products],$A28, tblTelecomUnits[cv_2022]) + SUMIF(tblEnterpriseUnits[Products],$A28, tblEnterpriseUnits[cv_2022])</f>
        <v>0</v>
      </c>
      <c r="G28" s="8">
        <f xml:space="preserve"> SUMIF(tblGoogleUnits[Products],$A28, tblGoogleUnits[cv_2023]) + SUMIF(tblMetaUnits[Products],$A28, tblMetaUnits[cv_2023]) + SUMIF(tblAmazonUnits[Products],$A28, tblAmazonUnits[cv_2023]) + SUMIF(tblMicrosoftUnits[Products],$A28, tblMicrosoftUnits[cv_2023]) + SUMIF(tblAppleUnits[Products],$A28, tblAppleUnits[cv_2023]) + SUMIF(tblAlibabaUnits[Products],$A28, tblAlibabaUnits[cv_2023]) + SUMIF(tblHuaweiUnits[Products],$A28, tblHuaweiUnits[cv_2023]) + SUMIF(tblTencentUnits[Products],$A28, tblTencentUnits[cv_2023]) + SUMIF(tblBaiduUnits[Products],$A28, tblBaiduUnits[cv_2023]) + SUMIF(tblByteDanceUnits[Products],$A28, tblByteDanceUnits[cv_2023]) + SUMIF(tblCloudAOUnits[Products],$A28, tblCloudAOUnits[cv_2023]) + SUMIF(tblTelecomUnits[Products],$A28, tblTelecomUnits[cv_2023]) + SUMIF(tblEnterpriseUnits[Products],$A28, tblEnterpriseUnits[cv_2023])</f>
        <v>0</v>
      </c>
      <c r="H28" s="8">
        <f xml:space="preserve"> SUMIF(tblGoogleUnits[Products],$A28, tblGoogleUnits[cv_2024]) + SUMIF(tblMetaUnits[Products],$A28, tblMetaUnits[cv_2024]) + SUMIF(tblAmazonUnits[Products],$A28, tblAmazonUnits[cv_2024]) + SUMIF(tblMicrosoftUnits[Products],$A28, tblMicrosoftUnits[cv_2024]) + SUMIF(tblAppleUnits[Products],$A28, tblAppleUnits[cv_2024]) + SUMIF(tblAlibabaUnits[Products],$A28, tblAlibabaUnits[cv_2024]) + SUMIF(tblHuaweiUnits[Products],$A28, tblHuaweiUnits[cv_2024]) + SUMIF(tblTencentUnits[Products],$A28, tblTencentUnits[cv_2024]) + SUMIF(tblBaiduUnits[Products],$A28, tblBaiduUnits[cv_2024]) + SUMIF(tblByteDanceUnits[Products],$A28, tblByteDanceUnits[cv_2024]) + SUMIF(tblCloudAOUnits[Products],$A28, tblCloudAOUnits[cv_2024]) + SUMIF(tblTelecomUnits[Products],$A28, tblTelecomUnits[cv_2024]) + SUMIF(tblEnterpriseUnits[Products],$A28, tblEnterpriseUnits[cv_2024])</f>
        <v>0</v>
      </c>
      <c r="I28" s="8">
        <f xml:space="preserve"> SUMIF(tblGoogleUnits[Products],$A28, tblGoogleUnits[cv_2025]) + SUMIF(tblMetaUnits[Products],$A28, tblMetaUnits[cv_2025]) + SUMIF(tblAmazonUnits[Products],$A28, tblAmazonUnits[cv_2025]) + SUMIF(tblMicrosoftUnits[Products],$A28, tblMicrosoftUnits[cv_2025]) + SUMIF(tblAppleUnits[Products],$A28, tblAppleUnits[cv_2025]) + SUMIF(tblAlibabaUnits[Products],$A28, tblAlibabaUnits[cv_2025]) + SUMIF(tblHuaweiUnits[Products],$A28, tblHuaweiUnits[cv_2025]) + SUMIF(tblTencentUnits[Products],$A28, tblTencentUnits[cv_2025]) + SUMIF(tblBaiduUnits[Products],$A28, tblBaiduUnits[cv_2025]) + SUMIF(tblByteDanceUnits[Products],$A28, tblByteDanceUnits[cv_2025]) + SUMIF(tblCloudAOUnits[Products],$A28, tblCloudAOUnits[cv_2025]) + SUMIF(tblTelecomUnits[Products],$A28, tblTelecomUnits[cv_2025]) + SUMIF(tblEnterpriseUnits[Products],$A28, tblEnterpriseUnits[cv_2025])</f>
        <v>0</v>
      </c>
      <c r="J28" s="8">
        <f xml:space="preserve"> SUMIF(tblGoogleUnits[Products],$A28, tblGoogleUnits[cv_2026]) + SUMIF(tblMetaUnits[Products],$A28, tblMetaUnits[cv_2026]) + SUMIF(tblAmazonUnits[Products],$A28, tblAmazonUnits[cv_2026]) + SUMIF(tblMicrosoftUnits[Products],$A28, tblMicrosoftUnits[cv_2026]) + SUMIF(tblAppleUnits[Products],$A28, tblAppleUnits[cv_2026]) + SUMIF(tblAlibabaUnits[Products],$A28, tblAlibabaUnits[cv_2026]) + SUMIF(tblHuaweiUnits[Products],$A28, tblHuaweiUnits[cv_2026]) + SUMIF(tblTencentUnits[Products],$A28, tblTencentUnits[cv_2026]) + SUMIF(tblBaiduUnits[Products],$A28, tblBaiduUnits[cv_2026]) + SUMIF(tblByteDanceUnits[Products],$A28, tblByteDanceUnits[cv_2026]) + SUMIF(tblCloudAOUnits[Products],$A28, tblCloudAOUnits[cv_2026]) + SUMIF(tblTelecomUnits[Products],$A28, tblTelecomUnits[cv_2026]) + SUMIF(tblEnterpriseUnits[Products],$A28, tblEnterpriseUnits[cv_2026])</f>
        <v>0</v>
      </c>
      <c r="K28" s="8">
        <f xml:space="preserve"> SUMIF(tblGoogleUnits[Products],$A28, tblGoogleUnits[cv_2027]) + SUMIF(tblMetaUnits[Products],$A28, tblMetaUnits[cv_2027]) + SUMIF(tblAmazonUnits[Products],$A28, tblAmazonUnits[cv_2027]) + SUMIF(tblMicrosoftUnits[Products],$A28, tblMicrosoftUnits[cv_2027]) + SUMIF(tblAppleUnits[Products],$A28, tblAppleUnits[cv_2027]) + SUMIF(tblAlibabaUnits[Products],$A28, tblAlibabaUnits[cv_2027]) + SUMIF(tblHuaweiUnits[Products],$A28, tblHuaweiUnits[cv_2027]) + SUMIF(tblTencentUnits[Products],$A28, tblTencentUnits[cv_2027]) + SUMIF(tblBaiduUnits[Products],$A28, tblBaiduUnits[cv_2027]) + SUMIF(tblByteDanceUnits[Products],$A28, tblByteDanceUnits[cv_2027]) + SUMIF(tblCloudAOUnits[Products],$A28, tblCloudAOUnits[cv_2027]) + SUMIF(tblTelecomUnits[Products],$A28, tblTelecomUnits[cv_2027]) + SUMIF(tblEnterpriseUnits[Products],$A28, tblEnterpriseUnits[cv_2027])</f>
        <v>0</v>
      </c>
      <c r="L28" s="8">
        <f xml:space="preserve"> SUMIF(tblGoogleUnits[Products],$A28, tblGoogleUnits[cv_2028]) + SUMIF(tblMetaUnits[Products],$A28, tblMetaUnits[cv_2028]) + SUMIF(tblAmazonUnits[Products],$A28, tblAmazonUnits[cv_2028]) + SUMIF(tblMicrosoftUnits[Products],$A28, tblMicrosoftUnits[cv_2028]) + SUMIF(tblAppleUnits[Products],$A28, tblAppleUnits[cv_2028]) + SUMIF(tblAlibabaUnits[Products],$A28, tblAlibabaUnits[cv_2028]) + SUMIF(tblHuaweiUnits[Products],$A28, tblHuaweiUnits[cv_2028]) + SUMIF(tblTencentUnits[Products],$A28, tblTencentUnits[cv_2028]) + SUMIF(tblBaiduUnits[Products],$A28, tblBaiduUnits[cv_2028]) + SUMIF(tblByteDanceUnits[Products],$A28, tblByteDanceUnits[cv_2028]) + SUMIF(tblCloudAOUnits[Products],$A28, tblCloudAOUnits[cv_2028]) + SUMIF(tblTelecomUnits[Products],$A28, tblTelecomUnits[cv_2028]) + SUMIF(tblEnterpriseUnits[Products],$A28, tblEnterpriseUnits[cv_2028])</f>
        <v>0</v>
      </c>
      <c r="M28" s="105" cm="1">
        <f t="array" ref="M28">INDEX(tblPrices[cv_2018], MATCH($A28,tblPrices[Products],0), 0)</f>
        <v>11.355942578382948</v>
      </c>
      <c r="N28" s="105" cm="1">
        <f t="array" ref="N28">INDEX(tblPrices[cv_2019], MATCH($A28,tblPrices[Products],0), 0)</f>
        <v>6.73831916455803</v>
      </c>
      <c r="O28" s="105" cm="1">
        <f t="array" ref="O28">INDEX(tblPrices[cv_2020], MATCH($A28,tblPrices[Products],0), 0)</f>
        <v>0</v>
      </c>
      <c r="P28" s="105" cm="1">
        <f t="array" ref="P28">INDEX(tblPrices[cv_2021], MATCH($A28,tblPrices[Products],0), 0)</f>
        <v>0</v>
      </c>
      <c r="Q28" s="105" cm="1">
        <f t="array" ref="Q28">INDEX(tblPrices[cv_2022], MATCH($A28,tblPrices[Products],0), 0)</f>
        <v>0</v>
      </c>
      <c r="R28" s="105" cm="1">
        <f t="array" ref="R28">INDEX(tblPrices[cv_2023], MATCH($A28,tblPrices[Products],0), 0)</f>
        <v>0</v>
      </c>
      <c r="S28" s="105" cm="1">
        <f t="array" ref="S28">INDEX(tblPrices[cv_2024], MATCH($A28,tblPrices[Products],0), 0)</f>
        <v>0</v>
      </c>
      <c r="T28" s="105" cm="1">
        <f t="array" ref="T28">INDEX(tblPrices[cv_2025], MATCH($A28,tblPrices[Products],0), 0)</f>
        <v>0</v>
      </c>
      <c r="U28" s="105" cm="1">
        <f t="array" ref="U28">INDEX(tblPrices[cv_2026], MATCH($A28,tblPrices[Products],0), 0)</f>
        <v>0</v>
      </c>
      <c r="V28" s="105" cm="1">
        <f t="array" ref="V28">INDEX(tblPrices[cv_2027], MATCH($A28,tblPrices[Products],0), 0)</f>
        <v>0</v>
      </c>
      <c r="W28" s="105" cm="1">
        <f t="array" ref="W28">INDEX(tblPrices[cv_2028], MATCH($A28,tblPrices[Products],0), 0)</f>
        <v>0</v>
      </c>
      <c r="X28" s="106" cm="1">
        <f t="array" ref="X28">INDEX(tblPrices[cv_2018], MATCH($A28,tblPrices[Products],0), 0)* tblForecast[[#This Row],[un_2018]]/10^6</f>
        <v>11.539148000000001</v>
      </c>
      <c r="Y28" s="106" cm="1">
        <f t="array" ref="Y28">INDEX(tblPrices[cv_2019], MATCH($A28,tblPrices[Products],0), 0)* tblForecast[[#This Row],[un_2019]]/10^6</f>
        <v>5.7426853397604294</v>
      </c>
      <c r="Z28" s="106" cm="1">
        <f t="array" ref="Z28">INDEX(tblPrices[cv_2020], MATCH($A28,tblPrices[Products],0), 0)* tblForecast[[#This Row],[un_2020]]/10^6</f>
        <v>0</v>
      </c>
      <c r="AA28" s="106" cm="1">
        <f t="array" ref="AA28">INDEX(tblPrices[cv_2021], MATCH($A28,tblPrices[Products],0), 0)* tblForecast[[#This Row],[un_2021]]/10^6</f>
        <v>0</v>
      </c>
      <c r="AB28" s="106" cm="1">
        <f t="array" ref="AB28">INDEX(tblPrices[cv_2022], MATCH($A28,tblPrices[Products],0), 0)* tblForecast[[#This Row],[un_2022]]/10^6</f>
        <v>0</v>
      </c>
      <c r="AC28" s="106" cm="1">
        <f t="array" ref="AC28">INDEX(tblPrices[cv_2023], MATCH($A28,tblPrices[Products],0), 0)* tblForecast[[#This Row],[un_2023]]/10^6</f>
        <v>0</v>
      </c>
      <c r="AD28" s="106" cm="1">
        <f t="array" ref="AD28">INDEX(tblPrices[cv_2024], MATCH($A28,tblPrices[Products],0), 0)* tblForecast[[#This Row],[un_2024]]/10^6</f>
        <v>0</v>
      </c>
      <c r="AE28" s="106" cm="1">
        <f t="array" ref="AE28">INDEX(tblPrices[cv_2025], MATCH($A28,tblPrices[Products],0), 0)* tblForecast[[#This Row],[un_2025]]/10^6</f>
        <v>0</v>
      </c>
      <c r="AF28" s="106" cm="1">
        <f t="array" ref="AF28">INDEX(tblPrices[cv_2026], MATCH($A28,tblPrices[Products],0), 0)* tblForecast[[#This Row],[un_2026]]/10^6</f>
        <v>0</v>
      </c>
      <c r="AG28" s="106" cm="1">
        <f t="array" ref="AG28">INDEX(tblPrices[cv_2027], MATCH($A28,tblPrices[Products],0), 0)* tblForecast[[#This Row],[un_2027]]/10^6</f>
        <v>0</v>
      </c>
      <c r="AH28" s="106" cm="1">
        <f t="array" ref="AH28">INDEX(tblPrices[cv_2028], MATCH($A28,tblPrices[Products],0), 0)* tblForecast[[#This Row],[un_2028]]/10^6</f>
        <v>0</v>
      </c>
      <c r="AI28" s="60">
        <f>VLOOKUP(A28,Products!$A$11:$F$110,6,FALSE)</f>
        <v>1</v>
      </c>
    </row>
    <row r="29" spans="1:35">
      <c r="A29" s="12" t="s">
        <v>152</v>
      </c>
      <c r="B29" s="8">
        <f xml:space="preserve"> SUMIF(tblGoogleUnits[Products],$A29, tblGoogleUnits[cv_2018]) + SUMIF(tblMetaUnits[Products],$A29, tblMetaUnits[cv_2018]) + SUMIF(tblAmazonUnits[Products],$A29, tblAmazonUnits[cv_2018]) + SUMIF(tblMicrosoftUnits[Products],$A29, tblMicrosoftUnits[cv_2018]) + SUMIF(tblAppleUnits[Products],$A29, tblAppleUnits[cv_2018]) + SUMIF(tblAlibabaUnits[Products],$A29, tblAlibabaUnits[cv_2018]) + SUMIF(tblHuaweiUnits[Products],$A29, tblHuaweiUnits[cv_2018]) + SUMIF(tblTencentUnits[Products],$A29, tblTencentUnits[cv_2018]) + SUMIF(tblBaiduUnits[Products],$A29, tblBaiduUnits[cv_2018]) + SUMIF(tblByteDanceUnits[Products],$A29, tblByteDanceUnits[cv_2018]) + SUMIF(tblCloudAOUnits[Products],$A29, tblCloudAOUnits[cv_2018]) + SUMIF(tblTelecomUnits[Products],$A29, tblTelecomUnits[cv_2018]) + SUMIF(tblEnterpriseUnits[Products],$A29, tblEnterpriseUnits[cv_2018])</f>
        <v>515486</v>
      </c>
      <c r="C29" s="8">
        <f xml:space="preserve"> SUMIF(tblGoogleUnits[Products],$A29, tblGoogleUnits[cv_2019]) + SUMIF(tblMetaUnits[Products],$A29, tblMetaUnits[cv_2019]) + SUMIF(tblAmazonUnits[Products],$A29, tblAmazonUnits[cv_2019]) + SUMIF(tblMicrosoftUnits[Products],$A29, tblMicrosoftUnits[cv_2019]) + SUMIF(tblAppleUnits[Products],$A29, tblAppleUnits[cv_2019]) + SUMIF(tblAlibabaUnits[Products],$A29, tblAlibabaUnits[cv_2019]) + SUMIF(tblHuaweiUnits[Products],$A29, tblHuaweiUnits[cv_2019]) + SUMIF(tblTencentUnits[Products],$A29, tblTencentUnits[cv_2019]) + SUMIF(tblBaiduUnits[Products],$A29, tblBaiduUnits[cv_2019]) + SUMIF(tblByteDanceUnits[Products],$A29, tblByteDanceUnits[cv_2019]) + SUMIF(tblCloudAOUnits[Products],$A29, tblCloudAOUnits[cv_2019]) + SUMIF(tblTelecomUnits[Products],$A29, tblTelecomUnits[cv_2019]) + SUMIF(tblEnterpriseUnits[Products],$A29, tblEnterpriseUnits[cv_2019])</f>
        <v>200286</v>
      </c>
      <c r="D29" s="8">
        <f xml:space="preserve"> SUMIF(tblGoogleUnits[Products],$A29, tblGoogleUnits[cv_2020]) + SUMIF(tblMetaUnits[Products],$A29, tblMetaUnits[cv_2020]) + SUMIF(tblAmazonUnits[Products],$A29, tblAmazonUnits[cv_2020]) + SUMIF(tblMicrosoftUnits[Products],$A29, tblMicrosoftUnits[cv_2020]) + SUMIF(tblAppleUnits[Products],$A29, tblAppleUnits[cv_2020]) + SUMIF(tblAlibabaUnits[Products],$A29, tblAlibabaUnits[cv_2020]) + SUMIF(tblHuaweiUnits[Products],$A29, tblHuaweiUnits[cv_2020]) + SUMIF(tblTencentUnits[Products],$A29, tblTencentUnits[cv_2020]) + SUMIF(tblBaiduUnits[Products],$A29, tblBaiduUnits[cv_2020]) + SUMIF(tblByteDanceUnits[Products],$A29, tblByteDanceUnits[cv_2020]) + SUMIF(tblCloudAOUnits[Products],$A29, tblCloudAOUnits[cv_2020]) + SUMIF(tblTelecomUnits[Products],$A29, tblTelecomUnits[cv_2020]) + SUMIF(tblEnterpriseUnits[Products],$A29, tblEnterpriseUnits[cv_2020])</f>
        <v>0</v>
      </c>
      <c r="E29" s="8">
        <f xml:space="preserve"> SUMIF(tblGoogleUnits[Products],$A29, tblGoogleUnits[cv_2021]) + SUMIF(tblMetaUnits[Products],$A29, tblMetaUnits[cv_2021]) + SUMIF(tblAmazonUnits[Products],$A29, tblAmazonUnits[cv_2021]) + SUMIF(tblMicrosoftUnits[Products],$A29, tblMicrosoftUnits[cv_2021]) + SUMIF(tblAppleUnits[Products],$A29, tblAppleUnits[cv_2021]) + SUMIF(tblAlibabaUnits[Products],$A29, tblAlibabaUnits[cv_2021]) + SUMIF(tblHuaweiUnits[Products],$A29, tblHuaweiUnits[cv_2021]) + SUMIF(tblTencentUnits[Products],$A29, tblTencentUnits[cv_2021]) + SUMIF(tblBaiduUnits[Products],$A29, tblBaiduUnits[cv_2021]) + SUMIF(tblByteDanceUnits[Products],$A29, tblByteDanceUnits[cv_2021]) + SUMIF(tblCloudAOUnits[Products],$A29, tblCloudAOUnits[cv_2021]) + SUMIF(tblTelecomUnits[Products],$A29, tblTelecomUnits[cv_2021]) + SUMIF(tblEnterpriseUnits[Products],$A29, tblEnterpriseUnits[cv_2021])</f>
        <v>0</v>
      </c>
      <c r="F29" s="8">
        <f xml:space="preserve"> SUMIF(tblGoogleUnits[Products],$A29, tblGoogleUnits[cv_2022]) + SUMIF(tblMetaUnits[Products],$A29, tblMetaUnits[cv_2022]) + SUMIF(tblAmazonUnits[Products],$A29, tblAmazonUnits[cv_2022]) + SUMIF(tblMicrosoftUnits[Products],$A29, tblMicrosoftUnits[cv_2022]) + SUMIF(tblAppleUnits[Products],$A29, tblAppleUnits[cv_2022]) + SUMIF(tblAlibabaUnits[Products],$A29, tblAlibabaUnits[cv_2022]) + SUMIF(tblHuaweiUnits[Products],$A29, tblHuaweiUnits[cv_2022]) + SUMIF(tblTencentUnits[Products],$A29, tblTencentUnits[cv_2022]) + SUMIF(tblBaiduUnits[Products],$A29, tblBaiduUnits[cv_2022]) + SUMIF(tblByteDanceUnits[Products],$A29, tblByteDanceUnits[cv_2022]) + SUMIF(tblCloudAOUnits[Products],$A29, tblCloudAOUnits[cv_2022]) + SUMIF(tblTelecomUnits[Products],$A29, tblTelecomUnits[cv_2022]) + SUMIF(tblEnterpriseUnits[Products],$A29, tblEnterpriseUnits[cv_2022])</f>
        <v>0</v>
      </c>
      <c r="G29" s="8">
        <f xml:space="preserve"> SUMIF(tblGoogleUnits[Products],$A29, tblGoogleUnits[cv_2023]) + SUMIF(tblMetaUnits[Products],$A29, tblMetaUnits[cv_2023]) + SUMIF(tblAmazonUnits[Products],$A29, tblAmazonUnits[cv_2023]) + SUMIF(tblMicrosoftUnits[Products],$A29, tblMicrosoftUnits[cv_2023]) + SUMIF(tblAppleUnits[Products],$A29, tblAppleUnits[cv_2023]) + SUMIF(tblAlibabaUnits[Products],$A29, tblAlibabaUnits[cv_2023]) + SUMIF(tblHuaweiUnits[Products],$A29, tblHuaweiUnits[cv_2023]) + SUMIF(tblTencentUnits[Products],$A29, tblTencentUnits[cv_2023]) + SUMIF(tblBaiduUnits[Products],$A29, tblBaiduUnits[cv_2023]) + SUMIF(tblByteDanceUnits[Products],$A29, tblByteDanceUnits[cv_2023]) + SUMIF(tblCloudAOUnits[Products],$A29, tblCloudAOUnits[cv_2023]) + SUMIF(tblTelecomUnits[Products],$A29, tblTelecomUnits[cv_2023]) + SUMIF(tblEnterpriseUnits[Products],$A29, tblEnterpriseUnits[cv_2023])</f>
        <v>0</v>
      </c>
      <c r="H29" s="8">
        <f xml:space="preserve"> SUMIF(tblGoogleUnits[Products],$A29, tblGoogleUnits[cv_2024]) + SUMIF(tblMetaUnits[Products],$A29, tblMetaUnits[cv_2024]) + SUMIF(tblAmazonUnits[Products],$A29, tblAmazonUnits[cv_2024]) + SUMIF(tblMicrosoftUnits[Products],$A29, tblMicrosoftUnits[cv_2024]) + SUMIF(tblAppleUnits[Products],$A29, tblAppleUnits[cv_2024]) + SUMIF(tblAlibabaUnits[Products],$A29, tblAlibabaUnits[cv_2024]) + SUMIF(tblHuaweiUnits[Products],$A29, tblHuaweiUnits[cv_2024]) + SUMIF(tblTencentUnits[Products],$A29, tblTencentUnits[cv_2024]) + SUMIF(tblBaiduUnits[Products],$A29, tblBaiduUnits[cv_2024]) + SUMIF(tblByteDanceUnits[Products],$A29, tblByteDanceUnits[cv_2024]) + SUMIF(tblCloudAOUnits[Products],$A29, tblCloudAOUnits[cv_2024]) + SUMIF(tblTelecomUnits[Products],$A29, tblTelecomUnits[cv_2024]) + SUMIF(tblEnterpriseUnits[Products],$A29, tblEnterpriseUnits[cv_2024])</f>
        <v>0</v>
      </c>
      <c r="I29" s="8">
        <f xml:space="preserve"> SUMIF(tblGoogleUnits[Products],$A29, tblGoogleUnits[cv_2025]) + SUMIF(tblMetaUnits[Products],$A29, tblMetaUnits[cv_2025]) + SUMIF(tblAmazonUnits[Products],$A29, tblAmazonUnits[cv_2025]) + SUMIF(tblMicrosoftUnits[Products],$A29, tblMicrosoftUnits[cv_2025]) + SUMIF(tblAppleUnits[Products],$A29, tblAppleUnits[cv_2025]) + SUMIF(tblAlibabaUnits[Products],$A29, tblAlibabaUnits[cv_2025]) + SUMIF(tblHuaweiUnits[Products],$A29, tblHuaweiUnits[cv_2025]) + SUMIF(tblTencentUnits[Products],$A29, tblTencentUnits[cv_2025]) + SUMIF(tblBaiduUnits[Products],$A29, tblBaiduUnits[cv_2025]) + SUMIF(tblByteDanceUnits[Products],$A29, tblByteDanceUnits[cv_2025]) + SUMIF(tblCloudAOUnits[Products],$A29, tblCloudAOUnits[cv_2025]) + SUMIF(tblTelecomUnits[Products],$A29, tblTelecomUnits[cv_2025]) + SUMIF(tblEnterpriseUnits[Products],$A29, tblEnterpriseUnits[cv_2025])</f>
        <v>0</v>
      </c>
      <c r="J29" s="8">
        <f xml:space="preserve"> SUMIF(tblGoogleUnits[Products],$A29, tblGoogleUnits[cv_2026]) + SUMIF(tblMetaUnits[Products],$A29, tblMetaUnits[cv_2026]) + SUMIF(tblAmazonUnits[Products],$A29, tblAmazonUnits[cv_2026]) + SUMIF(tblMicrosoftUnits[Products],$A29, tblMicrosoftUnits[cv_2026]) + SUMIF(tblAppleUnits[Products],$A29, tblAppleUnits[cv_2026]) + SUMIF(tblAlibabaUnits[Products],$A29, tblAlibabaUnits[cv_2026]) + SUMIF(tblHuaweiUnits[Products],$A29, tblHuaweiUnits[cv_2026]) + SUMIF(tblTencentUnits[Products],$A29, tblTencentUnits[cv_2026]) + SUMIF(tblBaiduUnits[Products],$A29, tblBaiduUnits[cv_2026]) + SUMIF(tblByteDanceUnits[Products],$A29, tblByteDanceUnits[cv_2026]) + SUMIF(tblCloudAOUnits[Products],$A29, tblCloudAOUnits[cv_2026]) + SUMIF(tblTelecomUnits[Products],$A29, tblTelecomUnits[cv_2026]) + SUMIF(tblEnterpriseUnits[Products],$A29, tblEnterpriseUnits[cv_2026])</f>
        <v>0</v>
      </c>
      <c r="K29" s="8">
        <f xml:space="preserve"> SUMIF(tblGoogleUnits[Products],$A29, tblGoogleUnits[cv_2027]) + SUMIF(tblMetaUnits[Products],$A29, tblMetaUnits[cv_2027]) + SUMIF(tblAmazonUnits[Products],$A29, tblAmazonUnits[cv_2027]) + SUMIF(tblMicrosoftUnits[Products],$A29, tblMicrosoftUnits[cv_2027]) + SUMIF(tblAppleUnits[Products],$A29, tblAppleUnits[cv_2027]) + SUMIF(tblAlibabaUnits[Products],$A29, tblAlibabaUnits[cv_2027]) + SUMIF(tblHuaweiUnits[Products],$A29, tblHuaweiUnits[cv_2027]) + SUMIF(tblTencentUnits[Products],$A29, tblTencentUnits[cv_2027]) + SUMIF(tblBaiduUnits[Products],$A29, tblBaiduUnits[cv_2027]) + SUMIF(tblByteDanceUnits[Products],$A29, tblByteDanceUnits[cv_2027]) + SUMIF(tblCloudAOUnits[Products],$A29, tblCloudAOUnits[cv_2027]) + SUMIF(tblTelecomUnits[Products],$A29, tblTelecomUnits[cv_2027]) + SUMIF(tblEnterpriseUnits[Products],$A29, tblEnterpriseUnits[cv_2027])</f>
        <v>0</v>
      </c>
      <c r="L29" s="8">
        <f xml:space="preserve"> SUMIF(tblGoogleUnits[Products],$A29, tblGoogleUnits[cv_2028]) + SUMIF(tblMetaUnits[Products],$A29, tblMetaUnits[cv_2028]) + SUMIF(tblAmazonUnits[Products],$A29, tblAmazonUnits[cv_2028]) + SUMIF(tblMicrosoftUnits[Products],$A29, tblMicrosoftUnits[cv_2028]) + SUMIF(tblAppleUnits[Products],$A29, tblAppleUnits[cv_2028]) + SUMIF(tblAlibabaUnits[Products],$A29, tblAlibabaUnits[cv_2028]) + SUMIF(tblHuaweiUnits[Products],$A29, tblHuaweiUnits[cv_2028]) + SUMIF(tblTencentUnits[Products],$A29, tblTencentUnits[cv_2028]) + SUMIF(tblBaiduUnits[Products],$A29, tblBaiduUnits[cv_2028]) + SUMIF(tblByteDanceUnits[Products],$A29, tblByteDanceUnits[cv_2028]) + SUMIF(tblCloudAOUnits[Products],$A29, tblCloudAOUnits[cv_2028]) + SUMIF(tblTelecomUnits[Products],$A29, tblTelecomUnits[cv_2028]) + SUMIF(tblEnterpriseUnits[Products],$A29, tblEnterpriseUnits[cv_2028])</f>
        <v>0</v>
      </c>
      <c r="M29" s="105" cm="1">
        <f t="array" ref="M29">INDEX(tblPrices[cv_2018], MATCH($A29,tblPrices[Products],0), 0)</f>
        <v>32.87799862653884</v>
      </c>
      <c r="N29" s="105" cm="1">
        <f t="array" ref="N29">INDEX(tblPrices[cv_2019], MATCH($A29,tblPrices[Products],0), 0)</f>
        <v>29.555877684398165</v>
      </c>
      <c r="O29" s="105" cm="1">
        <f t="array" ref="O29">INDEX(tblPrices[cv_2020], MATCH($A29,tblPrices[Products],0), 0)</f>
        <v>0</v>
      </c>
      <c r="P29" s="105" cm="1">
        <f t="array" ref="P29">INDEX(tblPrices[cv_2021], MATCH($A29,tblPrices[Products],0), 0)</f>
        <v>0</v>
      </c>
      <c r="Q29" s="105" cm="1">
        <f t="array" ref="Q29">INDEX(tblPrices[cv_2022], MATCH($A29,tblPrices[Products],0), 0)</f>
        <v>0</v>
      </c>
      <c r="R29" s="105" cm="1">
        <f t="array" ref="R29">INDEX(tblPrices[cv_2023], MATCH($A29,tblPrices[Products],0), 0)</f>
        <v>0</v>
      </c>
      <c r="S29" s="105" cm="1">
        <f t="array" ref="S29">INDEX(tblPrices[cv_2024], MATCH($A29,tblPrices[Products],0), 0)</f>
        <v>0</v>
      </c>
      <c r="T29" s="105" cm="1">
        <f t="array" ref="T29">INDEX(tblPrices[cv_2025], MATCH($A29,tblPrices[Products],0), 0)</f>
        <v>0</v>
      </c>
      <c r="U29" s="105" cm="1">
        <f t="array" ref="U29">INDEX(tblPrices[cv_2026], MATCH($A29,tblPrices[Products],0), 0)</f>
        <v>0</v>
      </c>
      <c r="V29" s="105" cm="1">
        <f t="array" ref="V29">INDEX(tblPrices[cv_2027], MATCH($A29,tblPrices[Products],0), 0)</f>
        <v>0</v>
      </c>
      <c r="W29" s="105" cm="1">
        <f t="array" ref="W29">INDEX(tblPrices[cv_2028], MATCH($A29,tblPrices[Products],0), 0)</f>
        <v>0</v>
      </c>
      <c r="X29" s="106" cm="1">
        <f t="array" ref="X29">INDEX(tblPrices[cv_2018], MATCH($A29,tblPrices[Products],0), 0)* tblForecast[[#This Row],[un_2018]]/10^6</f>
        <v>16.948148</v>
      </c>
      <c r="Y29" s="106" cm="1">
        <f t="array" ref="Y29">INDEX(tblPrices[cv_2019], MATCH($A29,tblPrices[Products],0), 0)* tblForecast[[#This Row],[un_2019]]/10^6</f>
        <v>5.9196285178973715</v>
      </c>
      <c r="Z29" s="106" cm="1">
        <f t="array" ref="Z29">INDEX(tblPrices[cv_2020], MATCH($A29,tblPrices[Products],0), 0)* tblForecast[[#This Row],[un_2020]]/10^6</f>
        <v>0</v>
      </c>
      <c r="AA29" s="106" cm="1">
        <f t="array" ref="AA29">INDEX(tblPrices[cv_2021], MATCH($A29,tblPrices[Products],0), 0)* tblForecast[[#This Row],[un_2021]]/10^6</f>
        <v>0</v>
      </c>
      <c r="AB29" s="106" cm="1">
        <f t="array" ref="AB29">INDEX(tblPrices[cv_2022], MATCH($A29,tblPrices[Products],0), 0)* tblForecast[[#This Row],[un_2022]]/10^6</f>
        <v>0</v>
      </c>
      <c r="AC29" s="106" cm="1">
        <f t="array" ref="AC29">INDEX(tblPrices[cv_2023], MATCH($A29,tblPrices[Products],0), 0)* tblForecast[[#This Row],[un_2023]]/10^6</f>
        <v>0</v>
      </c>
      <c r="AD29" s="106" cm="1">
        <f t="array" ref="AD29">INDEX(tblPrices[cv_2024], MATCH($A29,tblPrices[Products],0), 0)* tblForecast[[#This Row],[un_2024]]/10^6</f>
        <v>0</v>
      </c>
      <c r="AE29" s="106" cm="1">
        <f t="array" ref="AE29">INDEX(tblPrices[cv_2025], MATCH($A29,tblPrices[Products],0), 0)* tblForecast[[#This Row],[un_2025]]/10^6</f>
        <v>0</v>
      </c>
      <c r="AF29" s="106" cm="1">
        <f t="array" ref="AF29">INDEX(tblPrices[cv_2026], MATCH($A29,tblPrices[Products],0), 0)* tblForecast[[#This Row],[un_2026]]/10^6</f>
        <v>0</v>
      </c>
      <c r="AG29" s="106" cm="1">
        <f t="array" ref="AG29">INDEX(tblPrices[cv_2027], MATCH($A29,tblPrices[Products],0), 0)* tblForecast[[#This Row],[un_2027]]/10^6</f>
        <v>0</v>
      </c>
      <c r="AH29" s="106" cm="1">
        <f t="array" ref="AH29">INDEX(tblPrices[cv_2028], MATCH($A29,tblPrices[Products],0), 0)* tblForecast[[#This Row],[un_2028]]/10^6</f>
        <v>0</v>
      </c>
      <c r="AI29" s="60">
        <f>VLOOKUP(A29,Products!$A$11:$F$110,6,FALSE)</f>
        <v>1</v>
      </c>
    </row>
    <row r="30" spans="1:35">
      <c r="A30" s="12" t="s">
        <v>153</v>
      </c>
      <c r="B30" s="8">
        <f xml:space="preserve"> SUMIF(tblGoogleUnits[Products],$A30, tblGoogleUnits[cv_2018]) + SUMIF(tblMetaUnits[Products],$A30, tblMetaUnits[cv_2018]) + SUMIF(tblAmazonUnits[Products],$A30, tblAmazonUnits[cv_2018]) + SUMIF(tblMicrosoftUnits[Products],$A30, tblMicrosoftUnits[cv_2018]) + SUMIF(tblAppleUnits[Products],$A30, tblAppleUnits[cv_2018]) + SUMIF(tblAlibabaUnits[Products],$A30, tblAlibabaUnits[cv_2018]) + SUMIF(tblHuaweiUnits[Products],$A30, tblHuaweiUnits[cv_2018]) + SUMIF(tblTencentUnits[Products],$A30, tblTencentUnits[cv_2018]) + SUMIF(tblBaiduUnits[Products],$A30, tblBaiduUnits[cv_2018]) + SUMIF(tblByteDanceUnits[Products],$A30, tblByteDanceUnits[cv_2018]) + SUMIF(tblCloudAOUnits[Products],$A30, tblCloudAOUnits[cv_2018]) + SUMIF(tblTelecomUnits[Products],$A30, tblTelecomUnits[cv_2018]) + SUMIF(tblEnterpriseUnits[Products],$A30, tblEnterpriseUnits[cv_2018])</f>
        <v>0</v>
      </c>
      <c r="C30" s="8">
        <f xml:space="preserve"> SUMIF(tblGoogleUnits[Products],$A30, tblGoogleUnits[cv_2019]) + SUMIF(tblMetaUnits[Products],$A30, tblMetaUnits[cv_2019]) + SUMIF(tblAmazonUnits[Products],$A30, tblAmazonUnits[cv_2019]) + SUMIF(tblMicrosoftUnits[Products],$A30, tblMicrosoftUnits[cv_2019]) + SUMIF(tblAppleUnits[Products],$A30, tblAppleUnits[cv_2019]) + SUMIF(tblAlibabaUnits[Products],$A30, tblAlibabaUnits[cv_2019]) + SUMIF(tblHuaweiUnits[Products],$A30, tblHuaweiUnits[cv_2019]) + SUMIF(tblTencentUnits[Products],$A30, tblTencentUnits[cv_2019]) + SUMIF(tblBaiduUnits[Products],$A30, tblBaiduUnits[cv_2019]) + SUMIF(tblByteDanceUnits[Products],$A30, tblByteDanceUnits[cv_2019]) + SUMIF(tblCloudAOUnits[Products],$A30, tblCloudAOUnits[cv_2019]) + SUMIF(tblTelecomUnits[Products],$A30, tblTelecomUnits[cv_2019]) + SUMIF(tblEnterpriseUnits[Products],$A30, tblEnterpriseUnits[cv_2019])</f>
        <v>0</v>
      </c>
      <c r="D30" s="8">
        <f xml:space="preserve"> SUMIF(tblGoogleUnits[Products],$A30, tblGoogleUnits[cv_2020]) + SUMIF(tblMetaUnits[Products],$A30, tblMetaUnits[cv_2020]) + SUMIF(tblAmazonUnits[Products],$A30, tblAmazonUnits[cv_2020]) + SUMIF(tblMicrosoftUnits[Products],$A30, tblMicrosoftUnits[cv_2020]) + SUMIF(tblAppleUnits[Products],$A30, tblAppleUnits[cv_2020]) + SUMIF(tblAlibabaUnits[Products],$A30, tblAlibabaUnits[cv_2020]) + SUMIF(tblHuaweiUnits[Products],$A30, tblHuaweiUnits[cv_2020]) + SUMIF(tblTencentUnits[Products],$A30, tblTencentUnits[cv_2020]) + SUMIF(tblBaiduUnits[Products],$A30, tblBaiduUnits[cv_2020]) + SUMIF(tblByteDanceUnits[Products],$A30, tblByteDanceUnits[cv_2020]) + SUMIF(tblCloudAOUnits[Products],$A30, tblCloudAOUnits[cv_2020]) + SUMIF(tblTelecomUnits[Products],$A30, tblTelecomUnits[cv_2020]) + SUMIF(tblEnterpriseUnits[Products],$A30, tblEnterpriseUnits[cv_2020])</f>
        <v>0</v>
      </c>
      <c r="E30" s="8">
        <f xml:space="preserve"> SUMIF(tblGoogleUnits[Products],$A30, tblGoogleUnits[cv_2021]) + SUMIF(tblMetaUnits[Products],$A30, tblMetaUnits[cv_2021]) + SUMIF(tblAmazonUnits[Products],$A30, tblAmazonUnits[cv_2021]) + SUMIF(tblMicrosoftUnits[Products],$A30, tblMicrosoftUnits[cv_2021]) + SUMIF(tblAppleUnits[Products],$A30, tblAppleUnits[cv_2021]) + SUMIF(tblAlibabaUnits[Products],$A30, tblAlibabaUnits[cv_2021]) + SUMIF(tblHuaweiUnits[Products],$A30, tblHuaweiUnits[cv_2021]) + SUMIF(tblTencentUnits[Products],$A30, tblTencentUnits[cv_2021]) + SUMIF(tblBaiduUnits[Products],$A30, tblBaiduUnits[cv_2021]) + SUMIF(tblByteDanceUnits[Products],$A30, tblByteDanceUnits[cv_2021]) + SUMIF(tblCloudAOUnits[Products],$A30, tblCloudAOUnits[cv_2021]) + SUMIF(tblTelecomUnits[Products],$A30, tblTelecomUnits[cv_2021]) + SUMIF(tblEnterpriseUnits[Products],$A30, tblEnterpriseUnits[cv_2021])</f>
        <v>0</v>
      </c>
      <c r="F30" s="8">
        <f xml:space="preserve"> SUMIF(tblGoogleUnits[Products],$A30, tblGoogleUnits[cv_2022]) + SUMIF(tblMetaUnits[Products],$A30, tblMetaUnits[cv_2022]) + SUMIF(tblAmazonUnits[Products],$A30, tblAmazonUnits[cv_2022]) + SUMIF(tblMicrosoftUnits[Products],$A30, tblMicrosoftUnits[cv_2022]) + SUMIF(tblAppleUnits[Products],$A30, tblAppleUnits[cv_2022]) + SUMIF(tblAlibabaUnits[Products],$A30, tblAlibabaUnits[cv_2022]) + SUMIF(tblHuaweiUnits[Products],$A30, tblHuaweiUnits[cv_2022]) + SUMIF(tblTencentUnits[Products],$A30, tblTencentUnits[cv_2022]) + SUMIF(tblBaiduUnits[Products],$A30, tblBaiduUnits[cv_2022]) + SUMIF(tblByteDanceUnits[Products],$A30, tblByteDanceUnits[cv_2022]) + SUMIF(tblCloudAOUnits[Products],$A30, tblCloudAOUnits[cv_2022]) + SUMIF(tblTelecomUnits[Products],$A30, tblTelecomUnits[cv_2022]) + SUMIF(tblEnterpriseUnits[Products],$A30, tblEnterpriseUnits[cv_2022])</f>
        <v>0</v>
      </c>
      <c r="G30" s="8">
        <f xml:space="preserve"> SUMIF(tblGoogleUnits[Products],$A30, tblGoogleUnits[cv_2023]) + SUMIF(tblMetaUnits[Products],$A30, tblMetaUnits[cv_2023]) + SUMIF(tblAmazonUnits[Products],$A30, tblAmazonUnits[cv_2023]) + SUMIF(tblMicrosoftUnits[Products],$A30, tblMicrosoftUnits[cv_2023]) + SUMIF(tblAppleUnits[Products],$A30, tblAppleUnits[cv_2023]) + SUMIF(tblAlibabaUnits[Products],$A30, tblAlibabaUnits[cv_2023]) + SUMIF(tblHuaweiUnits[Products],$A30, tblHuaweiUnits[cv_2023]) + SUMIF(tblTencentUnits[Products],$A30, tblTencentUnits[cv_2023]) + SUMIF(tblBaiduUnits[Products],$A30, tblBaiduUnits[cv_2023]) + SUMIF(tblByteDanceUnits[Products],$A30, tblByteDanceUnits[cv_2023]) + SUMIF(tblCloudAOUnits[Products],$A30, tblCloudAOUnits[cv_2023]) + SUMIF(tblTelecomUnits[Products],$A30, tblTelecomUnits[cv_2023]) + SUMIF(tblEnterpriseUnits[Products],$A30, tblEnterpriseUnits[cv_2023])</f>
        <v>0</v>
      </c>
      <c r="H30" s="8">
        <f xml:space="preserve"> SUMIF(tblGoogleUnits[Products],$A30, tblGoogleUnits[cv_2024]) + SUMIF(tblMetaUnits[Products],$A30, tblMetaUnits[cv_2024]) + SUMIF(tblAmazonUnits[Products],$A30, tblAmazonUnits[cv_2024]) + SUMIF(tblMicrosoftUnits[Products],$A30, tblMicrosoftUnits[cv_2024]) + SUMIF(tblAppleUnits[Products],$A30, tblAppleUnits[cv_2024]) + SUMIF(tblAlibabaUnits[Products],$A30, tblAlibabaUnits[cv_2024]) + SUMIF(tblHuaweiUnits[Products],$A30, tblHuaweiUnits[cv_2024]) + SUMIF(tblTencentUnits[Products],$A30, tblTencentUnits[cv_2024]) + SUMIF(tblBaiduUnits[Products],$A30, tblBaiduUnits[cv_2024]) + SUMIF(tblByteDanceUnits[Products],$A30, tblByteDanceUnits[cv_2024]) + SUMIF(tblCloudAOUnits[Products],$A30, tblCloudAOUnits[cv_2024]) + SUMIF(tblTelecomUnits[Products],$A30, tblTelecomUnits[cv_2024]) + SUMIF(tblEnterpriseUnits[Products],$A30, tblEnterpriseUnits[cv_2024])</f>
        <v>0</v>
      </c>
      <c r="I30" s="8">
        <f xml:space="preserve"> SUMIF(tblGoogleUnits[Products],$A30, tblGoogleUnits[cv_2025]) + SUMIF(tblMetaUnits[Products],$A30, tblMetaUnits[cv_2025]) + SUMIF(tblAmazonUnits[Products],$A30, tblAmazonUnits[cv_2025]) + SUMIF(tblMicrosoftUnits[Products],$A30, tblMicrosoftUnits[cv_2025]) + SUMIF(tblAppleUnits[Products],$A30, tblAppleUnits[cv_2025]) + SUMIF(tblAlibabaUnits[Products],$A30, tblAlibabaUnits[cv_2025]) + SUMIF(tblHuaweiUnits[Products],$A30, tblHuaweiUnits[cv_2025]) + SUMIF(tblTencentUnits[Products],$A30, tblTencentUnits[cv_2025]) + SUMIF(tblBaiduUnits[Products],$A30, tblBaiduUnits[cv_2025]) + SUMIF(tblByteDanceUnits[Products],$A30, tblByteDanceUnits[cv_2025]) + SUMIF(tblCloudAOUnits[Products],$A30, tblCloudAOUnits[cv_2025]) + SUMIF(tblTelecomUnits[Products],$A30, tblTelecomUnits[cv_2025]) + SUMIF(tblEnterpriseUnits[Products],$A30, tblEnterpriseUnits[cv_2025])</f>
        <v>0</v>
      </c>
      <c r="J30" s="8">
        <f xml:space="preserve"> SUMIF(tblGoogleUnits[Products],$A30, tblGoogleUnits[cv_2026]) + SUMIF(tblMetaUnits[Products],$A30, tblMetaUnits[cv_2026]) + SUMIF(tblAmazonUnits[Products],$A30, tblAmazonUnits[cv_2026]) + SUMIF(tblMicrosoftUnits[Products],$A30, tblMicrosoftUnits[cv_2026]) + SUMIF(tblAppleUnits[Products],$A30, tblAppleUnits[cv_2026]) + SUMIF(tblAlibabaUnits[Products],$A30, tblAlibabaUnits[cv_2026]) + SUMIF(tblHuaweiUnits[Products],$A30, tblHuaweiUnits[cv_2026]) + SUMIF(tblTencentUnits[Products],$A30, tblTencentUnits[cv_2026]) + SUMIF(tblBaiduUnits[Products],$A30, tblBaiduUnits[cv_2026]) + SUMIF(tblByteDanceUnits[Products],$A30, tblByteDanceUnits[cv_2026]) + SUMIF(tblCloudAOUnits[Products],$A30, tblCloudAOUnits[cv_2026]) + SUMIF(tblTelecomUnits[Products],$A30, tblTelecomUnits[cv_2026]) + SUMIF(tblEnterpriseUnits[Products],$A30, tblEnterpriseUnits[cv_2026])</f>
        <v>0</v>
      </c>
      <c r="K30" s="8">
        <f xml:space="preserve"> SUMIF(tblGoogleUnits[Products],$A30, tblGoogleUnits[cv_2027]) + SUMIF(tblMetaUnits[Products],$A30, tblMetaUnits[cv_2027]) + SUMIF(tblAmazonUnits[Products],$A30, tblAmazonUnits[cv_2027]) + SUMIF(tblMicrosoftUnits[Products],$A30, tblMicrosoftUnits[cv_2027]) + SUMIF(tblAppleUnits[Products],$A30, tblAppleUnits[cv_2027]) + SUMIF(tblAlibabaUnits[Products],$A30, tblAlibabaUnits[cv_2027]) + SUMIF(tblHuaweiUnits[Products],$A30, tblHuaweiUnits[cv_2027]) + SUMIF(tblTencentUnits[Products],$A30, tblTencentUnits[cv_2027]) + SUMIF(tblBaiduUnits[Products],$A30, tblBaiduUnits[cv_2027]) + SUMIF(tblByteDanceUnits[Products],$A30, tblByteDanceUnits[cv_2027]) + SUMIF(tblCloudAOUnits[Products],$A30, tblCloudAOUnits[cv_2027]) + SUMIF(tblTelecomUnits[Products],$A30, tblTelecomUnits[cv_2027]) + SUMIF(tblEnterpriseUnits[Products],$A30, tblEnterpriseUnits[cv_2027])</f>
        <v>0</v>
      </c>
      <c r="L30" s="8">
        <f xml:space="preserve"> SUMIF(tblGoogleUnits[Products],$A30, tblGoogleUnits[cv_2028]) + SUMIF(tblMetaUnits[Products],$A30, tblMetaUnits[cv_2028]) + SUMIF(tblAmazonUnits[Products],$A30, tblAmazonUnits[cv_2028]) + SUMIF(tblMicrosoftUnits[Products],$A30, tblMicrosoftUnits[cv_2028]) + SUMIF(tblAppleUnits[Products],$A30, tblAppleUnits[cv_2028]) + SUMIF(tblAlibabaUnits[Products],$A30, tblAlibabaUnits[cv_2028]) + SUMIF(tblHuaweiUnits[Products],$A30, tblHuaweiUnits[cv_2028]) + SUMIF(tblTencentUnits[Products],$A30, tblTencentUnits[cv_2028]) + SUMIF(tblBaiduUnits[Products],$A30, tblBaiduUnits[cv_2028]) + SUMIF(tblByteDanceUnits[Products],$A30, tblByteDanceUnits[cv_2028]) + SUMIF(tblCloudAOUnits[Products],$A30, tblCloudAOUnits[cv_2028]) + SUMIF(tblTelecomUnits[Products],$A30, tblTelecomUnits[cv_2028]) + SUMIF(tblEnterpriseUnits[Products],$A30, tblEnterpriseUnits[cv_2028])</f>
        <v>0</v>
      </c>
      <c r="M30" s="105" cm="1">
        <f t="array" ref="M30">INDEX(tblPrices[cv_2018], MATCH($A30,tblPrices[Products],0), 0)</f>
        <v>0</v>
      </c>
      <c r="N30" s="105" cm="1">
        <f t="array" ref="N30">INDEX(tblPrices[cv_2019], MATCH($A30,tblPrices[Products],0), 0)</f>
        <v>0</v>
      </c>
      <c r="O30" s="105" cm="1">
        <f t="array" ref="O30">INDEX(tblPrices[cv_2020], MATCH($A30,tblPrices[Products],0), 0)</f>
        <v>0</v>
      </c>
      <c r="P30" s="105" cm="1">
        <f t="array" ref="P30">INDEX(tblPrices[cv_2021], MATCH($A30,tblPrices[Products],0), 0)</f>
        <v>0</v>
      </c>
      <c r="Q30" s="105" cm="1">
        <f t="array" ref="Q30">INDEX(tblPrices[cv_2022], MATCH($A30,tblPrices[Products],0), 0)</f>
        <v>0</v>
      </c>
      <c r="R30" s="105" cm="1">
        <f t="array" ref="R30">INDEX(tblPrices[cv_2023], MATCH($A30,tblPrices[Products],0), 0)</f>
        <v>0</v>
      </c>
      <c r="S30" s="105" cm="1">
        <f t="array" ref="S30">INDEX(tblPrices[cv_2024], MATCH($A30,tblPrices[Products],0), 0)</f>
        <v>0</v>
      </c>
      <c r="T30" s="105" cm="1">
        <f t="array" ref="T30">INDEX(tblPrices[cv_2025], MATCH($A30,tblPrices[Products],0), 0)</f>
        <v>0</v>
      </c>
      <c r="U30" s="105" cm="1">
        <f t="array" ref="U30">INDEX(tblPrices[cv_2026], MATCH($A30,tblPrices[Products],0), 0)</f>
        <v>0</v>
      </c>
      <c r="V30" s="105" cm="1">
        <f t="array" ref="V30">INDEX(tblPrices[cv_2027], MATCH($A30,tblPrices[Products],0), 0)</f>
        <v>0</v>
      </c>
      <c r="W30" s="105" cm="1">
        <f t="array" ref="W30">INDEX(tblPrices[cv_2028], MATCH($A30,tblPrices[Products],0), 0)</f>
        <v>0</v>
      </c>
      <c r="X30" s="106" cm="1">
        <f t="array" ref="X30">INDEX(tblPrices[cv_2018], MATCH($A30,tblPrices[Products],0), 0)* tblForecast[[#This Row],[un_2018]]/10^6</f>
        <v>0</v>
      </c>
      <c r="Y30" s="106" cm="1">
        <f t="array" ref="Y30">INDEX(tblPrices[cv_2019], MATCH($A30,tblPrices[Products],0), 0)* tblForecast[[#This Row],[un_2019]]/10^6</f>
        <v>0</v>
      </c>
      <c r="Z30" s="106" cm="1">
        <f t="array" ref="Z30">INDEX(tblPrices[cv_2020], MATCH($A30,tblPrices[Products],0), 0)* tblForecast[[#This Row],[un_2020]]/10^6</f>
        <v>0</v>
      </c>
      <c r="AA30" s="106" cm="1">
        <f t="array" ref="AA30">INDEX(tblPrices[cv_2021], MATCH($A30,tblPrices[Products],0), 0)* tblForecast[[#This Row],[un_2021]]/10^6</f>
        <v>0</v>
      </c>
      <c r="AB30" s="106" cm="1">
        <f t="array" ref="AB30">INDEX(tblPrices[cv_2022], MATCH($A30,tblPrices[Products],0), 0)* tblForecast[[#This Row],[un_2022]]/10^6</f>
        <v>0</v>
      </c>
      <c r="AC30" s="106" cm="1">
        <f t="array" ref="AC30">INDEX(tblPrices[cv_2023], MATCH($A30,tblPrices[Products],0), 0)* tblForecast[[#This Row],[un_2023]]/10^6</f>
        <v>0</v>
      </c>
      <c r="AD30" s="106" cm="1">
        <f t="array" ref="AD30">INDEX(tblPrices[cv_2024], MATCH($A30,tblPrices[Products],0), 0)* tblForecast[[#This Row],[un_2024]]/10^6</f>
        <v>0</v>
      </c>
      <c r="AE30" s="106" cm="1">
        <f t="array" ref="AE30">INDEX(tblPrices[cv_2025], MATCH($A30,tblPrices[Products],0), 0)* tblForecast[[#This Row],[un_2025]]/10^6</f>
        <v>0</v>
      </c>
      <c r="AF30" s="106" cm="1">
        <f t="array" ref="AF30">INDEX(tblPrices[cv_2026], MATCH($A30,tblPrices[Products],0), 0)* tblForecast[[#This Row],[un_2026]]/10^6</f>
        <v>0</v>
      </c>
      <c r="AG30" s="106" cm="1">
        <f t="array" ref="AG30">INDEX(tblPrices[cv_2027], MATCH($A30,tblPrices[Products],0), 0)* tblForecast[[#This Row],[un_2027]]/10^6</f>
        <v>0</v>
      </c>
      <c r="AH30" s="106" cm="1">
        <f t="array" ref="AH30">INDEX(tblPrices[cv_2028], MATCH($A30,tblPrices[Products],0), 0)* tblForecast[[#This Row],[un_2028]]/10^6</f>
        <v>0</v>
      </c>
      <c r="AI30" s="60">
        <f>VLOOKUP(A30,Products!$A$11:$F$110,6,FALSE)</f>
        <v>1</v>
      </c>
    </row>
    <row r="31" spans="1:35">
      <c r="A31" s="12" t="s">
        <v>154</v>
      </c>
      <c r="B31" s="8">
        <f xml:space="preserve"> SUMIF(tblGoogleUnits[Products],$A31, tblGoogleUnits[cv_2018]) + SUMIF(tblMetaUnits[Products],$A31, tblMetaUnits[cv_2018]) + SUMIF(tblAmazonUnits[Products],$A31, tblAmazonUnits[cv_2018]) + SUMIF(tblMicrosoftUnits[Products],$A31, tblMicrosoftUnits[cv_2018]) + SUMIF(tblAppleUnits[Products],$A31, tblAppleUnits[cv_2018]) + SUMIF(tblAlibabaUnits[Products],$A31, tblAlibabaUnits[cv_2018]) + SUMIF(tblHuaweiUnits[Products],$A31, tblHuaweiUnits[cv_2018]) + SUMIF(tblTencentUnits[Products],$A31, tblTencentUnits[cv_2018]) + SUMIF(tblBaiduUnits[Products],$A31, tblBaiduUnits[cv_2018]) + SUMIF(tblByteDanceUnits[Products],$A31, tblByteDanceUnits[cv_2018]) + SUMIF(tblCloudAOUnits[Products],$A31, tblCloudAOUnits[cv_2018]) + SUMIF(tblTelecomUnits[Products],$A31, tblTelecomUnits[cv_2018]) + SUMIF(tblEnterpriseUnits[Products],$A31, tblEnterpriseUnits[cv_2018])</f>
        <v>55887</v>
      </c>
      <c r="C31" s="8">
        <f xml:space="preserve"> SUMIF(tblGoogleUnits[Products],$A31, tblGoogleUnits[cv_2019]) + SUMIF(tblMetaUnits[Products],$A31, tblMetaUnits[cv_2019]) + SUMIF(tblAmazonUnits[Products],$A31, tblAmazonUnits[cv_2019]) + SUMIF(tblMicrosoftUnits[Products],$A31, tblMicrosoftUnits[cv_2019]) + SUMIF(tblAppleUnits[Products],$A31, tblAppleUnits[cv_2019]) + SUMIF(tblAlibabaUnits[Products],$A31, tblAlibabaUnits[cv_2019]) + SUMIF(tblHuaweiUnits[Products],$A31, tblHuaweiUnits[cv_2019]) + SUMIF(tblTencentUnits[Products],$A31, tblTencentUnits[cv_2019]) + SUMIF(tblBaiduUnits[Products],$A31, tblBaiduUnits[cv_2019]) + SUMIF(tblByteDanceUnits[Products],$A31, tblByteDanceUnits[cv_2019]) + SUMIF(tblCloudAOUnits[Products],$A31, tblCloudAOUnits[cv_2019]) + SUMIF(tblTelecomUnits[Products],$A31, tblTelecomUnits[cv_2019]) + SUMIF(tblEnterpriseUnits[Products],$A31, tblEnterpriseUnits[cv_2019])</f>
        <v>25923</v>
      </c>
      <c r="D31" s="8">
        <f xml:space="preserve"> SUMIF(tblGoogleUnits[Products],$A31, tblGoogleUnits[cv_2020]) + SUMIF(tblMetaUnits[Products],$A31, tblMetaUnits[cv_2020]) + SUMIF(tblAmazonUnits[Products],$A31, tblAmazonUnits[cv_2020]) + SUMIF(tblMicrosoftUnits[Products],$A31, tblMicrosoftUnits[cv_2020]) + SUMIF(tblAppleUnits[Products],$A31, tblAppleUnits[cv_2020]) + SUMIF(tblAlibabaUnits[Products],$A31, tblAlibabaUnits[cv_2020]) + SUMIF(tblHuaweiUnits[Products],$A31, tblHuaweiUnits[cv_2020]) + SUMIF(tblTencentUnits[Products],$A31, tblTencentUnits[cv_2020]) + SUMIF(tblBaiduUnits[Products],$A31, tblBaiduUnits[cv_2020]) + SUMIF(tblByteDanceUnits[Products],$A31, tblByteDanceUnits[cv_2020]) + SUMIF(tblCloudAOUnits[Products],$A31, tblCloudAOUnits[cv_2020]) + SUMIF(tblTelecomUnits[Products],$A31, tblTelecomUnits[cv_2020]) + SUMIF(tblEnterpriseUnits[Products],$A31, tblEnterpriseUnits[cv_2020])</f>
        <v>0</v>
      </c>
      <c r="E31" s="8">
        <f xml:space="preserve"> SUMIF(tblGoogleUnits[Products],$A31, tblGoogleUnits[cv_2021]) + SUMIF(tblMetaUnits[Products],$A31, tblMetaUnits[cv_2021]) + SUMIF(tblAmazonUnits[Products],$A31, tblAmazonUnits[cv_2021]) + SUMIF(tblMicrosoftUnits[Products],$A31, tblMicrosoftUnits[cv_2021]) + SUMIF(tblAppleUnits[Products],$A31, tblAppleUnits[cv_2021]) + SUMIF(tblAlibabaUnits[Products],$A31, tblAlibabaUnits[cv_2021]) + SUMIF(tblHuaweiUnits[Products],$A31, tblHuaweiUnits[cv_2021]) + SUMIF(tblTencentUnits[Products],$A31, tblTencentUnits[cv_2021]) + SUMIF(tblBaiduUnits[Products],$A31, tblBaiduUnits[cv_2021]) + SUMIF(tblByteDanceUnits[Products],$A31, tblByteDanceUnits[cv_2021]) + SUMIF(tblCloudAOUnits[Products],$A31, tblCloudAOUnits[cv_2021]) + SUMIF(tblTelecomUnits[Products],$A31, tblTelecomUnits[cv_2021]) + SUMIF(tblEnterpriseUnits[Products],$A31, tblEnterpriseUnits[cv_2021])</f>
        <v>0</v>
      </c>
      <c r="F31" s="8">
        <f xml:space="preserve"> SUMIF(tblGoogleUnits[Products],$A31, tblGoogleUnits[cv_2022]) + SUMIF(tblMetaUnits[Products],$A31, tblMetaUnits[cv_2022]) + SUMIF(tblAmazonUnits[Products],$A31, tblAmazonUnits[cv_2022]) + SUMIF(tblMicrosoftUnits[Products],$A31, tblMicrosoftUnits[cv_2022]) + SUMIF(tblAppleUnits[Products],$A31, tblAppleUnits[cv_2022]) + SUMIF(tblAlibabaUnits[Products],$A31, tblAlibabaUnits[cv_2022]) + SUMIF(tblHuaweiUnits[Products],$A31, tblHuaweiUnits[cv_2022]) + SUMIF(tblTencentUnits[Products],$A31, tblTencentUnits[cv_2022]) + SUMIF(tblBaiduUnits[Products],$A31, tblBaiduUnits[cv_2022]) + SUMIF(tblByteDanceUnits[Products],$A31, tblByteDanceUnits[cv_2022]) + SUMIF(tblCloudAOUnits[Products],$A31, tblCloudAOUnits[cv_2022]) + SUMIF(tblTelecomUnits[Products],$A31, tblTelecomUnits[cv_2022]) + SUMIF(tblEnterpriseUnits[Products],$A31, tblEnterpriseUnits[cv_2022])</f>
        <v>0</v>
      </c>
      <c r="G31" s="8">
        <f xml:space="preserve"> SUMIF(tblGoogleUnits[Products],$A31, tblGoogleUnits[cv_2023]) + SUMIF(tblMetaUnits[Products],$A31, tblMetaUnits[cv_2023]) + SUMIF(tblAmazonUnits[Products],$A31, tblAmazonUnits[cv_2023]) + SUMIF(tblMicrosoftUnits[Products],$A31, tblMicrosoftUnits[cv_2023]) + SUMIF(tblAppleUnits[Products],$A31, tblAppleUnits[cv_2023]) + SUMIF(tblAlibabaUnits[Products],$A31, tblAlibabaUnits[cv_2023]) + SUMIF(tblHuaweiUnits[Products],$A31, tblHuaweiUnits[cv_2023]) + SUMIF(tblTencentUnits[Products],$A31, tblTencentUnits[cv_2023]) + SUMIF(tblBaiduUnits[Products],$A31, tblBaiduUnits[cv_2023]) + SUMIF(tblByteDanceUnits[Products],$A31, tblByteDanceUnits[cv_2023]) + SUMIF(tblCloudAOUnits[Products],$A31, tblCloudAOUnits[cv_2023]) + SUMIF(tblTelecomUnits[Products],$A31, tblTelecomUnits[cv_2023]) + SUMIF(tblEnterpriseUnits[Products],$A31, tblEnterpriseUnits[cv_2023])</f>
        <v>0</v>
      </c>
      <c r="H31" s="8">
        <f xml:space="preserve"> SUMIF(tblGoogleUnits[Products],$A31, tblGoogleUnits[cv_2024]) + SUMIF(tblMetaUnits[Products],$A31, tblMetaUnits[cv_2024]) + SUMIF(tblAmazonUnits[Products],$A31, tblAmazonUnits[cv_2024]) + SUMIF(tblMicrosoftUnits[Products],$A31, tblMicrosoftUnits[cv_2024]) + SUMIF(tblAppleUnits[Products],$A31, tblAppleUnits[cv_2024]) + SUMIF(tblAlibabaUnits[Products],$A31, tblAlibabaUnits[cv_2024]) + SUMIF(tblHuaweiUnits[Products],$A31, tblHuaweiUnits[cv_2024]) + SUMIF(tblTencentUnits[Products],$A31, tblTencentUnits[cv_2024]) + SUMIF(tblBaiduUnits[Products],$A31, tblBaiduUnits[cv_2024]) + SUMIF(tblByteDanceUnits[Products],$A31, tblByteDanceUnits[cv_2024]) + SUMIF(tblCloudAOUnits[Products],$A31, tblCloudAOUnits[cv_2024]) + SUMIF(tblTelecomUnits[Products],$A31, tblTelecomUnits[cv_2024]) + SUMIF(tblEnterpriseUnits[Products],$A31, tblEnterpriseUnits[cv_2024])</f>
        <v>0</v>
      </c>
      <c r="I31" s="8">
        <f xml:space="preserve"> SUMIF(tblGoogleUnits[Products],$A31, tblGoogleUnits[cv_2025]) + SUMIF(tblMetaUnits[Products],$A31, tblMetaUnits[cv_2025]) + SUMIF(tblAmazonUnits[Products],$A31, tblAmazonUnits[cv_2025]) + SUMIF(tblMicrosoftUnits[Products],$A31, tblMicrosoftUnits[cv_2025]) + SUMIF(tblAppleUnits[Products],$A31, tblAppleUnits[cv_2025]) + SUMIF(tblAlibabaUnits[Products],$A31, tblAlibabaUnits[cv_2025]) + SUMIF(tblHuaweiUnits[Products],$A31, tblHuaweiUnits[cv_2025]) + SUMIF(tblTencentUnits[Products],$A31, tblTencentUnits[cv_2025]) + SUMIF(tblBaiduUnits[Products],$A31, tblBaiduUnits[cv_2025]) + SUMIF(tblByteDanceUnits[Products],$A31, tblByteDanceUnits[cv_2025]) + SUMIF(tblCloudAOUnits[Products],$A31, tblCloudAOUnits[cv_2025]) + SUMIF(tblTelecomUnits[Products],$A31, tblTelecomUnits[cv_2025]) + SUMIF(tblEnterpriseUnits[Products],$A31, tblEnterpriseUnits[cv_2025])</f>
        <v>0</v>
      </c>
      <c r="J31" s="8">
        <f xml:space="preserve"> SUMIF(tblGoogleUnits[Products],$A31, tblGoogleUnits[cv_2026]) + SUMIF(tblMetaUnits[Products],$A31, tblMetaUnits[cv_2026]) + SUMIF(tblAmazonUnits[Products],$A31, tblAmazonUnits[cv_2026]) + SUMIF(tblMicrosoftUnits[Products],$A31, tblMicrosoftUnits[cv_2026]) + SUMIF(tblAppleUnits[Products],$A31, tblAppleUnits[cv_2026]) + SUMIF(tblAlibabaUnits[Products],$A31, tblAlibabaUnits[cv_2026]) + SUMIF(tblHuaweiUnits[Products],$A31, tblHuaweiUnits[cv_2026]) + SUMIF(tblTencentUnits[Products],$A31, tblTencentUnits[cv_2026]) + SUMIF(tblBaiduUnits[Products],$A31, tblBaiduUnits[cv_2026]) + SUMIF(tblByteDanceUnits[Products],$A31, tblByteDanceUnits[cv_2026]) + SUMIF(tblCloudAOUnits[Products],$A31, tblCloudAOUnits[cv_2026]) + SUMIF(tblTelecomUnits[Products],$A31, tblTelecomUnits[cv_2026]) + SUMIF(tblEnterpriseUnits[Products],$A31, tblEnterpriseUnits[cv_2026])</f>
        <v>0</v>
      </c>
      <c r="K31" s="8">
        <f xml:space="preserve"> SUMIF(tblGoogleUnits[Products],$A31, tblGoogleUnits[cv_2027]) + SUMIF(tblMetaUnits[Products],$A31, tblMetaUnits[cv_2027]) + SUMIF(tblAmazonUnits[Products],$A31, tblAmazonUnits[cv_2027]) + SUMIF(tblMicrosoftUnits[Products],$A31, tblMicrosoftUnits[cv_2027]) + SUMIF(tblAppleUnits[Products],$A31, tblAppleUnits[cv_2027]) + SUMIF(tblAlibabaUnits[Products],$A31, tblAlibabaUnits[cv_2027]) + SUMIF(tblHuaweiUnits[Products],$A31, tblHuaweiUnits[cv_2027]) + SUMIF(tblTencentUnits[Products],$A31, tblTencentUnits[cv_2027]) + SUMIF(tblBaiduUnits[Products],$A31, tblBaiduUnits[cv_2027]) + SUMIF(tblByteDanceUnits[Products],$A31, tblByteDanceUnits[cv_2027]) + SUMIF(tblCloudAOUnits[Products],$A31, tblCloudAOUnits[cv_2027]) + SUMIF(tblTelecomUnits[Products],$A31, tblTelecomUnits[cv_2027]) + SUMIF(tblEnterpriseUnits[Products],$A31, tblEnterpriseUnits[cv_2027])</f>
        <v>0</v>
      </c>
      <c r="L31" s="8">
        <f xml:space="preserve"> SUMIF(tblGoogleUnits[Products],$A31, tblGoogleUnits[cv_2028]) + SUMIF(tblMetaUnits[Products],$A31, tblMetaUnits[cv_2028]) + SUMIF(tblAmazonUnits[Products],$A31, tblAmazonUnits[cv_2028]) + SUMIF(tblMicrosoftUnits[Products],$A31, tblMicrosoftUnits[cv_2028]) + SUMIF(tblAppleUnits[Products],$A31, tblAppleUnits[cv_2028]) + SUMIF(tblAlibabaUnits[Products],$A31, tblAlibabaUnits[cv_2028]) + SUMIF(tblHuaweiUnits[Products],$A31, tblHuaweiUnits[cv_2028]) + SUMIF(tblTencentUnits[Products],$A31, tblTencentUnits[cv_2028]) + SUMIF(tblBaiduUnits[Products],$A31, tblBaiduUnits[cv_2028]) + SUMIF(tblByteDanceUnits[Products],$A31, tblByteDanceUnits[cv_2028]) + SUMIF(tblCloudAOUnits[Products],$A31, tblCloudAOUnits[cv_2028]) + SUMIF(tblTelecomUnits[Products],$A31, tblTelecomUnits[cv_2028]) + SUMIF(tblEnterpriseUnits[Products],$A31, tblEnterpriseUnits[cv_2028])</f>
        <v>0</v>
      </c>
      <c r="M31" s="105" cm="1">
        <f t="array" ref="M31">INDEX(tblPrices[cv_2018], MATCH($A31,tblPrices[Products],0), 0)</f>
        <v>53.859817130996483</v>
      </c>
      <c r="N31" s="105" cm="1">
        <f t="array" ref="N31">INDEX(tblPrices[cv_2019], MATCH($A31,tblPrices[Products],0), 0)</f>
        <v>50.690660803147772</v>
      </c>
      <c r="O31" s="105" cm="1">
        <f t="array" ref="O31">INDEX(tblPrices[cv_2020], MATCH($A31,tblPrices[Products],0), 0)</f>
        <v>0</v>
      </c>
      <c r="P31" s="105" cm="1">
        <f t="array" ref="P31">INDEX(tblPrices[cv_2021], MATCH($A31,tblPrices[Products],0), 0)</f>
        <v>0</v>
      </c>
      <c r="Q31" s="105" cm="1">
        <f t="array" ref="Q31">INDEX(tblPrices[cv_2022], MATCH($A31,tblPrices[Products],0), 0)</f>
        <v>0</v>
      </c>
      <c r="R31" s="105" cm="1">
        <f t="array" ref="R31">INDEX(tblPrices[cv_2023], MATCH($A31,tblPrices[Products],0), 0)</f>
        <v>0</v>
      </c>
      <c r="S31" s="105" cm="1">
        <f t="array" ref="S31">INDEX(tblPrices[cv_2024], MATCH($A31,tblPrices[Products],0), 0)</f>
        <v>0</v>
      </c>
      <c r="T31" s="105" cm="1">
        <f t="array" ref="T31">INDEX(tblPrices[cv_2025], MATCH($A31,tblPrices[Products],0), 0)</f>
        <v>0</v>
      </c>
      <c r="U31" s="105" cm="1">
        <f t="array" ref="U31">INDEX(tblPrices[cv_2026], MATCH($A31,tblPrices[Products],0), 0)</f>
        <v>0</v>
      </c>
      <c r="V31" s="105" cm="1">
        <f t="array" ref="V31">INDEX(tblPrices[cv_2027], MATCH($A31,tblPrices[Products],0), 0)</f>
        <v>0</v>
      </c>
      <c r="W31" s="105" cm="1">
        <f t="array" ref="W31">INDEX(tblPrices[cv_2028], MATCH($A31,tblPrices[Products],0), 0)</f>
        <v>0</v>
      </c>
      <c r="X31" s="106" cm="1">
        <f t="array" ref="X31">INDEX(tblPrices[cv_2018], MATCH($A31,tblPrices[Products],0), 0)* tblForecast[[#This Row],[un_2018]]/10^6</f>
        <v>3.0100636000000005</v>
      </c>
      <c r="Y31" s="106" cm="1">
        <f t="array" ref="Y31">INDEX(tblPrices[cv_2019], MATCH($A31,tblPrices[Products],0), 0)* tblForecast[[#This Row],[un_2019]]/10^6</f>
        <v>1.3140539999999998</v>
      </c>
      <c r="Z31" s="106" cm="1">
        <f t="array" ref="Z31">INDEX(tblPrices[cv_2020], MATCH($A31,tblPrices[Products],0), 0)* tblForecast[[#This Row],[un_2020]]/10^6</f>
        <v>0</v>
      </c>
      <c r="AA31" s="106" cm="1">
        <f t="array" ref="AA31">INDEX(tblPrices[cv_2021], MATCH($A31,tblPrices[Products],0), 0)* tblForecast[[#This Row],[un_2021]]/10^6</f>
        <v>0</v>
      </c>
      <c r="AB31" s="106" cm="1">
        <f t="array" ref="AB31">INDEX(tblPrices[cv_2022], MATCH($A31,tblPrices[Products],0), 0)* tblForecast[[#This Row],[un_2022]]/10^6</f>
        <v>0</v>
      </c>
      <c r="AC31" s="106" cm="1">
        <f t="array" ref="AC31">INDEX(tblPrices[cv_2023], MATCH($A31,tblPrices[Products],0), 0)* tblForecast[[#This Row],[un_2023]]/10^6</f>
        <v>0</v>
      </c>
      <c r="AD31" s="106" cm="1">
        <f t="array" ref="AD31">INDEX(tblPrices[cv_2024], MATCH($A31,tblPrices[Products],0), 0)* tblForecast[[#This Row],[un_2024]]/10^6</f>
        <v>0</v>
      </c>
      <c r="AE31" s="106" cm="1">
        <f t="array" ref="AE31">INDEX(tblPrices[cv_2025], MATCH($A31,tblPrices[Products],0), 0)* tblForecast[[#This Row],[un_2025]]/10^6</f>
        <v>0</v>
      </c>
      <c r="AF31" s="106" cm="1">
        <f t="array" ref="AF31">INDEX(tblPrices[cv_2026], MATCH($A31,tblPrices[Products],0), 0)* tblForecast[[#This Row],[un_2026]]/10^6</f>
        <v>0</v>
      </c>
      <c r="AG31" s="106" cm="1">
        <f t="array" ref="AG31">INDEX(tblPrices[cv_2027], MATCH($A31,tblPrices[Products],0), 0)* tblForecast[[#This Row],[un_2027]]/10^6</f>
        <v>0</v>
      </c>
      <c r="AH31" s="106" cm="1">
        <f t="array" ref="AH31">INDEX(tblPrices[cv_2028], MATCH($A31,tblPrices[Products],0), 0)* tblForecast[[#This Row],[un_2028]]/10^6</f>
        <v>0</v>
      </c>
      <c r="AI31" s="60">
        <f>VLOOKUP(A31,Products!$A$11:$F$110,6,FALSE)</f>
        <v>10</v>
      </c>
    </row>
    <row r="32" spans="1:35">
      <c r="A32" s="12" t="s">
        <v>155</v>
      </c>
      <c r="B32" s="8">
        <f xml:space="preserve"> SUMIF(tblGoogleUnits[Products],$A32, tblGoogleUnits[cv_2018]) + SUMIF(tblMetaUnits[Products],$A32, tblMetaUnits[cv_2018]) + SUMIF(tblAmazonUnits[Products],$A32, tblAmazonUnits[cv_2018]) + SUMIF(tblMicrosoftUnits[Products],$A32, tblMicrosoftUnits[cv_2018]) + SUMIF(tblAppleUnits[Products],$A32, tblAppleUnits[cv_2018]) + SUMIF(tblAlibabaUnits[Products],$A32, tblAlibabaUnits[cv_2018]) + SUMIF(tblHuaweiUnits[Products],$A32, tblHuaweiUnits[cv_2018]) + SUMIF(tblTencentUnits[Products],$A32, tblTencentUnits[cv_2018]) + SUMIF(tblBaiduUnits[Products],$A32, tblBaiduUnits[cv_2018]) + SUMIF(tblByteDanceUnits[Products],$A32, tblByteDanceUnits[cv_2018]) + SUMIF(tblCloudAOUnits[Products],$A32, tblCloudAOUnits[cv_2018]) + SUMIF(tblTelecomUnits[Products],$A32, tblTelecomUnits[cv_2018]) + SUMIF(tblEnterpriseUnits[Products],$A32, tblEnterpriseUnits[cv_2018])</f>
        <v>10931207</v>
      </c>
      <c r="C32" s="8">
        <f xml:space="preserve"> SUMIF(tblGoogleUnits[Products],$A32, tblGoogleUnits[cv_2019]) + SUMIF(tblMetaUnits[Products],$A32, tblMetaUnits[cv_2019]) + SUMIF(tblAmazonUnits[Products],$A32, tblAmazonUnits[cv_2019]) + SUMIF(tblMicrosoftUnits[Products],$A32, tblMicrosoftUnits[cv_2019]) + SUMIF(tblAppleUnits[Products],$A32, tblAppleUnits[cv_2019]) + SUMIF(tblAlibabaUnits[Products],$A32, tblAlibabaUnits[cv_2019]) + SUMIF(tblHuaweiUnits[Products],$A32, tblHuaweiUnits[cv_2019]) + SUMIF(tblTencentUnits[Products],$A32, tblTencentUnits[cv_2019]) + SUMIF(tblBaiduUnits[Products],$A32, tblBaiduUnits[cv_2019]) + SUMIF(tblByteDanceUnits[Products],$A32, tblByteDanceUnits[cv_2019]) + SUMIF(tblCloudAOUnits[Products],$A32, tblCloudAOUnits[cv_2019]) + SUMIF(tblTelecomUnits[Products],$A32, tblTelecomUnits[cv_2019]) + SUMIF(tblEnterpriseUnits[Products],$A32, tblEnterpriseUnits[cv_2019])</f>
        <v>12549964.000000002</v>
      </c>
      <c r="D32" s="8">
        <f xml:space="preserve"> SUMIF(tblGoogleUnits[Products],$A32, tblGoogleUnits[cv_2020]) + SUMIF(tblMetaUnits[Products],$A32, tblMetaUnits[cv_2020]) + SUMIF(tblAmazonUnits[Products],$A32, tblAmazonUnits[cv_2020]) + SUMIF(tblMicrosoftUnits[Products],$A32, tblMicrosoftUnits[cv_2020]) + SUMIF(tblAppleUnits[Products],$A32, tblAppleUnits[cv_2020]) + SUMIF(tblAlibabaUnits[Products],$A32, tblAlibabaUnits[cv_2020]) + SUMIF(tblHuaweiUnits[Products],$A32, tblHuaweiUnits[cv_2020]) + SUMIF(tblTencentUnits[Products],$A32, tblTencentUnits[cv_2020]) + SUMIF(tblBaiduUnits[Products],$A32, tblBaiduUnits[cv_2020]) + SUMIF(tblByteDanceUnits[Products],$A32, tblByteDanceUnits[cv_2020]) + SUMIF(tblCloudAOUnits[Products],$A32, tblCloudAOUnits[cv_2020]) + SUMIF(tblTelecomUnits[Products],$A32, tblTelecomUnits[cv_2020]) + SUMIF(tblEnterpriseUnits[Products],$A32, tblEnterpriseUnits[cv_2020])</f>
        <v>0</v>
      </c>
      <c r="E32" s="8">
        <f xml:space="preserve"> SUMIF(tblGoogleUnits[Products],$A32, tblGoogleUnits[cv_2021]) + SUMIF(tblMetaUnits[Products],$A32, tblMetaUnits[cv_2021]) + SUMIF(tblAmazonUnits[Products],$A32, tblAmazonUnits[cv_2021]) + SUMIF(tblMicrosoftUnits[Products],$A32, tblMicrosoftUnits[cv_2021]) + SUMIF(tblAppleUnits[Products],$A32, tblAppleUnits[cv_2021]) + SUMIF(tblAlibabaUnits[Products],$A32, tblAlibabaUnits[cv_2021]) + SUMIF(tblHuaweiUnits[Products],$A32, tblHuaweiUnits[cv_2021]) + SUMIF(tblTencentUnits[Products],$A32, tblTencentUnits[cv_2021]) + SUMIF(tblBaiduUnits[Products],$A32, tblBaiduUnits[cv_2021]) + SUMIF(tblByteDanceUnits[Products],$A32, tblByteDanceUnits[cv_2021]) + SUMIF(tblCloudAOUnits[Products],$A32, tblCloudAOUnits[cv_2021]) + SUMIF(tblTelecomUnits[Products],$A32, tblTelecomUnits[cv_2021]) + SUMIF(tblEnterpriseUnits[Products],$A32, tblEnterpriseUnits[cv_2021])</f>
        <v>0</v>
      </c>
      <c r="F32" s="8">
        <f xml:space="preserve"> SUMIF(tblGoogleUnits[Products],$A32, tblGoogleUnits[cv_2022]) + SUMIF(tblMetaUnits[Products],$A32, tblMetaUnits[cv_2022]) + SUMIF(tblAmazonUnits[Products],$A32, tblAmazonUnits[cv_2022]) + SUMIF(tblMicrosoftUnits[Products],$A32, tblMicrosoftUnits[cv_2022]) + SUMIF(tblAppleUnits[Products],$A32, tblAppleUnits[cv_2022]) + SUMIF(tblAlibabaUnits[Products],$A32, tblAlibabaUnits[cv_2022]) + SUMIF(tblHuaweiUnits[Products],$A32, tblHuaweiUnits[cv_2022]) + SUMIF(tblTencentUnits[Products],$A32, tblTencentUnits[cv_2022]) + SUMIF(tblBaiduUnits[Products],$A32, tblBaiduUnits[cv_2022]) + SUMIF(tblByteDanceUnits[Products],$A32, tblByteDanceUnits[cv_2022]) + SUMIF(tblCloudAOUnits[Products],$A32, tblCloudAOUnits[cv_2022]) + SUMIF(tblTelecomUnits[Products],$A32, tblTelecomUnits[cv_2022]) + SUMIF(tblEnterpriseUnits[Products],$A32, tblEnterpriseUnits[cv_2022])</f>
        <v>0</v>
      </c>
      <c r="G32" s="8">
        <f xml:space="preserve"> SUMIF(tblGoogleUnits[Products],$A32, tblGoogleUnits[cv_2023]) + SUMIF(tblMetaUnits[Products],$A32, tblMetaUnits[cv_2023]) + SUMIF(tblAmazonUnits[Products],$A32, tblAmazonUnits[cv_2023]) + SUMIF(tblMicrosoftUnits[Products],$A32, tblMicrosoftUnits[cv_2023]) + SUMIF(tblAppleUnits[Products],$A32, tblAppleUnits[cv_2023]) + SUMIF(tblAlibabaUnits[Products],$A32, tblAlibabaUnits[cv_2023]) + SUMIF(tblHuaweiUnits[Products],$A32, tblHuaweiUnits[cv_2023]) + SUMIF(tblTencentUnits[Products],$A32, tblTencentUnits[cv_2023]) + SUMIF(tblBaiduUnits[Products],$A32, tblBaiduUnits[cv_2023]) + SUMIF(tblByteDanceUnits[Products],$A32, tblByteDanceUnits[cv_2023]) + SUMIF(tblCloudAOUnits[Products],$A32, tblCloudAOUnits[cv_2023]) + SUMIF(tblTelecomUnits[Products],$A32, tblTelecomUnits[cv_2023]) + SUMIF(tblEnterpriseUnits[Products],$A32, tblEnterpriseUnits[cv_2023])</f>
        <v>0</v>
      </c>
      <c r="H32" s="8">
        <f xml:space="preserve"> SUMIF(tblGoogleUnits[Products],$A32, tblGoogleUnits[cv_2024]) + SUMIF(tblMetaUnits[Products],$A32, tblMetaUnits[cv_2024]) + SUMIF(tblAmazonUnits[Products],$A32, tblAmazonUnits[cv_2024]) + SUMIF(tblMicrosoftUnits[Products],$A32, tblMicrosoftUnits[cv_2024]) + SUMIF(tblAppleUnits[Products],$A32, tblAppleUnits[cv_2024]) + SUMIF(tblAlibabaUnits[Products],$A32, tblAlibabaUnits[cv_2024]) + SUMIF(tblHuaweiUnits[Products],$A32, tblHuaweiUnits[cv_2024]) + SUMIF(tblTencentUnits[Products],$A32, tblTencentUnits[cv_2024]) + SUMIF(tblBaiduUnits[Products],$A32, tblBaiduUnits[cv_2024]) + SUMIF(tblByteDanceUnits[Products],$A32, tblByteDanceUnits[cv_2024]) + SUMIF(tblCloudAOUnits[Products],$A32, tblCloudAOUnits[cv_2024]) + SUMIF(tblTelecomUnits[Products],$A32, tblTelecomUnits[cv_2024]) + SUMIF(tblEnterpriseUnits[Products],$A32, tblEnterpriseUnits[cv_2024])</f>
        <v>0</v>
      </c>
      <c r="I32" s="8">
        <f xml:space="preserve"> SUMIF(tblGoogleUnits[Products],$A32, tblGoogleUnits[cv_2025]) + SUMIF(tblMetaUnits[Products],$A32, tblMetaUnits[cv_2025]) + SUMIF(tblAmazonUnits[Products],$A32, tblAmazonUnits[cv_2025]) + SUMIF(tblMicrosoftUnits[Products],$A32, tblMicrosoftUnits[cv_2025]) + SUMIF(tblAppleUnits[Products],$A32, tblAppleUnits[cv_2025]) + SUMIF(tblAlibabaUnits[Products],$A32, tblAlibabaUnits[cv_2025]) + SUMIF(tblHuaweiUnits[Products],$A32, tblHuaweiUnits[cv_2025]) + SUMIF(tblTencentUnits[Products],$A32, tblTencentUnits[cv_2025]) + SUMIF(tblBaiduUnits[Products],$A32, tblBaiduUnits[cv_2025]) + SUMIF(tblByteDanceUnits[Products],$A32, tblByteDanceUnits[cv_2025]) + SUMIF(tblCloudAOUnits[Products],$A32, tblCloudAOUnits[cv_2025]) + SUMIF(tblTelecomUnits[Products],$A32, tblTelecomUnits[cv_2025]) + SUMIF(tblEnterpriseUnits[Products],$A32, tblEnterpriseUnits[cv_2025])</f>
        <v>0</v>
      </c>
      <c r="J32" s="8">
        <f xml:space="preserve"> SUMIF(tblGoogleUnits[Products],$A32, tblGoogleUnits[cv_2026]) + SUMIF(tblMetaUnits[Products],$A32, tblMetaUnits[cv_2026]) + SUMIF(tblAmazonUnits[Products],$A32, tblAmazonUnits[cv_2026]) + SUMIF(tblMicrosoftUnits[Products],$A32, tblMicrosoftUnits[cv_2026]) + SUMIF(tblAppleUnits[Products],$A32, tblAppleUnits[cv_2026]) + SUMIF(tblAlibabaUnits[Products],$A32, tblAlibabaUnits[cv_2026]) + SUMIF(tblHuaweiUnits[Products],$A32, tblHuaweiUnits[cv_2026]) + SUMIF(tblTencentUnits[Products],$A32, tblTencentUnits[cv_2026]) + SUMIF(tblBaiduUnits[Products],$A32, tblBaiduUnits[cv_2026]) + SUMIF(tblByteDanceUnits[Products],$A32, tblByteDanceUnits[cv_2026]) + SUMIF(tblCloudAOUnits[Products],$A32, tblCloudAOUnits[cv_2026]) + SUMIF(tblTelecomUnits[Products],$A32, tblTelecomUnits[cv_2026]) + SUMIF(tblEnterpriseUnits[Products],$A32, tblEnterpriseUnits[cv_2026])</f>
        <v>0</v>
      </c>
      <c r="K32" s="8">
        <f xml:space="preserve"> SUMIF(tblGoogleUnits[Products],$A32, tblGoogleUnits[cv_2027]) + SUMIF(tblMetaUnits[Products],$A32, tblMetaUnits[cv_2027]) + SUMIF(tblAmazonUnits[Products],$A32, tblAmazonUnits[cv_2027]) + SUMIF(tblMicrosoftUnits[Products],$A32, tblMicrosoftUnits[cv_2027]) + SUMIF(tblAppleUnits[Products],$A32, tblAppleUnits[cv_2027]) + SUMIF(tblAlibabaUnits[Products],$A32, tblAlibabaUnits[cv_2027]) + SUMIF(tblHuaweiUnits[Products],$A32, tblHuaweiUnits[cv_2027]) + SUMIF(tblTencentUnits[Products],$A32, tblTencentUnits[cv_2027]) + SUMIF(tblBaiduUnits[Products],$A32, tblBaiduUnits[cv_2027]) + SUMIF(tblByteDanceUnits[Products],$A32, tblByteDanceUnits[cv_2027]) + SUMIF(tblCloudAOUnits[Products],$A32, tblCloudAOUnits[cv_2027]) + SUMIF(tblTelecomUnits[Products],$A32, tblTelecomUnits[cv_2027]) + SUMIF(tblEnterpriseUnits[Products],$A32, tblEnterpriseUnits[cv_2027])</f>
        <v>0</v>
      </c>
      <c r="L32" s="8">
        <f xml:space="preserve"> SUMIF(tblGoogleUnits[Products],$A32, tblGoogleUnits[cv_2028]) + SUMIF(tblMetaUnits[Products],$A32, tblMetaUnits[cv_2028]) + SUMIF(tblAmazonUnits[Products],$A32, tblAmazonUnits[cv_2028]) + SUMIF(tblMicrosoftUnits[Products],$A32, tblMicrosoftUnits[cv_2028]) + SUMIF(tblAppleUnits[Products],$A32, tblAppleUnits[cv_2028]) + SUMIF(tblAlibabaUnits[Products],$A32, tblAlibabaUnits[cv_2028]) + SUMIF(tblHuaweiUnits[Products],$A32, tblHuaweiUnits[cv_2028]) + SUMIF(tblTencentUnits[Products],$A32, tblTencentUnits[cv_2028]) + SUMIF(tblBaiduUnits[Products],$A32, tblBaiduUnits[cv_2028]) + SUMIF(tblByteDanceUnits[Products],$A32, tblByteDanceUnits[cv_2028]) + SUMIF(tblCloudAOUnits[Products],$A32, tblCloudAOUnits[cv_2028]) + SUMIF(tblTelecomUnits[Products],$A32, tblTelecomUnits[cv_2028]) + SUMIF(tblEnterpriseUnits[Products],$A32, tblEnterpriseUnits[cv_2028])</f>
        <v>0</v>
      </c>
      <c r="M32" s="105" cm="1">
        <f t="array" ref="M32">INDEX(tblPrices[cv_2018], MATCH($A32,tblPrices[Products],0), 0)</f>
        <v>12.873119482168063</v>
      </c>
      <c r="N32" s="105" cm="1">
        <f t="array" ref="N32">INDEX(tblPrices[cv_2019], MATCH($A32,tblPrices[Products],0), 0)</f>
        <v>11.901909081173461</v>
      </c>
      <c r="O32" s="105" cm="1">
        <f t="array" ref="O32">INDEX(tblPrices[cv_2020], MATCH($A32,tblPrices[Products],0), 0)</f>
        <v>0</v>
      </c>
      <c r="P32" s="105" cm="1">
        <f t="array" ref="P32">INDEX(tblPrices[cv_2021], MATCH($A32,tblPrices[Products],0), 0)</f>
        <v>0</v>
      </c>
      <c r="Q32" s="105" cm="1">
        <f t="array" ref="Q32">INDEX(tblPrices[cv_2022], MATCH($A32,tblPrices[Products],0), 0)</f>
        <v>0</v>
      </c>
      <c r="R32" s="105" cm="1">
        <f t="array" ref="R32">INDEX(tblPrices[cv_2023], MATCH($A32,tblPrices[Products],0), 0)</f>
        <v>0</v>
      </c>
      <c r="S32" s="105" cm="1">
        <f t="array" ref="S32">INDEX(tblPrices[cv_2024], MATCH($A32,tblPrices[Products],0), 0)</f>
        <v>0</v>
      </c>
      <c r="T32" s="105" cm="1">
        <f t="array" ref="T32">INDEX(tblPrices[cv_2025], MATCH($A32,tblPrices[Products],0), 0)</f>
        <v>0</v>
      </c>
      <c r="U32" s="105" cm="1">
        <f t="array" ref="U32">INDEX(tblPrices[cv_2026], MATCH($A32,tblPrices[Products],0), 0)</f>
        <v>0</v>
      </c>
      <c r="V32" s="105" cm="1">
        <f t="array" ref="V32">INDEX(tblPrices[cv_2027], MATCH($A32,tblPrices[Products],0), 0)</f>
        <v>0</v>
      </c>
      <c r="W32" s="105" cm="1">
        <f t="array" ref="W32">INDEX(tblPrices[cv_2028], MATCH($A32,tblPrices[Products],0), 0)</f>
        <v>0</v>
      </c>
      <c r="X32" s="106" cm="1">
        <f t="array" ref="X32">INDEX(tblPrices[cv_2018], MATCH($A32,tblPrices[Products],0), 0)* tblForecast[[#This Row],[un_2018]]/10^6</f>
        <v>140.71873379531189</v>
      </c>
      <c r="Y32" s="106" cm="1">
        <f t="array" ref="Y32">INDEX(tblPrices[cv_2019], MATCH($A32,tblPrices[Products],0), 0)* tblForecast[[#This Row],[un_2019]]/10^6</f>
        <v>149.36853050000002</v>
      </c>
      <c r="Z32" s="106" cm="1">
        <f t="array" ref="Z32">INDEX(tblPrices[cv_2020], MATCH($A32,tblPrices[Products],0), 0)* tblForecast[[#This Row],[un_2020]]/10^6</f>
        <v>0</v>
      </c>
      <c r="AA32" s="106" cm="1">
        <f t="array" ref="AA32">INDEX(tblPrices[cv_2021], MATCH($A32,tblPrices[Products],0), 0)* tblForecast[[#This Row],[un_2021]]/10^6</f>
        <v>0</v>
      </c>
      <c r="AB32" s="106" cm="1">
        <f t="array" ref="AB32">INDEX(tblPrices[cv_2022], MATCH($A32,tblPrices[Products],0), 0)* tblForecast[[#This Row],[un_2022]]/10^6</f>
        <v>0</v>
      </c>
      <c r="AC32" s="106" cm="1">
        <f t="array" ref="AC32">INDEX(tblPrices[cv_2023], MATCH($A32,tblPrices[Products],0), 0)* tblForecast[[#This Row],[un_2023]]/10^6</f>
        <v>0</v>
      </c>
      <c r="AD32" s="106" cm="1">
        <f t="array" ref="AD32">INDEX(tblPrices[cv_2024], MATCH($A32,tblPrices[Products],0), 0)* tblForecast[[#This Row],[un_2024]]/10^6</f>
        <v>0</v>
      </c>
      <c r="AE32" s="106" cm="1">
        <f t="array" ref="AE32">INDEX(tblPrices[cv_2025], MATCH($A32,tblPrices[Products],0), 0)* tblForecast[[#This Row],[un_2025]]/10^6</f>
        <v>0</v>
      </c>
      <c r="AF32" s="106" cm="1">
        <f t="array" ref="AF32">INDEX(tblPrices[cv_2026], MATCH($A32,tblPrices[Products],0), 0)* tblForecast[[#This Row],[un_2026]]/10^6</f>
        <v>0</v>
      </c>
      <c r="AG32" s="106" cm="1">
        <f t="array" ref="AG32">INDEX(tblPrices[cv_2027], MATCH($A32,tblPrices[Products],0), 0)* tblForecast[[#This Row],[un_2027]]/10^6</f>
        <v>0</v>
      </c>
      <c r="AH32" s="106" cm="1">
        <f t="array" ref="AH32">INDEX(tblPrices[cv_2028], MATCH($A32,tblPrices[Products],0), 0)* tblForecast[[#This Row],[un_2028]]/10^6</f>
        <v>0</v>
      </c>
      <c r="AI32" s="60">
        <f>VLOOKUP(A32,Products!$A$11:$F$110,6,FALSE)</f>
        <v>10</v>
      </c>
    </row>
    <row r="33" spans="1:35">
      <c r="A33" s="12" t="s">
        <v>156</v>
      </c>
      <c r="B33" s="8">
        <f xml:space="preserve"> SUMIF(tblGoogleUnits[Products],$A33, tblGoogleUnits[cv_2018]) + SUMIF(tblMetaUnits[Products],$A33, tblMetaUnits[cv_2018]) + SUMIF(tblAmazonUnits[Products],$A33, tblAmazonUnits[cv_2018]) + SUMIF(tblMicrosoftUnits[Products],$A33, tblMicrosoftUnits[cv_2018]) + SUMIF(tblAppleUnits[Products],$A33, tblAppleUnits[cv_2018]) + SUMIF(tblAlibabaUnits[Products],$A33, tblAlibabaUnits[cv_2018]) + SUMIF(tblHuaweiUnits[Products],$A33, tblHuaweiUnits[cv_2018]) + SUMIF(tblTencentUnits[Products],$A33, tblTencentUnits[cv_2018]) + SUMIF(tblBaiduUnits[Products],$A33, tblBaiduUnits[cv_2018]) + SUMIF(tblByteDanceUnits[Products],$A33, tblByteDanceUnits[cv_2018]) + SUMIF(tblCloudAOUnits[Products],$A33, tblCloudAOUnits[cv_2018]) + SUMIF(tblTelecomUnits[Products],$A33, tblTelecomUnits[cv_2018]) + SUMIF(tblEnterpriseUnits[Products],$A33, tblEnterpriseUnits[cv_2018])</f>
        <v>97170</v>
      </c>
      <c r="C33" s="8">
        <f xml:space="preserve"> SUMIF(tblGoogleUnits[Products],$A33, tblGoogleUnits[cv_2019]) + SUMIF(tblMetaUnits[Products],$A33, tblMetaUnits[cv_2019]) + SUMIF(tblAmazonUnits[Products],$A33, tblAmazonUnits[cv_2019]) + SUMIF(tblMicrosoftUnits[Products],$A33, tblMicrosoftUnits[cv_2019]) + SUMIF(tblAppleUnits[Products],$A33, tblAppleUnits[cv_2019]) + SUMIF(tblAlibabaUnits[Products],$A33, tblAlibabaUnits[cv_2019]) + SUMIF(tblHuaweiUnits[Products],$A33, tblHuaweiUnits[cv_2019]) + SUMIF(tblTencentUnits[Products],$A33, tblTencentUnits[cv_2019]) + SUMIF(tblBaiduUnits[Products],$A33, tblBaiduUnits[cv_2019]) + SUMIF(tblByteDanceUnits[Products],$A33, tblByteDanceUnits[cv_2019]) + SUMIF(tblCloudAOUnits[Products],$A33, tblCloudAOUnits[cv_2019]) + SUMIF(tblTelecomUnits[Products],$A33, tblTelecomUnits[cv_2019]) + SUMIF(tblEnterpriseUnits[Products],$A33, tblEnterpriseUnits[cv_2019])</f>
        <v>51018</v>
      </c>
      <c r="D33" s="8">
        <f xml:space="preserve"> SUMIF(tblGoogleUnits[Products],$A33, tblGoogleUnits[cv_2020]) + SUMIF(tblMetaUnits[Products],$A33, tblMetaUnits[cv_2020]) + SUMIF(tblAmazonUnits[Products],$A33, tblAmazonUnits[cv_2020]) + SUMIF(tblMicrosoftUnits[Products],$A33, tblMicrosoftUnits[cv_2020]) + SUMIF(tblAppleUnits[Products],$A33, tblAppleUnits[cv_2020]) + SUMIF(tblAlibabaUnits[Products],$A33, tblAlibabaUnits[cv_2020]) + SUMIF(tblHuaweiUnits[Products],$A33, tblHuaweiUnits[cv_2020]) + SUMIF(tblTencentUnits[Products],$A33, tblTencentUnits[cv_2020]) + SUMIF(tblBaiduUnits[Products],$A33, tblBaiduUnits[cv_2020]) + SUMIF(tblByteDanceUnits[Products],$A33, tblByteDanceUnits[cv_2020]) + SUMIF(tblCloudAOUnits[Products],$A33, tblCloudAOUnits[cv_2020]) + SUMIF(tblTelecomUnits[Products],$A33, tblTelecomUnits[cv_2020]) + SUMIF(tblEnterpriseUnits[Products],$A33, tblEnterpriseUnits[cv_2020])</f>
        <v>0</v>
      </c>
      <c r="E33" s="8">
        <f xml:space="preserve"> SUMIF(tblGoogleUnits[Products],$A33, tblGoogleUnits[cv_2021]) + SUMIF(tblMetaUnits[Products],$A33, tblMetaUnits[cv_2021]) + SUMIF(tblAmazonUnits[Products],$A33, tblAmazonUnits[cv_2021]) + SUMIF(tblMicrosoftUnits[Products],$A33, tblMicrosoftUnits[cv_2021]) + SUMIF(tblAppleUnits[Products],$A33, tblAppleUnits[cv_2021]) + SUMIF(tblAlibabaUnits[Products],$A33, tblAlibabaUnits[cv_2021]) + SUMIF(tblHuaweiUnits[Products],$A33, tblHuaweiUnits[cv_2021]) + SUMIF(tblTencentUnits[Products],$A33, tblTencentUnits[cv_2021]) + SUMIF(tblBaiduUnits[Products],$A33, tblBaiduUnits[cv_2021]) + SUMIF(tblByteDanceUnits[Products],$A33, tblByteDanceUnits[cv_2021]) + SUMIF(tblCloudAOUnits[Products],$A33, tblCloudAOUnits[cv_2021]) + SUMIF(tblTelecomUnits[Products],$A33, tblTelecomUnits[cv_2021]) + SUMIF(tblEnterpriseUnits[Products],$A33, tblEnterpriseUnits[cv_2021])</f>
        <v>0</v>
      </c>
      <c r="F33" s="8">
        <f xml:space="preserve"> SUMIF(tblGoogleUnits[Products],$A33, tblGoogleUnits[cv_2022]) + SUMIF(tblMetaUnits[Products],$A33, tblMetaUnits[cv_2022]) + SUMIF(tblAmazonUnits[Products],$A33, tblAmazonUnits[cv_2022]) + SUMIF(tblMicrosoftUnits[Products],$A33, tblMicrosoftUnits[cv_2022]) + SUMIF(tblAppleUnits[Products],$A33, tblAppleUnits[cv_2022]) + SUMIF(tblAlibabaUnits[Products],$A33, tblAlibabaUnits[cv_2022]) + SUMIF(tblHuaweiUnits[Products],$A33, tblHuaweiUnits[cv_2022]) + SUMIF(tblTencentUnits[Products],$A33, tblTencentUnits[cv_2022]) + SUMIF(tblBaiduUnits[Products],$A33, tblBaiduUnits[cv_2022]) + SUMIF(tblByteDanceUnits[Products],$A33, tblByteDanceUnits[cv_2022]) + SUMIF(tblCloudAOUnits[Products],$A33, tblCloudAOUnits[cv_2022]) + SUMIF(tblTelecomUnits[Products],$A33, tblTelecomUnits[cv_2022]) + SUMIF(tblEnterpriseUnits[Products],$A33, tblEnterpriseUnits[cv_2022])</f>
        <v>0</v>
      </c>
      <c r="G33" s="8">
        <f xml:space="preserve"> SUMIF(tblGoogleUnits[Products],$A33, tblGoogleUnits[cv_2023]) + SUMIF(tblMetaUnits[Products],$A33, tblMetaUnits[cv_2023]) + SUMIF(tblAmazonUnits[Products],$A33, tblAmazonUnits[cv_2023]) + SUMIF(tblMicrosoftUnits[Products],$A33, tblMicrosoftUnits[cv_2023]) + SUMIF(tblAppleUnits[Products],$A33, tblAppleUnits[cv_2023]) + SUMIF(tblAlibabaUnits[Products],$A33, tblAlibabaUnits[cv_2023]) + SUMIF(tblHuaweiUnits[Products],$A33, tblHuaweiUnits[cv_2023]) + SUMIF(tblTencentUnits[Products],$A33, tblTencentUnits[cv_2023]) + SUMIF(tblBaiduUnits[Products],$A33, tblBaiduUnits[cv_2023]) + SUMIF(tblByteDanceUnits[Products],$A33, tblByteDanceUnits[cv_2023]) + SUMIF(tblCloudAOUnits[Products],$A33, tblCloudAOUnits[cv_2023]) + SUMIF(tblTelecomUnits[Products],$A33, tblTelecomUnits[cv_2023]) + SUMIF(tblEnterpriseUnits[Products],$A33, tblEnterpriseUnits[cv_2023])</f>
        <v>0</v>
      </c>
      <c r="H33" s="8">
        <f xml:space="preserve"> SUMIF(tblGoogleUnits[Products],$A33, tblGoogleUnits[cv_2024]) + SUMIF(tblMetaUnits[Products],$A33, tblMetaUnits[cv_2024]) + SUMIF(tblAmazonUnits[Products],$A33, tblAmazonUnits[cv_2024]) + SUMIF(tblMicrosoftUnits[Products],$A33, tblMicrosoftUnits[cv_2024]) + SUMIF(tblAppleUnits[Products],$A33, tblAppleUnits[cv_2024]) + SUMIF(tblAlibabaUnits[Products],$A33, tblAlibabaUnits[cv_2024]) + SUMIF(tblHuaweiUnits[Products],$A33, tblHuaweiUnits[cv_2024]) + SUMIF(tblTencentUnits[Products],$A33, tblTencentUnits[cv_2024]) + SUMIF(tblBaiduUnits[Products],$A33, tblBaiduUnits[cv_2024]) + SUMIF(tblByteDanceUnits[Products],$A33, tblByteDanceUnits[cv_2024]) + SUMIF(tblCloudAOUnits[Products],$A33, tblCloudAOUnits[cv_2024]) + SUMIF(tblTelecomUnits[Products],$A33, tblTelecomUnits[cv_2024]) + SUMIF(tblEnterpriseUnits[Products],$A33, tblEnterpriseUnits[cv_2024])</f>
        <v>0</v>
      </c>
      <c r="I33" s="8">
        <f xml:space="preserve"> SUMIF(tblGoogleUnits[Products],$A33, tblGoogleUnits[cv_2025]) + SUMIF(tblMetaUnits[Products],$A33, tblMetaUnits[cv_2025]) + SUMIF(tblAmazonUnits[Products],$A33, tblAmazonUnits[cv_2025]) + SUMIF(tblMicrosoftUnits[Products],$A33, tblMicrosoftUnits[cv_2025]) + SUMIF(tblAppleUnits[Products],$A33, tblAppleUnits[cv_2025]) + SUMIF(tblAlibabaUnits[Products],$A33, tblAlibabaUnits[cv_2025]) + SUMIF(tblHuaweiUnits[Products],$A33, tblHuaweiUnits[cv_2025]) + SUMIF(tblTencentUnits[Products],$A33, tblTencentUnits[cv_2025]) + SUMIF(tblBaiduUnits[Products],$A33, tblBaiduUnits[cv_2025]) + SUMIF(tblByteDanceUnits[Products],$A33, tblByteDanceUnits[cv_2025]) + SUMIF(tblCloudAOUnits[Products],$A33, tblCloudAOUnits[cv_2025]) + SUMIF(tblTelecomUnits[Products],$A33, tblTelecomUnits[cv_2025]) + SUMIF(tblEnterpriseUnits[Products],$A33, tblEnterpriseUnits[cv_2025])</f>
        <v>0</v>
      </c>
      <c r="J33" s="8">
        <f xml:space="preserve"> SUMIF(tblGoogleUnits[Products],$A33, tblGoogleUnits[cv_2026]) + SUMIF(tblMetaUnits[Products],$A33, tblMetaUnits[cv_2026]) + SUMIF(tblAmazonUnits[Products],$A33, tblAmazonUnits[cv_2026]) + SUMIF(tblMicrosoftUnits[Products],$A33, tblMicrosoftUnits[cv_2026]) + SUMIF(tblAppleUnits[Products],$A33, tblAppleUnits[cv_2026]) + SUMIF(tblAlibabaUnits[Products],$A33, tblAlibabaUnits[cv_2026]) + SUMIF(tblHuaweiUnits[Products],$A33, tblHuaweiUnits[cv_2026]) + SUMIF(tblTencentUnits[Products],$A33, tblTencentUnits[cv_2026]) + SUMIF(tblBaiduUnits[Products],$A33, tblBaiduUnits[cv_2026]) + SUMIF(tblByteDanceUnits[Products],$A33, tblByteDanceUnits[cv_2026]) + SUMIF(tblCloudAOUnits[Products],$A33, tblCloudAOUnits[cv_2026]) + SUMIF(tblTelecomUnits[Products],$A33, tblTelecomUnits[cv_2026]) + SUMIF(tblEnterpriseUnits[Products],$A33, tblEnterpriseUnits[cv_2026])</f>
        <v>0</v>
      </c>
      <c r="K33" s="8">
        <f xml:space="preserve"> SUMIF(tblGoogleUnits[Products],$A33, tblGoogleUnits[cv_2027]) + SUMIF(tblMetaUnits[Products],$A33, tblMetaUnits[cv_2027]) + SUMIF(tblAmazonUnits[Products],$A33, tblAmazonUnits[cv_2027]) + SUMIF(tblMicrosoftUnits[Products],$A33, tblMicrosoftUnits[cv_2027]) + SUMIF(tblAppleUnits[Products],$A33, tblAppleUnits[cv_2027]) + SUMIF(tblAlibabaUnits[Products],$A33, tblAlibabaUnits[cv_2027]) + SUMIF(tblHuaweiUnits[Products],$A33, tblHuaweiUnits[cv_2027]) + SUMIF(tblTencentUnits[Products],$A33, tblTencentUnits[cv_2027]) + SUMIF(tblBaiduUnits[Products],$A33, tblBaiduUnits[cv_2027]) + SUMIF(tblByteDanceUnits[Products],$A33, tblByteDanceUnits[cv_2027]) + SUMIF(tblCloudAOUnits[Products],$A33, tblCloudAOUnits[cv_2027]) + SUMIF(tblTelecomUnits[Products],$A33, tblTelecomUnits[cv_2027]) + SUMIF(tblEnterpriseUnits[Products],$A33, tblEnterpriseUnits[cv_2027])</f>
        <v>0</v>
      </c>
      <c r="L33" s="8">
        <f xml:space="preserve"> SUMIF(tblGoogleUnits[Products],$A33, tblGoogleUnits[cv_2028]) + SUMIF(tblMetaUnits[Products],$A33, tblMetaUnits[cv_2028]) + SUMIF(tblAmazonUnits[Products],$A33, tblAmazonUnits[cv_2028]) + SUMIF(tblMicrosoftUnits[Products],$A33, tblMicrosoftUnits[cv_2028]) + SUMIF(tblAppleUnits[Products],$A33, tblAppleUnits[cv_2028]) + SUMIF(tblAlibabaUnits[Products],$A33, tblAlibabaUnits[cv_2028]) + SUMIF(tblHuaweiUnits[Products],$A33, tblHuaweiUnits[cv_2028]) + SUMIF(tblTencentUnits[Products],$A33, tblTencentUnits[cv_2028]) + SUMIF(tblBaiduUnits[Products],$A33, tblBaiduUnits[cv_2028]) + SUMIF(tblByteDanceUnits[Products],$A33, tblByteDanceUnits[cv_2028]) + SUMIF(tblCloudAOUnits[Products],$A33, tblCloudAOUnits[cv_2028]) + SUMIF(tblTelecomUnits[Products],$A33, tblTelecomUnits[cv_2028]) + SUMIF(tblEnterpriseUnits[Products],$A33, tblEnterpriseUnits[cv_2028])</f>
        <v>0</v>
      </c>
      <c r="M33" s="105" cm="1">
        <f t="array" ref="M33">INDEX(tblPrices[cv_2018], MATCH($A33,tblPrices[Products],0), 0)</f>
        <v>62.552567664917163</v>
      </c>
      <c r="N33" s="105" cm="1">
        <f t="array" ref="N33">INDEX(tblPrices[cv_2019], MATCH($A33,tblPrices[Products],0), 0)</f>
        <v>59.611529264181257</v>
      </c>
      <c r="O33" s="105" cm="1">
        <f t="array" ref="O33">INDEX(tblPrices[cv_2020], MATCH($A33,tblPrices[Products],0), 0)</f>
        <v>0</v>
      </c>
      <c r="P33" s="105" cm="1">
        <f t="array" ref="P33">INDEX(tblPrices[cv_2021], MATCH($A33,tblPrices[Products],0), 0)</f>
        <v>0</v>
      </c>
      <c r="Q33" s="105" cm="1">
        <f t="array" ref="Q33">INDEX(tblPrices[cv_2022], MATCH($A33,tblPrices[Products],0), 0)</f>
        <v>0</v>
      </c>
      <c r="R33" s="105" cm="1">
        <f t="array" ref="R33">INDEX(tblPrices[cv_2023], MATCH($A33,tblPrices[Products],0), 0)</f>
        <v>0</v>
      </c>
      <c r="S33" s="105" cm="1">
        <f t="array" ref="S33">INDEX(tblPrices[cv_2024], MATCH($A33,tblPrices[Products],0), 0)</f>
        <v>0</v>
      </c>
      <c r="T33" s="105" cm="1">
        <f t="array" ref="T33">INDEX(tblPrices[cv_2025], MATCH($A33,tblPrices[Products],0), 0)</f>
        <v>0</v>
      </c>
      <c r="U33" s="105" cm="1">
        <f t="array" ref="U33">INDEX(tblPrices[cv_2026], MATCH($A33,tblPrices[Products],0), 0)</f>
        <v>0</v>
      </c>
      <c r="V33" s="105" cm="1">
        <f t="array" ref="V33">INDEX(tblPrices[cv_2027], MATCH($A33,tblPrices[Products],0), 0)</f>
        <v>0</v>
      </c>
      <c r="W33" s="105" cm="1">
        <f t="array" ref="W33">INDEX(tblPrices[cv_2028], MATCH($A33,tblPrices[Products],0), 0)</f>
        <v>0</v>
      </c>
      <c r="X33" s="106" cm="1">
        <f t="array" ref="X33">INDEX(tblPrices[cv_2018], MATCH($A33,tblPrices[Products],0), 0)* tblForecast[[#This Row],[un_2018]]/10^6</f>
        <v>6.0782330000000009</v>
      </c>
      <c r="Y33" s="106" cm="1">
        <f t="array" ref="Y33">INDEX(tblPrices[cv_2019], MATCH($A33,tblPrices[Products],0), 0)* tblForecast[[#This Row],[un_2019]]/10^6</f>
        <v>3.0412609999999995</v>
      </c>
      <c r="Z33" s="106" cm="1">
        <f t="array" ref="Z33">INDEX(tblPrices[cv_2020], MATCH($A33,tblPrices[Products],0), 0)* tblForecast[[#This Row],[un_2020]]/10^6</f>
        <v>0</v>
      </c>
      <c r="AA33" s="106" cm="1">
        <f t="array" ref="AA33">INDEX(tblPrices[cv_2021], MATCH($A33,tblPrices[Products],0), 0)* tblForecast[[#This Row],[un_2021]]/10^6</f>
        <v>0</v>
      </c>
      <c r="AB33" s="106" cm="1">
        <f t="array" ref="AB33">INDEX(tblPrices[cv_2022], MATCH($A33,tblPrices[Products],0), 0)* tblForecast[[#This Row],[un_2022]]/10^6</f>
        <v>0</v>
      </c>
      <c r="AC33" s="106" cm="1">
        <f t="array" ref="AC33">INDEX(tblPrices[cv_2023], MATCH($A33,tblPrices[Products],0), 0)* tblForecast[[#This Row],[un_2023]]/10^6</f>
        <v>0</v>
      </c>
      <c r="AD33" s="106" cm="1">
        <f t="array" ref="AD33">INDEX(tblPrices[cv_2024], MATCH($A33,tblPrices[Products],0), 0)* tblForecast[[#This Row],[un_2024]]/10^6</f>
        <v>0</v>
      </c>
      <c r="AE33" s="106" cm="1">
        <f t="array" ref="AE33">INDEX(tblPrices[cv_2025], MATCH($A33,tblPrices[Products],0), 0)* tblForecast[[#This Row],[un_2025]]/10^6</f>
        <v>0</v>
      </c>
      <c r="AF33" s="106" cm="1">
        <f t="array" ref="AF33">INDEX(tblPrices[cv_2026], MATCH($A33,tblPrices[Products],0), 0)* tblForecast[[#This Row],[un_2026]]/10^6</f>
        <v>0</v>
      </c>
      <c r="AG33" s="106" cm="1">
        <f t="array" ref="AG33">INDEX(tblPrices[cv_2027], MATCH($A33,tblPrices[Products],0), 0)* tblForecast[[#This Row],[un_2027]]/10^6</f>
        <v>0</v>
      </c>
      <c r="AH33" s="106" cm="1">
        <f t="array" ref="AH33">INDEX(tblPrices[cv_2028], MATCH($A33,tblPrices[Products],0), 0)* tblForecast[[#This Row],[un_2028]]/10^6</f>
        <v>0</v>
      </c>
      <c r="AI33" s="60">
        <f>VLOOKUP(A33,Products!$A$11:$F$110,6,FALSE)</f>
        <v>10</v>
      </c>
    </row>
    <row r="34" spans="1:35">
      <c r="A34" s="12" t="s">
        <v>157</v>
      </c>
      <c r="B34" s="8">
        <f xml:space="preserve"> SUMIF(tblGoogleUnits[Products],$A34, tblGoogleUnits[cv_2018]) + SUMIF(tblMetaUnits[Products],$A34, tblMetaUnits[cv_2018]) + SUMIF(tblAmazonUnits[Products],$A34, tblAmazonUnits[cv_2018]) + SUMIF(tblMicrosoftUnits[Products],$A34, tblMicrosoftUnits[cv_2018]) + SUMIF(tblAppleUnits[Products],$A34, tblAppleUnits[cv_2018]) + SUMIF(tblAlibabaUnits[Products],$A34, tblAlibabaUnits[cv_2018]) + SUMIF(tblHuaweiUnits[Products],$A34, tblHuaweiUnits[cv_2018]) + SUMIF(tblTencentUnits[Products],$A34, tblTencentUnits[cv_2018]) + SUMIF(tblBaiduUnits[Products],$A34, tblBaiduUnits[cv_2018]) + SUMIF(tblByteDanceUnits[Products],$A34, tblByteDanceUnits[cv_2018]) + SUMIF(tblCloudAOUnits[Products],$A34, tblCloudAOUnits[cv_2018]) + SUMIF(tblTelecomUnits[Products],$A34, tblTelecomUnits[cv_2018]) + SUMIF(tblEnterpriseUnits[Products],$A34, tblEnterpriseUnits[cv_2018])</f>
        <v>198404</v>
      </c>
      <c r="C34" s="8">
        <f xml:space="preserve"> SUMIF(tblGoogleUnits[Products],$A34, tblGoogleUnits[cv_2019]) + SUMIF(tblMetaUnits[Products],$A34, tblMetaUnits[cv_2019]) + SUMIF(tblAmazonUnits[Products],$A34, tblAmazonUnits[cv_2019]) + SUMIF(tblMicrosoftUnits[Products],$A34, tblMicrosoftUnits[cv_2019]) + SUMIF(tblAppleUnits[Products],$A34, tblAppleUnits[cv_2019]) + SUMIF(tblAlibabaUnits[Products],$A34, tblAlibabaUnits[cv_2019]) + SUMIF(tblHuaweiUnits[Products],$A34, tblHuaweiUnits[cv_2019]) + SUMIF(tblTencentUnits[Products],$A34, tblTencentUnits[cv_2019]) + SUMIF(tblBaiduUnits[Products],$A34, tblBaiduUnits[cv_2019]) + SUMIF(tblByteDanceUnits[Products],$A34, tblByteDanceUnits[cv_2019]) + SUMIF(tblCloudAOUnits[Products],$A34, tblCloudAOUnits[cv_2019]) + SUMIF(tblTelecomUnits[Products],$A34, tblTelecomUnits[cv_2019]) + SUMIF(tblEnterpriseUnits[Products],$A34, tblEnterpriseUnits[cv_2019])</f>
        <v>190735</v>
      </c>
      <c r="D34" s="8">
        <f xml:space="preserve"> SUMIF(tblGoogleUnits[Products],$A34, tblGoogleUnits[cv_2020]) + SUMIF(tblMetaUnits[Products],$A34, tblMetaUnits[cv_2020]) + SUMIF(tblAmazonUnits[Products],$A34, tblAmazonUnits[cv_2020]) + SUMIF(tblMicrosoftUnits[Products],$A34, tblMicrosoftUnits[cv_2020]) + SUMIF(tblAppleUnits[Products],$A34, tblAppleUnits[cv_2020]) + SUMIF(tblAlibabaUnits[Products],$A34, tblAlibabaUnits[cv_2020]) + SUMIF(tblHuaweiUnits[Products],$A34, tblHuaweiUnits[cv_2020]) + SUMIF(tblTencentUnits[Products],$A34, tblTencentUnits[cv_2020]) + SUMIF(tblBaiduUnits[Products],$A34, tblBaiduUnits[cv_2020]) + SUMIF(tblByteDanceUnits[Products],$A34, tblByteDanceUnits[cv_2020]) + SUMIF(tblCloudAOUnits[Products],$A34, tblCloudAOUnits[cv_2020]) + SUMIF(tblTelecomUnits[Products],$A34, tblTelecomUnits[cv_2020]) + SUMIF(tblEnterpriseUnits[Products],$A34, tblEnterpriseUnits[cv_2020])</f>
        <v>0</v>
      </c>
      <c r="E34" s="8">
        <f xml:space="preserve"> SUMIF(tblGoogleUnits[Products],$A34, tblGoogleUnits[cv_2021]) + SUMIF(tblMetaUnits[Products],$A34, tblMetaUnits[cv_2021]) + SUMIF(tblAmazonUnits[Products],$A34, tblAmazonUnits[cv_2021]) + SUMIF(tblMicrosoftUnits[Products],$A34, tblMicrosoftUnits[cv_2021]) + SUMIF(tblAppleUnits[Products],$A34, tblAppleUnits[cv_2021]) + SUMIF(tblAlibabaUnits[Products],$A34, tblAlibabaUnits[cv_2021]) + SUMIF(tblHuaweiUnits[Products],$A34, tblHuaweiUnits[cv_2021]) + SUMIF(tblTencentUnits[Products],$A34, tblTencentUnits[cv_2021]) + SUMIF(tblBaiduUnits[Products],$A34, tblBaiduUnits[cv_2021]) + SUMIF(tblByteDanceUnits[Products],$A34, tblByteDanceUnits[cv_2021]) + SUMIF(tblCloudAOUnits[Products],$A34, tblCloudAOUnits[cv_2021]) + SUMIF(tblTelecomUnits[Products],$A34, tblTelecomUnits[cv_2021]) + SUMIF(tblEnterpriseUnits[Products],$A34, tblEnterpriseUnits[cv_2021])</f>
        <v>0</v>
      </c>
      <c r="F34" s="8">
        <f xml:space="preserve"> SUMIF(tblGoogleUnits[Products],$A34, tblGoogleUnits[cv_2022]) + SUMIF(tblMetaUnits[Products],$A34, tblMetaUnits[cv_2022]) + SUMIF(tblAmazonUnits[Products],$A34, tblAmazonUnits[cv_2022]) + SUMIF(tblMicrosoftUnits[Products],$A34, tblMicrosoftUnits[cv_2022]) + SUMIF(tblAppleUnits[Products],$A34, tblAppleUnits[cv_2022]) + SUMIF(tblAlibabaUnits[Products],$A34, tblAlibabaUnits[cv_2022]) + SUMIF(tblHuaweiUnits[Products],$A34, tblHuaweiUnits[cv_2022]) + SUMIF(tblTencentUnits[Products],$A34, tblTencentUnits[cv_2022]) + SUMIF(tblBaiduUnits[Products],$A34, tblBaiduUnits[cv_2022]) + SUMIF(tblByteDanceUnits[Products],$A34, tblByteDanceUnits[cv_2022]) + SUMIF(tblCloudAOUnits[Products],$A34, tblCloudAOUnits[cv_2022]) + SUMIF(tblTelecomUnits[Products],$A34, tblTelecomUnits[cv_2022]) + SUMIF(tblEnterpriseUnits[Products],$A34, tblEnterpriseUnits[cv_2022])</f>
        <v>0</v>
      </c>
      <c r="G34" s="8">
        <f xml:space="preserve"> SUMIF(tblGoogleUnits[Products],$A34, tblGoogleUnits[cv_2023]) + SUMIF(tblMetaUnits[Products],$A34, tblMetaUnits[cv_2023]) + SUMIF(tblAmazonUnits[Products],$A34, tblAmazonUnits[cv_2023]) + SUMIF(tblMicrosoftUnits[Products],$A34, tblMicrosoftUnits[cv_2023]) + SUMIF(tblAppleUnits[Products],$A34, tblAppleUnits[cv_2023]) + SUMIF(tblAlibabaUnits[Products],$A34, tblAlibabaUnits[cv_2023]) + SUMIF(tblHuaweiUnits[Products],$A34, tblHuaweiUnits[cv_2023]) + SUMIF(tblTencentUnits[Products],$A34, tblTencentUnits[cv_2023]) + SUMIF(tblBaiduUnits[Products],$A34, tblBaiduUnits[cv_2023]) + SUMIF(tblByteDanceUnits[Products],$A34, tblByteDanceUnits[cv_2023]) + SUMIF(tblCloudAOUnits[Products],$A34, tblCloudAOUnits[cv_2023]) + SUMIF(tblTelecomUnits[Products],$A34, tblTelecomUnits[cv_2023]) + SUMIF(tblEnterpriseUnits[Products],$A34, tblEnterpriseUnits[cv_2023])</f>
        <v>0</v>
      </c>
      <c r="H34" s="8">
        <f xml:space="preserve"> SUMIF(tblGoogleUnits[Products],$A34, tblGoogleUnits[cv_2024]) + SUMIF(tblMetaUnits[Products],$A34, tblMetaUnits[cv_2024]) + SUMIF(tblAmazonUnits[Products],$A34, tblAmazonUnits[cv_2024]) + SUMIF(tblMicrosoftUnits[Products],$A34, tblMicrosoftUnits[cv_2024]) + SUMIF(tblAppleUnits[Products],$A34, tblAppleUnits[cv_2024]) + SUMIF(tblAlibabaUnits[Products],$A34, tblAlibabaUnits[cv_2024]) + SUMIF(tblHuaweiUnits[Products],$A34, tblHuaweiUnits[cv_2024]) + SUMIF(tblTencentUnits[Products],$A34, tblTencentUnits[cv_2024]) + SUMIF(tblBaiduUnits[Products],$A34, tblBaiduUnits[cv_2024]) + SUMIF(tblByteDanceUnits[Products],$A34, tblByteDanceUnits[cv_2024]) + SUMIF(tblCloudAOUnits[Products],$A34, tblCloudAOUnits[cv_2024]) + SUMIF(tblTelecomUnits[Products],$A34, tblTelecomUnits[cv_2024]) + SUMIF(tblEnterpriseUnits[Products],$A34, tblEnterpriseUnits[cv_2024])</f>
        <v>0</v>
      </c>
      <c r="I34" s="8">
        <f xml:space="preserve"> SUMIF(tblGoogleUnits[Products],$A34, tblGoogleUnits[cv_2025]) + SUMIF(tblMetaUnits[Products],$A34, tblMetaUnits[cv_2025]) + SUMIF(tblAmazonUnits[Products],$A34, tblAmazonUnits[cv_2025]) + SUMIF(tblMicrosoftUnits[Products],$A34, tblMicrosoftUnits[cv_2025]) + SUMIF(tblAppleUnits[Products],$A34, tblAppleUnits[cv_2025]) + SUMIF(tblAlibabaUnits[Products],$A34, tblAlibabaUnits[cv_2025]) + SUMIF(tblHuaweiUnits[Products],$A34, tblHuaweiUnits[cv_2025]) + SUMIF(tblTencentUnits[Products],$A34, tblTencentUnits[cv_2025]) + SUMIF(tblBaiduUnits[Products],$A34, tblBaiduUnits[cv_2025]) + SUMIF(tblByteDanceUnits[Products],$A34, tblByteDanceUnits[cv_2025]) + SUMIF(tblCloudAOUnits[Products],$A34, tblCloudAOUnits[cv_2025]) + SUMIF(tblTelecomUnits[Products],$A34, tblTelecomUnits[cv_2025]) + SUMIF(tblEnterpriseUnits[Products],$A34, tblEnterpriseUnits[cv_2025])</f>
        <v>0</v>
      </c>
      <c r="J34" s="8">
        <f xml:space="preserve"> SUMIF(tblGoogleUnits[Products],$A34, tblGoogleUnits[cv_2026]) + SUMIF(tblMetaUnits[Products],$A34, tblMetaUnits[cv_2026]) + SUMIF(tblAmazonUnits[Products],$A34, tblAmazonUnits[cv_2026]) + SUMIF(tblMicrosoftUnits[Products],$A34, tblMicrosoftUnits[cv_2026]) + SUMIF(tblAppleUnits[Products],$A34, tblAppleUnits[cv_2026]) + SUMIF(tblAlibabaUnits[Products],$A34, tblAlibabaUnits[cv_2026]) + SUMIF(tblHuaweiUnits[Products],$A34, tblHuaweiUnits[cv_2026]) + SUMIF(tblTencentUnits[Products],$A34, tblTencentUnits[cv_2026]) + SUMIF(tblBaiduUnits[Products],$A34, tblBaiduUnits[cv_2026]) + SUMIF(tblByteDanceUnits[Products],$A34, tblByteDanceUnits[cv_2026]) + SUMIF(tblCloudAOUnits[Products],$A34, tblCloudAOUnits[cv_2026]) + SUMIF(tblTelecomUnits[Products],$A34, tblTelecomUnits[cv_2026]) + SUMIF(tblEnterpriseUnits[Products],$A34, tblEnterpriseUnits[cv_2026])</f>
        <v>0</v>
      </c>
      <c r="K34" s="8">
        <f xml:space="preserve"> SUMIF(tblGoogleUnits[Products],$A34, tblGoogleUnits[cv_2027]) + SUMIF(tblMetaUnits[Products],$A34, tblMetaUnits[cv_2027]) + SUMIF(tblAmazonUnits[Products],$A34, tblAmazonUnits[cv_2027]) + SUMIF(tblMicrosoftUnits[Products],$A34, tblMicrosoftUnits[cv_2027]) + SUMIF(tblAppleUnits[Products],$A34, tblAppleUnits[cv_2027]) + SUMIF(tblAlibabaUnits[Products],$A34, tblAlibabaUnits[cv_2027]) + SUMIF(tblHuaweiUnits[Products],$A34, tblHuaweiUnits[cv_2027]) + SUMIF(tblTencentUnits[Products],$A34, tblTencentUnits[cv_2027]) + SUMIF(tblBaiduUnits[Products],$A34, tblBaiduUnits[cv_2027]) + SUMIF(tblByteDanceUnits[Products],$A34, tblByteDanceUnits[cv_2027]) + SUMIF(tblCloudAOUnits[Products],$A34, tblCloudAOUnits[cv_2027]) + SUMIF(tblTelecomUnits[Products],$A34, tblTelecomUnits[cv_2027]) + SUMIF(tblEnterpriseUnits[Products],$A34, tblEnterpriseUnits[cv_2027])</f>
        <v>0</v>
      </c>
      <c r="L34" s="8">
        <f xml:space="preserve"> SUMIF(tblGoogleUnits[Products],$A34, tblGoogleUnits[cv_2028]) + SUMIF(tblMetaUnits[Products],$A34, tblMetaUnits[cv_2028]) + SUMIF(tblAmazonUnits[Products],$A34, tblAmazonUnits[cv_2028]) + SUMIF(tblMicrosoftUnits[Products],$A34, tblMicrosoftUnits[cv_2028]) + SUMIF(tblAppleUnits[Products],$A34, tblAppleUnits[cv_2028]) + SUMIF(tblAlibabaUnits[Products],$A34, tblAlibabaUnits[cv_2028]) + SUMIF(tblHuaweiUnits[Products],$A34, tblHuaweiUnits[cv_2028]) + SUMIF(tblTencentUnits[Products],$A34, tblTencentUnits[cv_2028]) + SUMIF(tblBaiduUnits[Products],$A34, tblBaiduUnits[cv_2028]) + SUMIF(tblByteDanceUnits[Products],$A34, tblByteDanceUnits[cv_2028]) + SUMIF(tblCloudAOUnits[Products],$A34, tblCloudAOUnits[cv_2028]) + SUMIF(tblTelecomUnits[Products],$A34, tblTelecomUnits[cv_2028]) + SUMIF(tblEnterpriseUnits[Products],$A34, tblEnterpriseUnits[cv_2028])</f>
        <v>0</v>
      </c>
      <c r="M34" s="105" cm="1">
        <f t="array" ref="M34">INDEX(tblPrices[cv_2018], MATCH($A34,tblPrices[Products],0), 0)</f>
        <v>44.013044587017021</v>
      </c>
      <c r="N34" s="105" cm="1">
        <f t="array" ref="N34">INDEX(tblPrices[cv_2019], MATCH($A34,tblPrices[Products],0), 0)</f>
        <v>41</v>
      </c>
      <c r="O34" s="105" cm="1">
        <f t="array" ref="O34">INDEX(tblPrices[cv_2020], MATCH($A34,tblPrices[Products],0), 0)</f>
        <v>0</v>
      </c>
      <c r="P34" s="105" cm="1">
        <f t="array" ref="P34">INDEX(tblPrices[cv_2021], MATCH($A34,tblPrices[Products],0), 0)</f>
        <v>0</v>
      </c>
      <c r="Q34" s="105" cm="1">
        <f t="array" ref="Q34">INDEX(tblPrices[cv_2022], MATCH($A34,tblPrices[Products],0), 0)</f>
        <v>0</v>
      </c>
      <c r="R34" s="105" cm="1">
        <f t="array" ref="R34">INDEX(tblPrices[cv_2023], MATCH($A34,tblPrices[Products],0), 0)</f>
        <v>0</v>
      </c>
      <c r="S34" s="105" cm="1">
        <f t="array" ref="S34">INDEX(tblPrices[cv_2024], MATCH($A34,tblPrices[Products],0), 0)</f>
        <v>0</v>
      </c>
      <c r="T34" s="105" cm="1">
        <f t="array" ref="T34">INDEX(tblPrices[cv_2025], MATCH($A34,tblPrices[Products],0), 0)</f>
        <v>0</v>
      </c>
      <c r="U34" s="105" cm="1">
        <f t="array" ref="U34">INDEX(tblPrices[cv_2026], MATCH($A34,tblPrices[Products],0), 0)</f>
        <v>0</v>
      </c>
      <c r="V34" s="105" cm="1">
        <f t="array" ref="V34">INDEX(tblPrices[cv_2027], MATCH($A34,tblPrices[Products],0), 0)</f>
        <v>0</v>
      </c>
      <c r="W34" s="105" cm="1">
        <f t="array" ref="W34">INDEX(tblPrices[cv_2028], MATCH($A34,tblPrices[Products],0), 0)</f>
        <v>0</v>
      </c>
      <c r="X34" s="106" cm="1">
        <f t="array" ref="X34">INDEX(tblPrices[cv_2018], MATCH($A34,tblPrices[Products],0), 0)* tblForecast[[#This Row],[un_2018]]/10^6</f>
        <v>8.7323640982425257</v>
      </c>
      <c r="Y34" s="106" cm="1">
        <f t="array" ref="Y34">INDEX(tblPrices[cv_2019], MATCH($A34,tblPrices[Products],0), 0)* tblForecast[[#This Row],[un_2019]]/10^6</f>
        <v>7.8201349999999996</v>
      </c>
      <c r="Z34" s="106" cm="1">
        <f t="array" ref="Z34">INDEX(tblPrices[cv_2020], MATCH($A34,tblPrices[Products],0), 0)* tblForecast[[#This Row],[un_2020]]/10^6</f>
        <v>0</v>
      </c>
      <c r="AA34" s="106" cm="1">
        <f t="array" ref="AA34">INDEX(tblPrices[cv_2021], MATCH($A34,tblPrices[Products],0), 0)* tblForecast[[#This Row],[un_2021]]/10^6</f>
        <v>0</v>
      </c>
      <c r="AB34" s="106" cm="1">
        <f t="array" ref="AB34">INDEX(tblPrices[cv_2022], MATCH($A34,tblPrices[Products],0), 0)* tblForecast[[#This Row],[un_2022]]/10^6</f>
        <v>0</v>
      </c>
      <c r="AC34" s="106" cm="1">
        <f t="array" ref="AC34">INDEX(tblPrices[cv_2023], MATCH($A34,tblPrices[Products],0), 0)* tblForecast[[#This Row],[un_2023]]/10^6</f>
        <v>0</v>
      </c>
      <c r="AD34" s="106" cm="1">
        <f t="array" ref="AD34">INDEX(tblPrices[cv_2024], MATCH($A34,tblPrices[Products],0), 0)* tblForecast[[#This Row],[un_2024]]/10^6</f>
        <v>0</v>
      </c>
      <c r="AE34" s="106" cm="1">
        <f t="array" ref="AE34">INDEX(tblPrices[cv_2025], MATCH($A34,tblPrices[Products],0), 0)* tblForecast[[#This Row],[un_2025]]/10^6</f>
        <v>0</v>
      </c>
      <c r="AF34" s="106" cm="1">
        <f t="array" ref="AF34">INDEX(tblPrices[cv_2026], MATCH($A34,tblPrices[Products],0), 0)* tblForecast[[#This Row],[un_2026]]/10^6</f>
        <v>0</v>
      </c>
      <c r="AG34" s="106" cm="1">
        <f t="array" ref="AG34">INDEX(tblPrices[cv_2027], MATCH($A34,tblPrices[Products],0), 0)* tblForecast[[#This Row],[un_2027]]/10^6</f>
        <v>0</v>
      </c>
      <c r="AH34" s="106" cm="1">
        <f t="array" ref="AH34">INDEX(tblPrices[cv_2028], MATCH($A34,tblPrices[Products],0), 0)* tblForecast[[#This Row],[un_2028]]/10^6</f>
        <v>0</v>
      </c>
      <c r="AI34" s="60">
        <f>VLOOKUP(A34,Products!$A$11:$F$110,6,FALSE)</f>
        <v>10</v>
      </c>
    </row>
    <row r="35" spans="1:35">
      <c r="A35" s="12" t="s">
        <v>158</v>
      </c>
      <c r="B35" s="8">
        <f xml:space="preserve"> SUMIF(tblGoogleUnits[Products],$A35, tblGoogleUnits[cv_2018]) + SUMIF(tblMetaUnits[Products],$A35, tblMetaUnits[cv_2018]) + SUMIF(tblAmazonUnits[Products],$A35, tblAmazonUnits[cv_2018]) + SUMIF(tblMicrosoftUnits[Products],$A35, tblMicrosoftUnits[cv_2018]) + SUMIF(tblAppleUnits[Products],$A35, tblAppleUnits[cv_2018]) + SUMIF(tblAlibabaUnits[Products],$A35, tblAlibabaUnits[cv_2018]) + SUMIF(tblHuaweiUnits[Products],$A35, tblHuaweiUnits[cv_2018]) + SUMIF(tblTencentUnits[Products],$A35, tblTencentUnits[cv_2018]) + SUMIF(tblBaiduUnits[Products],$A35, tblBaiduUnits[cv_2018]) + SUMIF(tblByteDanceUnits[Products],$A35, tblByteDanceUnits[cv_2018]) + SUMIF(tblCloudAOUnits[Products],$A35, tblCloudAOUnits[cv_2018]) + SUMIF(tblTelecomUnits[Products],$A35, tblTelecomUnits[cv_2018]) + SUMIF(tblEnterpriseUnits[Products],$A35, tblEnterpriseUnits[cv_2018])</f>
        <v>6888855</v>
      </c>
      <c r="C35" s="8">
        <f xml:space="preserve"> SUMIF(tblGoogleUnits[Products],$A35, tblGoogleUnits[cv_2019]) + SUMIF(tblMetaUnits[Products],$A35, tblMetaUnits[cv_2019]) + SUMIF(tblAmazonUnits[Products],$A35, tblAmazonUnits[cv_2019]) + SUMIF(tblMicrosoftUnits[Products],$A35, tblMicrosoftUnits[cv_2019]) + SUMIF(tblAppleUnits[Products],$A35, tblAppleUnits[cv_2019]) + SUMIF(tblAlibabaUnits[Products],$A35, tblAlibabaUnits[cv_2019]) + SUMIF(tblHuaweiUnits[Products],$A35, tblHuaweiUnits[cv_2019]) + SUMIF(tblTencentUnits[Products],$A35, tblTencentUnits[cv_2019]) + SUMIF(tblBaiduUnits[Products],$A35, tblBaiduUnits[cv_2019]) + SUMIF(tblByteDanceUnits[Products],$A35, tblByteDanceUnits[cv_2019]) + SUMIF(tblCloudAOUnits[Products],$A35, tblCloudAOUnits[cv_2019]) + SUMIF(tblTelecomUnits[Products],$A35, tblTelecomUnits[cv_2019]) + SUMIF(tblEnterpriseUnits[Products],$A35, tblEnterpriseUnits[cv_2019])</f>
        <v>5290672</v>
      </c>
      <c r="D35" s="8">
        <f xml:space="preserve"> SUMIF(tblGoogleUnits[Products],$A35, tblGoogleUnits[cv_2020]) + SUMIF(tblMetaUnits[Products],$A35, tblMetaUnits[cv_2020]) + SUMIF(tblAmazonUnits[Products],$A35, tblAmazonUnits[cv_2020]) + SUMIF(tblMicrosoftUnits[Products],$A35, tblMicrosoftUnits[cv_2020]) + SUMIF(tblAppleUnits[Products],$A35, tblAppleUnits[cv_2020]) + SUMIF(tblAlibabaUnits[Products],$A35, tblAlibabaUnits[cv_2020]) + SUMIF(tblHuaweiUnits[Products],$A35, tblHuaweiUnits[cv_2020]) + SUMIF(tblTencentUnits[Products],$A35, tblTencentUnits[cv_2020]) + SUMIF(tblBaiduUnits[Products],$A35, tblBaiduUnits[cv_2020]) + SUMIF(tblByteDanceUnits[Products],$A35, tblByteDanceUnits[cv_2020]) + SUMIF(tblCloudAOUnits[Products],$A35, tblCloudAOUnits[cv_2020]) + SUMIF(tblTelecomUnits[Products],$A35, tblTelecomUnits[cv_2020]) + SUMIF(tblEnterpriseUnits[Products],$A35, tblEnterpriseUnits[cv_2020])</f>
        <v>0</v>
      </c>
      <c r="E35" s="8">
        <f xml:space="preserve"> SUMIF(tblGoogleUnits[Products],$A35, tblGoogleUnits[cv_2021]) + SUMIF(tblMetaUnits[Products],$A35, tblMetaUnits[cv_2021]) + SUMIF(tblAmazonUnits[Products],$A35, tblAmazonUnits[cv_2021]) + SUMIF(tblMicrosoftUnits[Products],$A35, tblMicrosoftUnits[cv_2021]) + SUMIF(tblAppleUnits[Products],$A35, tblAppleUnits[cv_2021]) + SUMIF(tblAlibabaUnits[Products],$A35, tblAlibabaUnits[cv_2021]) + SUMIF(tblHuaweiUnits[Products],$A35, tblHuaweiUnits[cv_2021]) + SUMIF(tblTencentUnits[Products],$A35, tblTencentUnits[cv_2021]) + SUMIF(tblBaiduUnits[Products],$A35, tblBaiduUnits[cv_2021]) + SUMIF(tblByteDanceUnits[Products],$A35, tblByteDanceUnits[cv_2021]) + SUMIF(tblCloudAOUnits[Products],$A35, tblCloudAOUnits[cv_2021]) + SUMIF(tblTelecomUnits[Products],$A35, tblTelecomUnits[cv_2021]) + SUMIF(tblEnterpriseUnits[Products],$A35, tblEnterpriseUnits[cv_2021])</f>
        <v>0</v>
      </c>
      <c r="F35" s="8">
        <f xml:space="preserve"> SUMIF(tblGoogleUnits[Products],$A35, tblGoogleUnits[cv_2022]) + SUMIF(tblMetaUnits[Products],$A35, tblMetaUnits[cv_2022]) + SUMIF(tblAmazonUnits[Products],$A35, tblAmazonUnits[cv_2022]) + SUMIF(tblMicrosoftUnits[Products],$A35, tblMicrosoftUnits[cv_2022]) + SUMIF(tblAppleUnits[Products],$A35, tblAppleUnits[cv_2022]) + SUMIF(tblAlibabaUnits[Products],$A35, tblAlibabaUnits[cv_2022]) + SUMIF(tblHuaweiUnits[Products],$A35, tblHuaweiUnits[cv_2022]) + SUMIF(tblTencentUnits[Products],$A35, tblTencentUnits[cv_2022]) + SUMIF(tblBaiduUnits[Products],$A35, tblBaiduUnits[cv_2022]) + SUMIF(tblByteDanceUnits[Products],$A35, tblByteDanceUnits[cv_2022]) + SUMIF(tblCloudAOUnits[Products],$A35, tblCloudAOUnits[cv_2022]) + SUMIF(tblTelecomUnits[Products],$A35, tblTelecomUnits[cv_2022]) + SUMIF(tblEnterpriseUnits[Products],$A35, tblEnterpriseUnits[cv_2022])</f>
        <v>0</v>
      </c>
      <c r="G35" s="8">
        <f xml:space="preserve"> SUMIF(tblGoogleUnits[Products],$A35, tblGoogleUnits[cv_2023]) + SUMIF(tblMetaUnits[Products],$A35, tblMetaUnits[cv_2023]) + SUMIF(tblAmazonUnits[Products],$A35, tblAmazonUnits[cv_2023]) + SUMIF(tblMicrosoftUnits[Products],$A35, tblMicrosoftUnits[cv_2023]) + SUMIF(tblAppleUnits[Products],$A35, tblAppleUnits[cv_2023]) + SUMIF(tblAlibabaUnits[Products],$A35, tblAlibabaUnits[cv_2023]) + SUMIF(tblHuaweiUnits[Products],$A35, tblHuaweiUnits[cv_2023]) + SUMIF(tblTencentUnits[Products],$A35, tblTencentUnits[cv_2023]) + SUMIF(tblBaiduUnits[Products],$A35, tblBaiduUnits[cv_2023]) + SUMIF(tblByteDanceUnits[Products],$A35, tblByteDanceUnits[cv_2023]) + SUMIF(tblCloudAOUnits[Products],$A35, tblCloudAOUnits[cv_2023]) + SUMIF(tblTelecomUnits[Products],$A35, tblTelecomUnits[cv_2023]) + SUMIF(tblEnterpriseUnits[Products],$A35, tblEnterpriseUnits[cv_2023])</f>
        <v>0</v>
      </c>
      <c r="H35" s="8">
        <f xml:space="preserve"> SUMIF(tblGoogleUnits[Products],$A35, tblGoogleUnits[cv_2024]) + SUMIF(tblMetaUnits[Products],$A35, tblMetaUnits[cv_2024]) + SUMIF(tblAmazonUnits[Products],$A35, tblAmazonUnits[cv_2024]) + SUMIF(tblMicrosoftUnits[Products],$A35, tblMicrosoftUnits[cv_2024]) + SUMIF(tblAppleUnits[Products],$A35, tblAppleUnits[cv_2024]) + SUMIF(tblAlibabaUnits[Products],$A35, tblAlibabaUnits[cv_2024]) + SUMIF(tblHuaweiUnits[Products],$A35, tblHuaweiUnits[cv_2024]) + SUMIF(tblTencentUnits[Products],$A35, tblTencentUnits[cv_2024]) + SUMIF(tblBaiduUnits[Products],$A35, tblBaiduUnits[cv_2024]) + SUMIF(tblByteDanceUnits[Products],$A35, tblByteDanceUnits[cv_2024]) + SUMIF(tblCloudAOUnits[Products],$A35, tblCloudAOUnits[cv_2024]) + SUMIF(tblTelecomUnits[Products],$A35, tblTelecomUnits[cv_2024]) + SUMIF(tblEnterpriseUnits[Products],$A35, tblEnterpriseUnits[cv_2024])</f>
        <v>0</v>
      </c>
      <c r="I35" s="8">
        <f xml:space="preserve"> SUMIF(tblGoogleUnits[Products],$A35, tblGoogleUnits[cv_2025]) + SUMIF(tblMetaUnits[Products],$A35, tblMetaUnits[cv_2025]) + SUMIF(tblAmazonUnits[Products],$A35, tblAmazonUnits[cv_2025]) + SUMIF(tblMicrosoftUnits[Products],$A35, tblMicrosoftUnits[cv_2025]) + SUMIF(tblAppleUnits[Products],$A35, tblAppleUnits[cv_2025]) + SUMIF(tblAlibabaUnits[Products],$A35, tblAlibabaUnits[cv_2025]) + SUMIF(tblHuaweiUnits[Products],$A35, tblHuaweiUnits[cv_2025]) + SUMIF(tblTencentUnits[Products],$A35, tblTencentUnits[cv_2025]) + SUMIF(tblBaiduUnits[Products],$A35, tblBaiduUnits[cv_2025]) + SUMIF(tblByteDanceUnits[Products],$A35, tblByteDanceUnits[cv_2025]) + SUMIF(tblCloudAOUnits[Products],$A35, tblCloudAOUnits[cv_2025]) + SUMIF(tblTelecomUnits[Products],$A35, tblTelecomUnits[cv_2025]) + SUMIF(tblEnterpriseUnits[Products],$A35, tblEnterpriseUnits[cv_2025])</f>
        <v>0</v>
      </c>
      <c r="J35" s="8">
        <f xml:space="preserve"> SUMIF(tblGoogleUnits[Products],$A35, tblGoogleUnits[cv_2026]) + SUMIF(tblMetaUnits[Products],$A35, tblMetaUnits[cv_2026]) + SUMIF(tblAmazonUnits[Products],$A35, tblAmazonUnits[cv_2026]) + SUMIF(tblMicrosoftUnits[Products],$A35, tblMicrosoftUnits[cv_2026]) + SUMIF(tblAppleUnits[Products],$A35, tblAppleUnits[cv_2026]) + SUMIF(tblAlibabaUnits[Products],$A35, tblAlibabaUnits[cv_2026]) + SUMIF(tblHuaweiUnits[Products],$A35, tblHuaweiUnits[cv_2026]) + SUMIF(tblTencentUnits[Products],$A35, tblTencentUnits[cv_2026]) + SUMIF(tblBaiduUnits[Products],$A35, tblBaiduUnits[cv_2026]) + SUMIF(tblByteDanceUnits[Products],$A35, tblByteDanceUnits[cv_2026]) + SUMIF(tblCloudAOUnits[Products],$A35, tblCloudAOUnits[cv_2026]) + SUMIF(tblTelecomUnits[Products],$A35, tblTelecomUnits[cv_2026]) + SUMIF(tblEnterpriseUnits[Products],$A35, tblEnterpriseUnits[cv_2026])</f>
        <v>0</v>
      </c>
      <c r="K35" s="8">
        <f xml:space="preserve"> SUMIF(tblGoogleUnits[Products],$A35, tblGoogleUnits[cv_2027]) + SUMIF(tblMetaUnits[Products],$A35, tblMetaUnits[cv_2027]) + SUMIF(tblAmazonUnits[Products],$A35, tblAmazonUnits[cv_2027]) + SUMIF(tblMicrosoftUnits[Products],$A35, tblMicrosoftUnits[cv_2027]) + SUMIF(tblAppleUnits[Products],$A35, tblAppleUnits[cv_2027]) + SUMIF(tblAlibabaUnits[Products],$A35, tblAlibabaUnits[cv_2027]) + SUMIF(tblHuaweiUnits[Products],$A35, tblHuaweiUnits[cv_2027]) + SUMIF(tblTencentUnits[Products],$A35, tblTencentUnits[cv_2027]) + SUMIF(tblBaiduUnits[Products],$A35, tblBaiduUnits[cv_2027]) + SUMIF(tblByteDanceUnits[Products],$A35, tblByteDanceUnits[cv_2027]) + SUMIF(tblCloudAOUnits[Products],$A35, tblCloudAOUnits[cv_2027]) + SUMIF(tblTelecomUnits[Products],$A35, tblTelecomUnits[cv_2027]) + SUMIF(tblEnterpriseUnits[Products],$A35, tblEnterpriseUnits[cv_2027])</f>
        <v>0</v>
      </c>
      <c r="L35" s="8">
        <f xml:space="preserve"> SUMIF(tblGoogleUnits[Products],$A35, tblGoogleUnits[cv_2028]) + SUMIF(tblMetaUnits[Products],$A35, tblMetaUnits[cv_2028]) + SUMIF(tblAmazonUnits[Products],$A35, tblAmazonUnits[cv_2028]) + SUMIF(tblMicrosoftUnits[Products],$A35, tblMicrosoftUnits[cv_2028]) + SUMIF(tblAppleUnits[Products],$A35, tblAppleUnits[cv_2028]) + SUMIF(tblAlibabaUnits[Products],$A35, tblAlibabaUnits[cv_2028]) + SUMIF(tblHuaweiUnits[Products],$A35, tblHuaweiUnits[cv_2028]) + SUMIF(tblTencentUnits[Products],$A35, tblTencentUnits[cv_2028]) + SUMIF(tblBaiduUnits[Products],$A35, tblBaiduUnits[cv_2028]) + SUMIF(tblByteDanceUnits[Products],$A35, tblByteDanceUnits[cv_2028]) + SUMIF(tblCloudAOUnits[Products],$A35, tblCloudAOUnits[cv_2028]) + SUMIF(tblTelecomUnits[Products],$A35, tblTelecomUnits[cv_2028]) + SUMIF(tblEnterpriseUnits[Products],$A35, tblEnterpriseUnits[cv_2028])</f>
        <v>0</v>
      </c>
      <c r="M35" s="105" cm="1">
        <f t="array" ref="M35">INDEX(tblPrices[cv_2018], MATCH($A35,tblPrices[Products],0), 0)</f>
        <v>24.174517052756187</v>
      </c>
      <c r="N35" s="105" cm="1">
        <f t="array" ref="N35">INDEX(tblPrices[cv_2019], MATCH($A35,tblPrices[Products],0), 0)</f>
        <v>21.627202905666547</v>
      </c>
      <c r="O35" s="105" cm="1">
        <f t="array" ref="O35">INDEX(tblPrices[cv_2020], MATCH($A35,tblPrices[Products],0), 0)</f>
        <v>0</v>
      </c>
      <c r="P35" s="105" cm="1">
        <f t="array" ref="P35">INDEX(tblPrices[cv_2021], MATCH($A35,tblPrices[Products],0), 0)</f>
        <v>0</v>
      </c>
      <c r="Q35" s="105" cm="1">
        <f t="array" ref="Q35">INDEX(tblPrices[cv_2022], MATCH($A35,tblPrices[Products],0), 0)</f>
        <v>0</v>
      </c>
      <c r="R35" s="105" cm="1">
        <f t="array" ref="R35">INDEX(tblPrices[cv_2023], MATCH($A35,tblPrices[Products],0), 0)</f>
        <v>0</v>
      </c>
      <c r="S35" s="105" cm="1">
        <f t="array" ref="S35">INDEX(tblPrices[cv_2024], MATCH($A35,tblPrices[Products],0), 0)</f>
        <v>0</v>
      </c>
      <c r="T35" s="105" cm="1">
        <f t="array" ref="T35">INDEX(tblPrices[cv_2025], MATCH($A35,tblPrices[Products],0), 0)</f>
        <v>0</v>
      </c>
      <c r="U35" s="105" cm="1">
        <f t="array" ref="U35">INDEX(tblPrices[cv_2026], MATCH($A35,tblPrices[Products],0), 0)</f>
        <v>0</v>
      </c>
      <c r="V35" s="105" cm="1">
        <f t="array" ref="V35">INDEX(tblPrices[cv_2027], MATCH($A35,tblPrices[Products],0), 0)</f>
        <v>0</v>
      </c>
      <c r="W35" s="105" cm="1">
        <f t="array" ref="W35">INDEX(tblPrices[cv_2028], MATCH($A35,tblPrices[Products],0), 0)</f>
        <v>0</v>
      </c>
      <c r="X35" s="106" cm="1">
        <f t="array" ref="X35">INDEX(tblPrices[cv_2018], MATCH($A35,tblPrices[Products],0), 0)* tblForecast[[#This Row],[un_2018]]/10^6</f>
        <v>166.5347426714647</v>
      </c>
      <c r="Y35" s="106" cm="1">
        <f t="array" ref="Y35">INDEX(tblPrices[cv_2019], MATCH($A35,tblPrices[Products],0), 0)* tblForecast[[#This Row],[un_2019]]/10^6</f>
        <v>114.42243685132864</v>
      </c>
      <c r="Z35" s="106" cm="1">
        <f t="array" ref="Z35">INDEX(tblPrices[cv_2020], MATCH($A35,tblPrices[Products],0), 0)* tblForecast[[#This Row],[un_2020]]/10^6</f>
        <v>0</v>
      </c>
      <c r="AA35" s="106" cm="1">
        <f t="array" ref="AA35">INDEX(tblPrices[cv_2021], MATCH($A35,tblPrices[Products],0), 0)* tblForecast[[#This Row],[un_2021]]/10^6</f>
        <v>0</v>
      </c>
      <c r="AB35" s="106" cm="1">
        <f t="array" ref="AB35">INDEX(tblPrices[cv_2022], MATCH($A35,tblPrices[Products],0), 0)* tblForecast[[#This Row],[un_2022]]/10^6</f>
        <v>0</v>
      </c>
      <c r="AC35" s="106" cm="1">
        <f t="array" ref="AC35">INDEX(tblPrices[cv_2023], MATCH($A35,tblPrices[Products],0), 0)* tblForecast[[#This Row],[un_2023]]/10^6</f>
        <v>0</v>
      </c>
      <c r="AD35" s="106" cm="1">
        <f t="array" ref="AD35">INDEX(tblPrices[cv_2024], MATCH($A35,tblPrices[Products],0), 0)* tblForecast[[#This Row],[un_2024]]/10^6</f>
        <v>0</v>
      </c>
      <c r="AE35" s="106" cm="1">
        <f t="array" ref="AE35">INDEX(tblPrices[cv_2025], MATCH($A35,tblPrices[Products],0), 0)* tblForecast[[#This Row],[un_2025]]/10^6</f>
        <v>0</v>
      </c>
      <c r="AF35" s="106" cm="1">
        <f t="array" ref="AF35">INDEX(tblPrices[cv_2026], MATCH($A35,tblPrices[Products],0), 0)* tblForecast[[#This Row],[un_2026]]/10^6</f>
        <v>0</v>
      </c>
      <c r="AG35" s="106" cm="1">
        <f t="array" ref="AG35">INDEX(tblPrices[cv_2027], MATCH($A35,tblPrices[Products],0), 0)* tblForecast[[#This Row],[un_2027]]/10^6</f>
        <v>0</v>
      </c>
      <c r="AH35" s="106" cm="1">
        <f t="array" ref="AH35">INDEX(tblPrices[cv_2028], MATCH($A35,tblPrices[Products],0), 0)* tblForecast[[#This Row],[un_2028]]/10^6</f>
        <v>0</v>
      </c>
      <c r="AI35" s="60">
        <f>VLOOKUP(A35,Products!$A$11:$F$110,6,FALSE)</f>
        <v>10</v>
      </c>
    </row>
    <row r="36" spans="1:35">
      <c r="A36" s="12" t="s">
        <v>159</v>
      </c>
      <c r="B36" s="8">
        <f xml:space="preserve"> SUMIF(tblGoogleUnits[Products],$A36, tblGoogleUnits[cv_2018]) + SUMIF(tblMetaUnits[Products],$A36, tblMetaUnits[cv_2018]) + SUMIF(tblAmazonUnits[Products],$A36, tblAmazonUnits[cv_2018]) + SUMIF(tblMicrosoftUnits[Products],$A36, tblMicrosoftUnits[cv_2018]) + SUMIF(tblAppleUnits[Products],$A36, tblAppleUnits[cv_2018]) + SUMIF(tblAlibabaUnits[Products],$A36, tblAlibabaUnits[cv_2018]) + SUMIF(tblHuaweiUnits[Products],$A36, tblHuaweiUnits[cv_2018]) + SUMIF(tblTencentUnits[Products],$A36, tblTencentUnits[cv_2018]) + SUMIF(tblBaiduUnits[Products],$A36, tblBaiduUnits[cv_2018]) + SUMIF(tblByteDanceUnits[Products],$A36, tblByteDanceUnits[cv_2018]) + SUMIF(tblCloudAOUnits[Products],$A36, tblCloudAOUnits[cv_2018]) + SUMIF(tblTelecomUnits[Products],$A36, tblTelecomUnits[cv_2018]) + SUMIF(tblEnterpriseUnits[Products],$A36, tblEnterpriseUnits[cv_2018])</f>
        <v>156269</v>
      </c>
      <c r="C36" s="8">
        <f xml:space="preserve"> SUMIF(tblGoogleUnits[Products],$A36, tblGoogleUnits[cv_2019]) + SUMIF(tblMetaUnits[Products],$A36, tblMetaUnits[cv_2019]) + SUMIF(tblAmazonUnits[Products],$A36, tblAmazonUnits[cv_2019]) + SUMIF(tblMicrosoftUnits[Products],$A36, tblMicrosoftUnits[cv_2019]) + SUMIF(tblAppleUnits[Products],$A36, tblAppleUnits[cv_2019]) + SUMIF(tblAlibabaUnits[Products],$A36, tblAlibabaUnits[cv_2019]) + SUMIF(tblHuaweiUnits[Products],$A36, tblHuaweiUnits[cv_2019]) + SUMIF(tblTencentUnits[Products],$A36, tblTencentUnits[cv_2019]) + SUMIF(tblBaiduUnits[Products],$A36, tblBaiduUnits[cv_2019]) + SUMIF(tblByteDanceUnits[Products],$A36, tblByteDanceUnits[cv_2019]) + SUMIF(tblCloudAOUnits[Products],$A36, tblCloudAOUnits[cv_2019]) + SUMIF(tblTelecomUnits[Products],$A36, tblTelecomUnits[cv_2019]) + SUMIF(tblEnterpriseUnits[Products],$A36, tblEnterpriseUnits[cv_2019])</f>
        <v>65850</v>
      </c>
      <c r="D36" s="8">
        <f xml:space="preserve"> SUMIF(tblGoogleUnits[Products],$A36, tblGoogleUnits[cv_2020]) + SUMIF(tblMetaUnits[Products],$A36, tblMetaUnits[cv_2020]) + SUMIF(tblAmazonUnits[Products],$A36, tblAmazonUnits[cv_2020]) + SUMIF(tblMicrosoftUnits[Products],$A36, tblMicrosoftUnits[cv_2020]) + SUMIF(tblAppleUnits[Products],$A36, tblAppleUnits[cv_2020]) + SUMIF(tblAlibabaUnits[Products],$A36, tblAlibabaUnits[cv_2020]) + SUMIF(tblHuaweiUnits[Products],$A36, tblHuaweiUnits[cv_2020]) + SUMIF(tblTencentUnits[Products],$A36, tblTencentUnits[cv_2020]) + SUMIF(tblBaiduUnits[Products],$A36, tblBaiduUnits[cv_2020]) + SUMIF(tblByteDanceUnits[Products],$A36, tblByteDanceUnits[cv_2020]) + SUMIF(tblCloudAOUnits[Products],$A36, tblCloudAOUnits[cv_2020]) + SUMIF(tblTelecomUnits[Products],$A36, tblTelecomUnits[cv_2020]) + SUMIF(tblEnterpriseUnits[Products],$A36, tblEnterpriseUnits[cv_2020])</f>
        <v>0</v>
      </c>
      <c r="E36" s="8">
        <f xml:space="preserve"> SUMIF(tblGoogleUnits[Products],$A36, tblGoogleUnits[cv_2021]) + SUMIF(tblMetaUnits[Products],$A36, tblMetaUnits[cv_2021]) + SUMIF(tblAmazonUnits[Products],$A36, tblAmazonUnits[cv_2021]) + SUMIF(tblMicrosoftUnits[Products],$A36, tblMicrosoftUnits[cv_2021]) + SUMIF(tblAppleUnits[Products],$A36, tblAppleUnits[cv_2021]) + SUMIF(tblAlibabaUnits[Products],$A36, tblAlibabaUnits[cv_2021]) + SUMIF(tblHuaweiUnits[Products],$A36, tblHuaweiUnits[cv_2021]) + SUMIF(tblTencentUnits[Products],$A36, tblTencentUnits[cv_2021]) + SUMIF(tblBaiduUnits[Products],$A36, tblBaiduUnits[cv_2021]) + SUMIF(tblByteDanceUnits[Products],$A36, tblByteDanceUnits[cv_2021]) + SUMIF(tblCloudAOUnits[Products],$A36, tblCloudAOUnits[cv_2021]) + SUMIF(tblTelecomUnits[Products],$A36, tblTelecomUnits[cv_2021]) + SUMIF(tblEnterpriseUnits[Products],$A36, tblEnterpriseUnits[cv_2021])</f>
        <v>0</v>
      </c>
      <c r="F36" s="8">
        <f xml:space="preserve"> SUMIF(tblGoogleUnits[Products],$A36, tblGoogleUnits[cv_2022]) + SUMIF(tblMetaUnits[Products],$A36, tblMetaUnits[cv_2022]) + SUMIF(tblAmazonUnits[Products],$A36, tblAmazonUnits[cv_2022]) + SUMIF(tblMicrosoftUnits[Products],$A36, tblMicrosoftUnits[cv_2022]) + SUMIF(tblAppleUnits[Products],$A36, tblAppleUnits[cv_2022]) + SUMIF(tblAlibabaUnits[Products],$A36, tblAlibabaUnits[cv_2022]) + SUMIF(tblHuaweiUnits[Products],$A36, tblHuaweiUnits[cv_2022]) + SUMIF(tblTencentUnits[Products],$A36, tblTencentUnits[cv_2022]) + SUMIF(tblBaiduUnits[Products],$A36, tblBaiduUnits[cv_2022]) + SUMIF(tblByteDanceUnits[Products],$A36, tblByteDanceUnits[cv_2022]) + SUMIF(tblCloudAOUnits[Products],$A36, tblCloudAOUnits[cv_2022]) + SUMIF(tblTelecomUnits[Products],$A36, tblTelecomUnits[cv_2022]) + SUMIF(tblEnterpriseUnits[Products],$A36, tblEnterpriseUnits[cv_2022])</f>
        <v>0</v>
      </c>
      <c r="G36" s="8">
        <f xml:space="preserve"> SUMIF(tblGoogleUnits[Products],$A36, tblGoogleUnits[cv_2023]) + SUMIF(tblMetaUnits[Products],$A36, tblMetaUnits[cv_2023]) + SUMIF(tblAmazonUnits[Products],$A36, tblAmazonUnits[cv_2023]) + SUMIF(tblMicrosoftUnits[Products],$A36, tblMicrosoftUnits[cv_2023]) + SUMIF(tblAppleUnits[Products],$A36, tblAppleUnits[cv_2023]) + SUMIF(tblAlibabaUnits[Products],$A36, tblAlibabaUnits[cv_2023]) + SUMIF(tblHuaweiUnits[Products],$A36, tblHuaweiUnits[cv_2023]) + SUMIF(tblTencentUnits[Products],$A36, tblTencentUnits[cv_2023]) + SUMIF(tblBaiduUnits[Products],$A36, tblBaiduUnits[cv_2023]) + SUMIF(tblByteDanceUnits[Products],$A36, tblByteDanceUnits[cv_2023]) + SUMIF(tblCloudAOUnits[Products],$A36, tblCloudAOUnits[cv_2023]) + SUMIF(tblTelecomUnits[Products],$A36, tblTelecomUnits[cv_2023]) + SUMIF(tblEnterpriseUnits[Products],$A36, tblEnterpriseUnits[cv_2023])</f>
        <v>0</v>
      </c>
      <c r="H36" s="8">
        <f xml:space="preserve"> SUMIF(tblGoogleUnits[Products],$A36, tblGoogleUnits[cv_2024]) + SUMIF(tblMetaUnits[Products],$A36, tblMetaUnits[cv_2024]) + SUMIF(tblAmazonUnits[Products],$A36, tblAmazonUnits[cv_2024]) + SUMIF(tblMicrosoftUnits[Products],$A36, tblMicrosoftUnits[cv_2024]) + SUMIF(tblAppleUnits[Products],$A36, tblAppleUnits[cv_2024]) + SUMIF(tblAlibabaUnits[Products],$A36, tblAlibabaUnits[cv_2024]) + SUMIF(tblHuaweiUnits[Products],$A36, tblHuaweiUnits[cv_2024]) + SUMIF(tblTencentUnits[Products],$A36, tblTencentUnits[cv_2024]) + SUMIF(tblBaiduUnits[Products],$A36, tblBaiduUnits[cv_2024]) + SUMIF(tblByteDanceUnits[Products],$A36, tblByteDanceUnits[cv_2024]) + SUMIF(tblCloudAOUnits[Products],$A36, tblCloudAOUnits[cv_2024]) + SUMIF(tblTelecomUnits[Products],$A36, tblTelecomUnits[cv_2024]) + SUMIF(tblEnterpriseUnits[Products],$A36, tblEnterpriseUnits[cv_2024])</f>
        <v>0</v>
      </c>
      <c r="I36" s="8">
        <f xml:space="preserve"> SUMIF(tblGoogleUnits[Products],$A36, tblGoogleUnits[cv_2025]) + SUMIF(tblMetaUnits[Products],$A36, tblMetaUnits[cv_2025]) + SUMIF(tblAmazonUnits[Products],$A36, tblAmazonUnits[cv_2025]) + SUMIF(tblMicrosoftUnits[Products],$A36, tblMicrosoftUnits[cv_2025]) + SUMIF(tblAppleUnits[Products],$A36, tblAppleUnits[cv_2025]) + SUMIF(tblAlibabaUnits[Products],$A36, tblAlibabaUnits[cv_2025]) + SUMIF(tblHuaweiUnits[Products],$A36, tblHuaweiUnits[cv_2025]) + SUMIF(tblTencentUnits[Products],$A36, tblTencentUnits[cv_2025]) + SUMIF(tblBaiduUnits[Products],$A36, tblBaiduUnits[cv_2025]) + SUMIF(tblByteDanceUnits[Products],$A36, tblByteDanceUnits[cv_2025]) + SUMIF(tblCloudAOUnits[Products],$A36, tblCloudAOUnits[cv_2025]) + SUMIF(tblTelecomUnits[Products],$A36, tblTelecomUnits[cv_2025]) + SUMIF(tblEnterpriseUnits[Products],$A36, tblEnterpriseUnits[cv_2025])</f>
        <v>0</v>
      </c>
      <c r="J36" s="8">
        <f xml:space="preserve"> SUMIF(tblGoogleUnits[Products],$A36, tblGoogleUnits[cv_2026]) + SUMIF(tblMetaUnits[Products],$A36, tblMetaUnits[cv_2026]) + SUMIF(tblAmazonUnits[Products],$A36, tblAmazonUnits[cv_2026]) + SUMIF(tblMicrosoftUnits[Products],$A36, tblMicrosoftUnits[cv_2026]) + SUMIF(tblAppleUnits[Products],$A36, tblAppleUnits[cv_2026]) + SUMIF(tblAlibabaUnits[Products],$A36, tblAlibabaUnits[cv_2026]) + SUMIF(tblHuaweiUnits[Products],$A36, tblHuaweiUnits[cv_2026]) + SUMIF(tblTencentUnits[Products],$A36, tblTencentUnits[cv_2026]) + SUMIF(tblBaiduUnits[Products],$A36, tblBaiduUnits[cv_2026]) + SUMIF(tblByteDanceUnits[Products],$A36, tblByteDanceUnits[cv_2026]) + SUMIF(tblCloudAOUnits[Products],$A36, tblCloudAOUnits[cv_2026]) + SUMIF(tblTelecomUnits[Products],$A36, tblTelecomUnits[cv_2026]) + SUMIF(tblEnterpriseUnits[Products],$A36, tblEnterpriseUnits[cv_2026])</f>
        <v>0</v>
      </c>
      <c r="K36" s="8">
        <f xml:space="preserve"> SUMIF(tblGoogleUnits[Products],$A36, tblGoogleUnits[cv_2027]) + SUMIF(tblMetaUnits[Products],$A36, tblMetaUnits[cv_2027]) + SUMIF(tblAmazonUnits[Products],$A36, tblAmazonUnits[cv_2027]) + SUMIF(tblMicrosoftUnits[Products],$A36, tblMicrosoftUnits[cv_2027]) + SUMIF(tblAppleUnits[Products],$A36, tblAppleUnits[cv_2027]) + SUMIF(tblAlibabaUnits[Products],$A36, tblAlibabaUnits[cv_2027]) + SUMIF(tblHuaweiUnits[Products],$A36, tblHuaweiUnits[cv_2027]) + SUMIF(tblTencentUnits[Products],$A36, tblTencentUnits[cv_2027]) + SUMIF(tblBaiduUnits[Products],$A36, tblBaiduUnits[cv_2027]) + SUMIF(tblByteDanceUnits[Products],$A36, tblByteDanceUnits[cv_2027]) + SUMIF(tblCloudAOUnits[Products],$A36, tblCloudAOUnits[cv_2027]) + SUMIF(tblTelecomUnits[Products],$A36, tblTelecomUnits[cv_2027]) + SUMIF(tblEnterpriseUnits[Products],$A36, tblEnterpriseUnits[cv_2027])</f>
        <v>0</v>
      </c>
      <c r="L36" s="8">
        <f xml:space="preserve"> SUMIF(tblGoogleUnits[Products],$A36, tblGoogleUnits[cv_2028]) + SUMIF(tblMetaUnits[Products],$A36, tblMetaUnits[cv_2028]) + SUMIF(tblAmazonUnits[Products],$A36, tblAmazonUnits[cv_2028]) + SUMIF(tblMicrosoftUnits[Products],$A36, tblMicrosoftUnits[cv_2028]) + SUMIF(tblAppleUnits[Products],$A36, tblAppleUnits[cv_2028]) + SUMIF(tblAlibabaUnits[Products],$A36, tblAlibabaUnits[cv_2028]) + SUMIF(tblHuaweiUnits[Products],$A36, tblHuaweiUnits[cv_2028]) + SUMIF(tblTencentUnits[Products],$A36, tblTencentUnits[cv_2028]) + SUMIF(tblBaiduUnits[Products],$A36, tblBaiduUnits[cv_2028]) + SUMIF(tblByteDanceUnits[Products],$A36, tblByteDanceUnits[cv_2028]) + SUMIF(tblCloudAOUnits[Products],$A36, tblCloudAOUnits[cv_2028]) + SUMIF(tblTelecomUnits[Products],$A36, tblTelecomUnits[cv_2028]) + SUMIF(tblEnterpriseUnits[Products],$A36, tblEnterpriseUnits[cv_2028])</f>
        <v>0</v>
      </c>
      <c r="M36" s="105" cm="1">
        <f t="array" ref="M36">INDEX(tblPrices[cv_2018], MATCH($A36,tblPrices[Products],0), 0)</f>
        <v>119.6669017796072</v>
      </c>
      <c r="N36" s="105" cm="1">
        <f t="array" ref="N36">INDEX(tblPrices[cv_2019], MATCH($A36,tblPrices[Products],0), 0)</f>
        <v>119.50068790484173</v>
      </c>
      <c r="O36" s="105" cm="1">
        <f t="array" ref="O36">INDEX(tblPrices[cv_2020], MATCH($A36,tblPrices[Products],0), 0)</f>
        <v>0</v>
      </c>
      <c r="P36" s="105" cm="1">
        <f t="array" ref="P36">INDEX(tblPrices[cv_2021], MATCH($A36,tblPrices[Products],0), 0)</f>
        <v>0</v>
      </c>
      <c r="Q36" s="105" cm="1">
        <f t="array" ref="Q36">INDEX(tblPrices[cv_2022], MATCH($A36,tblPrices[Products],0), 0)</f>
        <v>0</v>
      </c>
      <c r="R36" s="105" cm="1">
        <f t="array" ref="R36">INDEX(tblPrices[cv_2023], MATCH($A36,tblPrices[Products],0), 0)</f>
        <v>0</v>
      </c>
      <c r="S36" s="105" cm="1">
        <f t="array" ref="S36">INDEX(tblPrices[cv_2024], MATCH($A36,tblPrices[Products],0), 0)</f>
        <v>0</v>
      </c>
      <c r="T36" s="105" cm="1">
        <f t="array" ref="T36">INDEX(tblPrices[cv_2025], MATCH($A36,tblPrices[Products],0), 0)</f>
        <v>0</v>
      </c>
      <c r="U36" s="105" cm="1">
        <f t="array" ref="U36">INDEX(tblPrices[cv_2026], MATCH($A36,tblPrices[Products],0), 0)</f>
        <v>0</v>
      </c>
      <c r="V36" s="105" cm="1">
        <f t="array" ref="V36">INDEX(tblPrices[cv_2027], MATCH($A36,tblPrices[Products],0), 0)</f>
        <v>0</v>
      </c>
      <c r="W36" s="105" cm="1">
        <f t="array" ref="W36">INDEX(tblPrices[cv_2028], MATCH($A36,tblPrices[Products],0), 0)</f>
        <v>0</v>
      </c>
      <c r="X36" s="106" cm="1">
        <f t="array" ref="X36">INDEX(tblPrices[cv_2018], MATCH($A36,tblPrices[Products],0), 0)* tblForecast[[#This Row],[un_2018]]/10^6</f>
        <v>18.700227074197439</v>
      </c>
      <c r="Y36" s="106" cm="1">
        <f t="array" ref="Y36">INDEX(tblPrices[cv_2019], MATCH($A36,tblPrices[Products],0), 0)* tblForecast[[#This Row],[un_2019]]/10^6</f>
        <v>7.8691202985338284</v>
      </c>
      <c r="Z36" s="106" cm="1">
        <f t="array" ref="Z36">INDEX(tblPrices[cv_2020], MATCH($A36,tblPrices[Products],0), 0)* tblForecast[[#This Row],[un_2020]]/10^6</f>
        <v>0</v>
      </c>
      <c r="AA36" s="106" cm="1">
        <f t="array" ref="AA36">INDEX(tblPrices[cv_2021], MATCH($A36,tblPrices[Products],0), 0)* tblForecast[[#This Row],[un_2021]]/10^6</f>
        <v>0</v>
      </c>
      <c r="AB36" s="106" cm="1">
        <f t="array" ref="AB36">INDEX(tblPrices[cv_2022], MATCH($A36,tblPrices[Products],0), 0)* tblForecast[[#This Row],[un_2022]]/10^6</f>
        <v>0</v>
      </c>
      <c r="AC36" s="106" cm="1">
        <f t="array" ref="AC36">INDEX(tblPrices[cv_2023], MATCH($A36,tblPrices[Products],0), 0)* tblForecast[[#This Row],[un_2023]]/10^6</f>
        <v>0</v>
      </c>
      <c r="AD36" s="106" cm="1">
        <f t="array" ref="AD36">INDEX(tblPrices[cv_2024], MATCH($A36,tblPrices[Products],0), 0)* tblForecast[[#This Row],[un_2024]]/10^6</f>
        <v>0</v>
      </c>
      <c r="AE36" s="106" cm="1">
        <f t="array" ref="AE36">INDEX(tblPrices[cv_2025], MATCH($A36,tblPrices[Products],0), 0)* tblForecast[[#This Row],[un_2025]]/10^6</f>
        <v>0</v>
      </c>
      <c r="AF36" s="106" cm="1">
        <f t="array" ref="AF36">INDEX(tblPrices[cv_2026], MATCH($A36,tblPrices[Products],0), 0)* tblForecast[[#This Row],[un_2026]]/10^6</f>
        <v>0</v>
      </c>
      <c r="AG36" s="106" cm="1">
        <f t="array" ref="AG36">INDEX(tblPrices[cv_2027], MATCH($A36,tblPrices[Products],0), 0)* tblForecast[[#This Row],[un_2027]]/10^6</f>
        <v>0</v>
      </c>
      <c r="AH36" s="106" cm="1">
        <f t="array" ref="AH36">INDEX(tblPrices[cv_2028], MATCH($A36,tblPrices[Products],0), 0)* tblForecast[[#This Row],[un_2028]]/10^6</f>
        <v>0</v>
      </c>
      <c r="AI36" s="60">
        <f>VLOOKUP(A36,Products!$A$11:$F$110,6,FALSE)</f>
        <v>10</v>
      </c>
    </row>
    <row r="37" spans="1:35">
      <c r="A37" s="12" t="s">
        <v>160</v>
      </c>
      <c r="B37" s="8">
        <f xml:space="preserve"> SUMIF(tblGoogleUnits[Products],$A37, tblGoogleUnits[cv_2018]) + SUMIF(tblMetaUnits[Products],$A37, tblMetaUnits[cv_2018]) + SUMIF(tblAmazonUnits[Products],$A37, tblAmazonUnits[cv_2018]) + SUMIF(tblMicrosoftUnits[Products],$A37, tblMicrosoftUnits[cv_2018]) + SUMIF(tblAppleUnits[Products],$A37, tblAppleUnits[cv_2018]) + SUMIF(tblAlibabaUnits[Products],$A37, tblAlibabaUnits[cv_2018]) + SUMIF(tblHuaweiUnits[Products],$A37, tblHuaweiUnits[cv_2018]) + SUMIF(tblTencentUnits[Products],$A37, tblTencentUnits[cv_2018]) + SUMIF(tblBaiduUnits[Products],$A37, tblBaiduUnits[cv_2018]) + SUMIF(tblByteDanceUnits[Products],$A37, tblByteDanceUnits[cv_2018]) + SUMIF(tblCloudAOUnits[Products],$A37, tblCloudAOUnits[cv_2018]) + SUMIF(tblTelecomUnits[Products],$A37, tblTelecomUnits[cv_2018]) + SUMIF(tblEnterpriseUnits[Products],$A37, tblEnterpriseUnits[cv_2018])</f>
        <v>541851.6</v>
      </c>
      <c r="C37" s="8">
        <f xml:space="preserve"> SUMIF(tblGoogleUnits[Products],$A37, tblGoogleUnits[cv_2019]) + SUMIF(tblMetaUnits[Products],$A37, tblMetaUnits[cv_2019]) + SUMIF(tblAmazonUnits[Products],$A37, tblAmazonUnits[cv_2019]) + SUMIF(tblMicrosoftUnits[Products],$A37, tblMicrosoftUnits[cv_2019]) + SUMIF(tblAppleUnits[Products],$A37, tblAppleUnits[cv_2019]) + SUMIF(tblAlibabaUnits[Products],$A37, tblAlibabaUnits[cv_2019]) + SUMIF(tblHuaweiUnits[Products],$A37, tblHuaweiUnits[cv_2019]) + SUMIF(tblTencentUnits[Products],$A37, tblTencentUnits[cv_2019]) + SUMIF(tblBaiduUnits[Products],$A37, tblBaiduUnits[cv_2019]) + SUMIF(tblByteDanceUnits[Products],$A37, tblByteDanceUnits[cv_2019]) + SUMIF(tblCloudAOUnits[Products],$A37, tblCloudAOUnits[cv_2019]) + SUMIF(tblTelecomUnits[Products],$A37, tblTelecomUnits[cv_2019]) + SUMIF(tblEnterpriseUnits[Products],$A37, tblEnterpriseUnits[cv_2019])</f>
        <v>323668</v>
      </c>
      <c r="D37" s="8">
        <f xml:space="preserve"> SUMIF(tblGoogleUnits[Products],$A37, tblGoogleUnits[cv_2020]) + SUMIF(tblMetaUnits[Products],$A37, tblMetaUnits[cv_2020]) + SUMIF(tblAmazonUnits[Products],$A37, tblAmazonUnits[cv_2020]) + SUMIF(tblMicrosoftUnits[Products],$A37, tblMicrosoftUnits[cv_2020]) + SUMIF(tblAppleUnits[Products],$A37, tblAppleUnits[cv_2020]) + SUMIF(tblAlibabaUnits[Products],$A37, tblAlibabaUnits[cv_2020]) + SUMIF(tblHuaweiUnits[Products],$A37, tblHuaweiUnits[cv_2020]) + SUMIF(tblTencentUnits[Products],$A37, tblTencentUnits[cv_2020]) + SUMIF(tblBaiduUnits[Products],$A37, tblBaiduUnits[cv_2020]) + SUMIF(tblByteDanceUnits[Products],$A37, tblByteDanceUnits[cv_2020]) + SUMIF(tblCloudAOUnits[Products],$A37, tblCloudAOUnits[cv_2020]) + SUMIF(tblTelecomUnits[Products],$A37, tblTelecomUnits[cv_2020]) + SUMIF(tblEnterpriseUnits[Products],$A37, tblEnterpriseUnits[cv_2020])</f>
        <v>0</v>
      </c>
      <c r="E37" s="8">
        <f xml:space="preserve"> SUMIF(tblGoogleUnits[Products],$A37, tblGoogleUnits[cv_2021]) + SUMIF(tblMetaUnits[Products],$A37, tblMetaUnits[cv_2021]) + SUMIF(tblAmazonUnits[Products],$A37, tblAmazonUnits[cv_2021]) + SUMIF(tblMicrosoftUnits[Products],$A37, tblMicrosoftUnits[cv_2021]) + SUMIF(tblAppleUnits[Products],$A37, tblAppleUnits[cv_2021]) + SUMIF(tblAlibabaUnits[Products],$A37, tblAlibabaUnits[cv_2021]) + SUMIF(tblHuaweiUnits[Products],$A37, tblHuaweiUnits[cv_2021]) + SUMIF(tblTencentUnits[Products],$A37, tblTencentUnits[cv_2021]) + SUMIF(tblBaiduUnits[Products],$A37, tblBaiduUnits[cv_2021]) + SUMIF(tblByteDanceUnits[Products],$A37, tblByteDanceUnits[cv_2021]) + SUMIF(tblCloudAOUnits[Products],$A37, tblCloudAOUnits[cv_2021]) + SUMIF(tblTelecomUnits[Products],$A37, tblTelecomUnits[cv_2021]) + SUMIF(tblEnterpriseUnits[Products],$A37, tblEnterpriseUnits[cv_2021])</f>
        <v>0</v>
      </c>
      <c r="F37" s="8">
        <f xml:space="preserve"> SUMIF(tblGoogleUnits[Products],$A37, tblGoogleUnits[cv_2022]) + SUMIF(tblMetaUnits[Products],$A37, tblMetaUnits[cv_2022]) + SUMIF(tblAmazonUnits[Products],$A37, tblAmazonUnits[cv_2022]) + SUMIF(tblMicrosoftUnits[Products],$A37, tblMicrosoftUnits[cv_2022]) + SUMIF(tblAppleUnits[Products],$A37, tblAppleUnits[cv_2022]) + SUMIF(tblAlibabaUnits[Products],$A37, tblAlibabaUnits[cv_2022]) + SUMIF(tblHuaweiUnits[Products],$A37, tblHuaweiUnits[cv_2022]) + SUMIF(tblTencentUnits[Products],$A37, tblTencentUnits[cv_2022]) + SUMIF(tblBaiduUnits[Products],$A37, tblBaiduUnits[cv_2022]) + SUMIF(tblByteDanceUnits[Products],$A37, tblByteDanceUnits[cv_2022]) + SUMIF(tblCloudAOUnits[Products],$A37, tblCloudAOUnits[cv_2022]) + SUMIF(tblTelecomUnits[Products],$A37, tblTelecomUnits[cv_2022]) + SUMIF(tblEnterpriseUnits[Products],$A37, tblEnterpriseUnits[cv_2022])</f>
        <v>0</v>
      </c>
      <c r="G37" s="8">
        <f xml:space="preserve"> SUMIF(tblGoogleUnits[Products],$A37, tblGoogleUnits[cv_2023]) + SUMIF(tblMetaUnits[Products],$A37, tblMetaUnits[cv_2023]) + SUMIF(tblAmazonUnits[Products],$A37, tblAmazonUnits[cv_2023]) + SUMIF(tblMicrosoftUnits[Products],$A37, tblMicrosoftUnits[cv_2023]) + SUMIF(tblAppleUnits[Products],$A37, tblAppleUnits[cv_2023]) + SUMIF(tblAlibabaUnits[Products],$A37, tblAlibabaUnits[cv_2023]) + SUMIF(tblHuaweiUnits[Products],$A37, tblHuaweiUnits[cv_2023]) + SUMIF(tblTencentUnits[Products],$A37, tblTencentUnits[cv_2023]) + SUMIF(tblBaiduUnits[Products],$A37, tblBaiduUnits[cv_2023]) + SUMIF(tblByteDanceUnits[Products],$A37, tblByteDanceUnits[cv_2023]) + SUMIF(tblCloudAOUnits[Products],$A37, tblCloudAOUnits[cv_2023]) + SUMIF(tblTelecomUnits[Products],$A37, tblTelecomUnits[cv_2023]) + SUMIF(tblEnterpriseUnits[Products],$A37, tblEnterpriseUnits[cv_2023])</f>
        <v>0</v>
      </c>
      <c r="H37" s="8">
        <f xml:space="preserve"> SUMIF(tblGoogleUnits[Products],$A37, tblGoogleUnits[cv_2024]) + SUMIF(tblMetaUnits[Products],$A37, tblMetaUnits[cv_2024]) + SUMIF(tblAmazonUnits[Products],$A37, tblAmazonUnits[cv_2024]) + SUMIF(tblMicrosoftUnits[Products],$A37, tblMicrosoftUnits[cv_2024]) + SUMIF(tblAppleUnits[Products],$A37, tblAppleUnits[cv_2024]) + SUMIF(tblAlibabaUnits[Products],$A37, tblAlibabaUnits[cv_2024]) + SUMIF(tblHuaweiUnits[Products],$A37, tblHuaweiUnits[cv_2024]) + SUMIF(tblTencentUnits[Products],$A37, tblTencentUnits[cv_2024]) + SUMIF(tblBaiduUnits[Products],$A37, tblBaiduUnits[cv_2024]) + SUMIF(tblByteDanceUnits[Products],$A37, tblByteDanceUnits[cv_2024]) + SUMIF(tblCloudAOUnits[Products],$A37, tblCloudAOUnits[cv_2024]) + SUMIF(tblTelecomUnits[Products],$A37, tblTelecomUnits[cv_2024]) + SUMIF(tblEnterpriseUnits[Products],$A37, tblEnterpriseUnits[cv_2024])</f>
        <v>0</v>
      </c>
      <c r="I37" s="8">
        <f xml:space="preserve"> SUMIF(tblGoogleUnits[Products],$A37, tblGoogleUnits[cv_2025]) + SUMIF(tblMetaUnits[Products],$A37, tblMetaUnits[cv_2025]) + SUMIF(tblAmazonUnits[Products],$A37, tblAmazonUnits[cv_2025]) + SUMIF(tblMicrosoftUnits[Products],$A37, tblMicrosoftUnits[cv_2025]) + SUMIF(tblAppleUnits[Products],$A37, tblAppleUnits[cv_2025]) + SUMIF(tblAlibabaUnits[Products],$A37, tblAlibabaUnits[cv_2025]) + SUMIF(tblHuaweiUnits[Products],$A37, tblHuaweiUnits[cv_2025]) + SUMIF(tblTencentUnits[Products],$A37, tblTencentUnits[cv_2025]) + SUMIF(tblBaiduUnits[Products],$A37, tblBaiduUnits[cv_2025]) + SUMIF(tblByteDanceUnits[Products],$A37, tblByteDanceUnits[cv_2025]) + SUMIF(tblCloudAOUnits[Products],$A37, tblCloudAOUnits[cv_2025]) + SUMIF(tblTelecomUnits[Products],$A37, tblTelecomUnits[cv_2025]) + SUMIF(tblEnterpriseUnits[Products],$A37, tblEnterpriseUnits[cv_2025])</f>
        <v>0</v>
      </c>
      <c r="J37" s="8">
        <f xml:space="preserve"> SUMIF(tblGoogleUnits[Products],$A37, tblGoogleUnits[cv_2026]) + SUMIF(tblMetaUnits[Products],$A37, tblMetaUnits[cv_2026]) + SUMIF(tblAmazonUnits[Products],$A37, tblAmazonUnits[cv_2026]) + SUMIF(tblMicrosoftUnits[Products],$A37, tblMicrosoftUnits[cv_2026]) + SUMIF(tblAppleUnits[Products],$A37, tblAppleUnits[cv_2026]) + SUMIF(tblAlibabaUnits[Products],$A37, tblAlibabaUnits[cv_2026]) + SUMIF(tblHuaweiUnits[Products],$A37, tblHuaweiUnits[cv_2026]) + SUMIF(tblTencentUnits[Products],$A37, tblTencentUnits[cv_2026]) + SUMIF(tblBaiduUnits[Products],$A37, tblBaiduUnits[cv_2026]) + SUMIF(tblByteDanceUnits[Products],$A37, tblByteDanceUnits[cv_2026]) + SUMIF(tblCloudAOUnits[Products],$A37, tblCloudAOUnits[cv_2026]) + SUMIF(tblTelecomUnits[Products],$A37, tblTelecomUnits[cv_2026]) + SUMIF(tblEnterpriseUnits[Products],$A37, tblEnterpriseUnits[cv_2026])</f>
        <v>0</v>
      </c>
      <c r="K37" s="8">
        <f xml:space="preserve"> SUMIF(tblGoogleUnits[Products],$A37, tblGoogleUnits[cv_2027]) + SUMIF(tblMetaUnits[Products],$A37, tblMetaUnits[cv_2027]) + SUMIF(tblAmazonUnits[Products],$A37, tblAmazonUnits[cv_2027]) + SUMIF(tblMicrosoftUnits[Products],$A37, tblMicrosoftUnits[cv_2027]) + SUMIF(tblAppleUnits[Products],$A37, tblAppleUnits[cv_2027]) + SUMIF(tblAlibabaUnits[Products],$A37, tblAlibabaUnits[cv_2027]) + SUMIF(tblHuaweiUnits[Products],$A37, tblHuaweiUnits[cv_2027]) + SUMIF(tblTencentUnits[Products],$A37, tblTencentUnits[cv_2027]) + SUMIF(tblBaiduUnits[Products],$A37, tblBaiduUnits[cv_2027]) + SUMIF(tblByteDanceUnits[Products],$A37, tblByteDanceUnits[cv_2027]) + SUMIF(tblCloudAOUnits[Products],$A37, tblCloudAOUnits[cv_2027]) + SUMIF(tblTelecomUnits[Products],$A37, tblTelecomUnits[cv_2027]) + SUMIF(tblEnterpriseUnits[Products],$A37, tblEnterpriseUnits[cv_2027])</f>
        <v>0</v>
      </c>
      <c r="L37" s="8">
        <f xml:space="preserve"> SUMIF(tblGoogleUnits[Products],$A37, tblGoogleUnits[cv_2028]) + SUMIF(tblMetaUnits[Products],$A37, tblMetaUnits[cv_2028]) + SUMIF(tblAmazonUnits[Products],$A37, tblAmazonUnits[cv_2028]) + SUMIF(tblMicrosoftUnits[Products],$A37, tblMicrosoftUnits[cv_2028]) + SUMIF(tblAppleUnits[Products],$A37, tblAppleUnits[cv_2028]) + SUMIF(tblAlibabaUnits[Products],$A37, tblAlibabaUnits[cv_2028]) + SUMIF(tblHuaweiUnits[Products],$A37, tblHuaweiUnits[cv_2028]) + SUMIF(tblTencentUnits[Products],$A37, tblTencentUnits[cv_2028]) + SUMIF(tblBaiduUnits[Products],$A37, tblBaiduUnits[cv_2028]) + SUMIF(tblByteDanceUnits[Products],$A37, tblByteDanceUnits[cv_2028]) + SUMIF(tblCloudAOUnits[Products],$A37, tblCloudAOUnits[cv_2028]) + SUMIF(tblTelecomUnits[Products],$A37, tblTelecomUnits[cv_2028]) + SUMIF(tblEnterpriseUnits[Products],$A37, tblEnterpriseUnits[cv_2028])</f>
        <v>0</v>
      </c>
      <c r="M37" s="105" cm="1">
        <f t="array" ref="M37">INDEX(tblPrices[cv_2018], MATCH($A37,tblPrices[Products],0), 0)</f>
        <v>99.963714368632438</v>
      </c>
      <c r="N37" s="105" cm="1">
        <f t="array" ref="N37">INDEX(tblPrices[cv_2019], MATCH($A37,tblPrices[Products],0), 0)</f>
        <v>66.016798139647349</v>
      </c>
      <c r="O37" s="105" cm="1">
        <f t="array" ref="O37">INDEX(tblPrices[cv_2020], MATCH($A37,tblPrices[Products],0), 0)</f>
        <v>0</v>
      </c>
      <c r="P37" s="105" cm="1">
        <f t="array" ref="P37">INDEX(tblPrices[cv_2021], MATCH($A37,tblPrices[Products],0), 0)</f>
        <v>0</v>
      </c>
      <c r="Q37" s="105" cm="1">
        <f t="array" ref="Q37">INDEX(tblPrices[cv_2022], MATCH($A37,tblPrices[Products],0), 0)</f>
        <v>0</v>
      </c>
      <c r="R37" s="105" cm="1">
        <f t="array" ref="R37">INDEX(tblPrices[cv_2023], MATCH($A37,tblPrices[Products],0), 0)</f>
        <v>0</v>
      </c>
      <c r="S37" s="105" cm="1">
        <f t="array" ref="S37">INDEX(tblPrices[cv_2024], MATCH($A37,tblPrices[Products],0), 0)</f>
        <v>0</v>
      </c>
      <c r="T37" s="105" cm="1">
        <f t="array" ref="T37">INDEX(tblPrices[cv_2025], MATCH($A37,tblPrices[Products],0), 0)</f>
        <v>0</v>
      </c>
      <c r="U37" s="105" cm="1">
        <f t="array" ref="U37">INDEX(tblPrices[cv_2026], MATCH($A37,tblPrices[Products],0), 0)</f>
        <v>0</v>
      </c>
      <c r="V37" s="105" cm="1">
        <f t="array" ref="V37">INDEX(tblPrices[cv_2027], MATCH($A37,tblPrices[Products],0), 0)</f>
        <v>0</v>
      </c>
      <c r="W37" s="105" cm="1">
        <f t="array" ref="W37">INDEX(tblPrices[cv_2028], MATCH($A37,tblPrices[Products],0), 0)</f>
        <v>0</v>
      </c>
      <c r="X37" s="106" cm="1">
        <f t="array" ref="X37">INDEX(tblPrices[cv_2018], MATCH($A37,tblPrices[Products],0), 0)* tblForecast[[#This Row],[un_2018]]/10^6</f>
        <v>54.165498572586479</v>
      </c>
      <c r="Y37" s="106" cm="1">
        <f t="array" ref="Y37">INDEX(tblPrices[cv_2019], MATCH($A37,tblPrices[Products],0), 0)* tblForecast[[#This Row],[un_2019]]/10^6</f>
        <v>21.367525020263379</v>
      </c>
      <c r="Z37" s="106" cm="1">
        <f t="array" ref="Z37">INDEX(tblPrices[cv_2020], MATCH($A37,tblPrices[Products],0), 0)* tblForecast[[#This Row],[un_2020]]/10^6</f>
        <v>0</v>
      </c>
      <c r="AA37" s="106" cm="1">
        <f t="array" ref="AA37">INDEX(tblPrices[cv_2021], MATCH($A37,tblPrices[Products],0), 0)* tblForecast[[#This Row],[un_2021]]/10^6</f>
        <v>0</v>
      </c>
      <c r="AB37" s="106" cm="1">
        <f t="array" ref="AB37">INDEX(tblPrices[cv_2022], MATCH($A37,tblPrices[Products],0), 0)* tblForecast[[#This Row],[un_2022]]/10^6</f>
        <v>0</v>
      </c>
      <c r="AC37" s="106" cm="1">
        <f t="array" ref="AC37">INDEX(tblPrices[cv_2023], MATCH($A37,tblPrices[Products],0), 0)* tblForecast[[#This Row],[un_2023]]/10^6</f>
        <v>0</v>
      </c>
      <c r="AD37" s="106" cm="1">
        <f t="array" ref="AD37">INDEX(tblPrices[cv_2024], MATCH($A37,tblPrices[Products],0), 0)* tblForecast[[#This Row],[un_2024]]/10^6</f>
        <v>0</v>
      </c>
      <c r="AE37" s="106" cm="1">
        <f t="array" ref="AE37">INDEX(tblPrices[cv_2025], MATCH($A37,tblPrices[Products],0), 0)* tblForecast[[#This Row],[un_2025]]/10^6</f>
        <v>0</v>
      </c>
      <c r="AF37" s="106" cm="1">
        <f t="array" ref="AF37">INDEX(tblPrices[cv_2026], MATCH($A37,tblPrices[Products],0), 0)* tblForecast[[#This Row],[un_2026]]/10^6</f>
        <v>0</v>
      </c>
      <c r="AG37" s="106" cm="1">
        <f t="array" ref="AG37">INDEX(tblPrices[cv_2027], MATCH($A37,tblPrices[Products],0), 0)* tblForecast[[#This Row],[un_2027]]/10^6</f>
        <v>0</v>
      </c>
      <c r="AH37" s="106" cm="1">
        <f t="array" ref="AH37">INDEX(tblPrices[cv_2028], MATCH($A37,tblPrices[Products],0), 0)* tblForecast[[#This Row],[un_2028]]/10^6</f>
        <v>0</v>
      </c>
      <c r="AI37" s="60">
        <f>VLOOKUP(A37,Products!$A$11:$F$110,6,FALSE)</f>
        <v>10</v>
      </c>
    </row>
    <row r="38" spans="1:35">
      <c r="A38" s="12" t="s">
        <v>161</v>
      </c>
      <c r="B38" s="8">
        <f xml:space="preserve"> SUMIF(tblGoogleUnits[Products],$A38, tblGoogleUnits[cv_2018]) + SUMIF(tblMetaUnits[Products],$A38, tblMetaUnits[cv_2018]) + SUMIF(tblAmazonUnits[Products],$A38, tblAmazonUnits[cv_2018]) + SUMIF(tblMicrosoftUnits[Products],$A38, tblMicrosoftUnits[cv_2018]) + SUMIF(tblAppleUnits[Products],$A38, tblAppleUnits[cv_2018]) + SUMIF(tblAlibabaUnits[Products],$A38, tblAlibabaUnits[cv_2018]) + SUMIF(tblHuaweiUnits[Products],$A38, tblHuaweiUnits[cv_2018]) + SUMIF(tblTencentUnits[Products],$A38, tblTencentUnits[cv_2018]) + SUMIF(tblBaiduUnits[Products],$A38, tblBaiduUnits[cv_2018]) + SUMIF(tblByteDanceUnits[Products],$A38, tblByteDanceUnits[cv_2018]) + SUMIF(tblCloudAOUnits[Products],$A38, tblCloudAOUnits[cv_2018]) + SUMIF(tblTelecomUnits[Products],$A38, tblTelecomUnits[cv_2018]) + SUMIF(tblEnterpriseUnits[Products],$A38, tblEnterpriseUnits[cv_2018])</f>
        <v>9982</v>
      </c>
      <c r="C38" s="8">
        <f xml:space="preserve"> SUMIF(tblGoogleUnits[Products],$A38, tblGoogleUnits[cv_2019]) + SUMIF(tblMetaUnits[Products],$A38, tblMetaUnits[cv_2019]) + SUMIF(tblAmazonUnits[Products],$A38, tblAmazonUnits[cv_2019]) + SUMIF(tblMicrosoftUnits[Products],$A38, tblMicrosoftUnits[cv_2019]) + SUMIF(tblAppleUnits[Products],$A38, tblAppleUnits[cv_2019]) + SUMIF(tblAlibabaUnits[Products],$A38, tblAlibabaUnits[cv_2019]) + SUMIF(tblHuaweiUnits[Products],$A38, tblHuaweiUnits[cv_2019]) + SUMIF(tblTencentUnits[Products],$A38, tblTencentUnits[cv_2019]) + SUMIF(tblBaiduUnits[Products],$A38, tblBaiduUnits[cv_2019]) + SUMIF(tblByteDanceUnits[Products],$A38, tblByteDanceUnits[cv_2019]) + SUMIF(tblCloudAOUnits[Products],$A38, tblCloudAOUnits[cv_2019]) + SUMIF(tblTelecomUnits[Products],$A38, tblTelecomUnits[cv_2019]) + SUMIF(tblEnterpriseUnits[Products],$A38, tblEnterpriseUnits[cv_2019])</f>
        <v>2890</v>
      </c>
      <c r="D38" s="8">
        <f xml:space="preserve"> SUMIF(tblGoogleUnits[Products],$A38, tblGoogleUnits[cv_2020]) + SUMIF(tblMetaUnits[Products],$A38, tblMetaUnits[cv_2020]) + SUMIF(tblAmazonUnits[Products],$A38, tblAmazonUnits[cv_2020]) + SUMIF(tblMicrosoftUnits[Products],$A38, tblMicrosoftUnits[cv_2020]) + SUMIF(tblAppleUnits[Products],$A38, tblAppleUnits[cv_2020]) + SUMIF(tblAlibabaUnits[Products],$A38, tblAlibabaUnits[cv_2020]) + SUMIF(tblHuaweiUnits[Products],$A38, tblHuaweiUnits[cv_2020]) + SUMIF(tblTencentUnits[Products],$A38, tblTencentUnits[cv_2020]) + SUMIF(tblBaiduUnits[Products],$A38, tblBaiduUnits[cv_2020]) + SUMIF(tblByteDanceUnits[Products],$A38, tblByteDanceUnits[cv_2020]) + SUMIF(tblCloudAOUnits[Products],$A38, tblCloudAOUnits[cv_2020]) + SUMIF(tblTelecomUnits[Products],$A38, tblTelecomUnits[cv_2020]) + SUMIF(tblEnterpriseUnits[Products],$A38, tblEnterpriseUnits[cv_2020])</f>
        <v>0</v>
      </c>
      <c r="E38" s="8">
        <f xml:space="preserve"> SUMIF(tblGoogleUnits[Products],$A38, tblGoogleUnits[cv_2021]) + SUMIF(tblMetaUnits[Products],$A38, tblMetaUnits[cv_2021]) + SUMIF(tblAmazonUnits[Products],$A38, tblAmazonUnits[cv_2021]) + SUMIF(tblMicrosoftUnits[Products],$A38, tblMicrosoftUnits[cv_2021]) + SUMIF(tblAppleUnits[Products],$A38, tblAppleUnits[cv_2021]) + SUMIF(tblAlibabaUnits[Products],$A38, tblAlibabaUnits[cv_2021]) + SUMIF(tblHuaweiUnits[Products],$A38, tblHuaweiUnits[cv_2021]) + SUMIF(tblTencentUnits[Products],$A38, tblTencentUnits[cv_2021]) + SUMIF(tblBaiduUnits[Products],$A38, tblBaiduUnits[cv_2021]) + SUMIF(tblByteDanceUnits[Products],$A38, tblByteDanceUnits[cv_2021]) + SUMIF(tblCloudAOUnits[Products],$A38, tblCloudAOUnits[cv_2021]) + SUMIF(tblTelecomUnits[Products],$A38, tblTelecomUnits[cv_2021]) + SUMIF(tblEnterpriseUnits[Products],$A38, tblEnterpriseUnits[cv_2021])</f>
        <v>0</v>
      </c>
      <c r="F38" s="8">
        <f xml:space="preserve"> SUMIF(tblGoogleUnits[Products],$A38, tblGoogleUnits[cv_2022]) + SUMIF(tblMetaUnits[Products],$A38, tblMetaUnits[cv_2022]) + SUMIF(tblAmazonUnits[Products],$A38, tblAmazonUnits[cv_2022]) + SUMIF(tblMicrosoftUnits[Products],$A38, tblMicrosoftUnits[cv_2022]) + SUMIF(tblAppleUnits[Products],$A38, tblAppleUnits[cv_2022]) + SUMIF(tblAlibabaUnits[Products],$A38, tblAlibabaUnits[cv_2022]) + SUMIF(tblHuaweiUnits[Products],$A38, tblHuaweiUnits[cv_2022]) + SUMIF(tblTencentUnits[Products],$A38, tblTencentUnits[cv_2022]) + SUMIF(tblBaiduUnits[Products],$A38, tblBaiduUnits[cv_2022]) + SUMIF(tblByteDanceUnits[Products],$A38, tblByteDanceUnits[cv_2022]) + SUMIF(tblCloudAOUnits[Products],$A38, tblCloudAOUnits[cv_2022]) + SUMIF(tblTelecomUnits[Products],$A38, tblTelecomUnits[cv_2022]) + SUMIF(tblEnterpriseUnits[Products],$A38, tblEnterpriseUnits[cv_2022])</f>
        <v>0</v>
      </c>
      <c r="G38" s="8">
        <f xml:space="preserve"> SUMIF(tblGoogleUnits[Products],$A38, tblGoogleUnits[cv_2023]) + SUMIF(tblMetaUnits[Products],$A38, tblMetaUnits[cv_2023]) + SUMIF(tblAmazonUnits[Products],$A38, tblAmazonUnits[cv_2023]) + SUMIF(tblMicrosoftUnits[Products],$A38, tblMicrosoftUnits[cv_2023]) + SUMIF(tblAppleUnits[Products],$A38, tblAppleUnits[cv_2023]) + SUMIF(tblAlibabaUnits[Products],$A38, tblAlibabaUnits[cv_2023]) + SUMIF(tblHuaweiUnits[Products],$A38, tblHuaweiUnits[cv_2023]) + SUMIF(tblTencentUnits[Products],$A38, tblTencentUnits[cv_2023]) + SUMIF(tblBaiduUnits[Products],$A38, tblBaiduUnits[cv_2023]) + SUMIF(tblByteDanceUnits[Products],$A38, tblByteDanceUnits[cv_2023]) + SUMIF(tblCloudAOUnits[Products],$A38, tblCloudAOUnits[cv_2023]) + SUMIF(tblTelecomUnits[Products],$A38, tblTelecomUnits[cv_2023]) + SUMIF(tblEnterpriseUnits[Products],$A38, tblEnterpriseUnits[cv_2023])</f>
        <v>0</v>
      </c>
      <c r="H38" s="8">
        <f xml:space="preserve"> SUMIF(tblGoogleUnits[Products],$A38, tblGoogleUnits[cv_2024]) + SUMIF(tblMetaUnits[Products],$A38, tblMetaUnits[cv_2024]) + SUMIF(tblAmazonUnits[Products],$A38, tblAmazonUnits[cv_2024]) + SUMIF(tblMicrosoftUnits[Products],$A38, tblMicrosoftUnits[cv_2024]) + SUMIF(tblAppleUnits[Products],$A38, tblAppleUnits[cv_2024]) + SUMIF(tblAlibabaUnits[Products],$A38, tblAlibabaUnits[cv_2024]) + SUMIF(tblHuaweiUnits[Products],$A38, tblHuaweiUnits[cv_2024]) + SUMIF(tblTencentUnits[Products],$A38, tblTencentUnits[cv_2024]) + SUMIF(tblBaiduUnits[Products],$A38, tblBaiduUnits[cv_2024]) + SUMIF(tblByteDanceUnits[Products],$A38, tblByteDanceUnits[cv_2024]) + SUMIF(tblCloudAOUnits[Products],$A38, tblCloudAOUnits[cv_2024]) + SUMIF(tblTelecomUnits[Products],$A38, tblTelecomUnits[cv_2024]) + SUMIF(tblEnterpriseUnits[Products],$A38, tblEnterpriseUnits[cv_2024])</f>
        <v>0</v>
      </c>
      <c r="I38" s="8">
        <f xml:space="preserve"> SUMIF(tblGoogleUnits[Products],$A38, tblGoogleUnits[cv_2025]) + SUMIF(tblMetaUnits[Products],$A38, tblMetaUnits[cv_2025]) + SUMIF(tblAmazonUnits[Products],$A38, tblAmazonUnits[cv_2025]) + SUMIF(tblMicrosoftUnits[Products],$A38, tblMicrosoftUnits[cv_2025]) + SUMIF(tblAppleUnits[Products],$A38, tblAppleUnits[cv_2025]) + SUMIF(tblAlibabaUnits[Products],$A38, tblAlibabaUnits[cv_2025]) + SUMIF(tblHuaweiUnits[Products],$A38, tblHuaweiUnits[cv_2025]) + SUMIF(tblTencentUnits[Products],$A38, tblTencentUnits[cv_2025]) + SUMIF(tblBaiduUnits[Products],$A38, tblBaiduUnits[cv_2025]) + SUMIF(tblByteDanceUnits[Products],$A38, tblByteDanceUnits[cv_2025]) + SUMIF(tblCloudAOUnits[Products],$A38, tblCloudAOUnits[cv_2025]) + SUMIF(tblTelecomUnits[Products],$A38, tblTelecomUnits[cv_2025]) + SUMIF(tblEnterpriseUnits[Products],$A38, tblEnterpriseUnits[cv_2025])</f>
        <v>0</v>
      </c>
      <c r="J38" s="8">
        <f xml:space="preserve"> SUMIF(tblGoogleUnits[Products],$A38, tblGoogleUnits[cv_2026]) + SUMIF(tblMetaUnits[Products],$A38, tblMetaUnits[cv_2026]) + SUMIF(tblAmazonUnits[Products],$A38, tblAmazonUnits[cv_2026]) + SUMIF(tblMicrosoftUnits[Products],$A38, tblMicrosoftUnits[cv_2026]) + SUMIF(tblAppleUnits[Products],$A38, tblAppleUnits[cv_2026]) + SUMIF(tblAlibabaUnits[Products],$A38, tblAlibabaUnits[cv_2026]) + SUMIF(tblHuaweiUnits[Products],$A38, tblHuaweiUnits[cv_2026]) + SUMIF(tblTencentUnits[Products],$A38, tblTencentUnits[cv_2026]) + SUMIF(tblBaiduUnits[Products],$A38, tblBaiduUnits[cv_2026]) + SUMIF(tblByteDanceUnits[Products],$A38, tblByteDanceUnits[cv_2026]) + SUMIF(tblCloudAOUnits[Products],$A38, tblCloudAOUnits[cv_2026]) + SUMIF(tblTelecomUnits[Products],$A38, tblTelecomUnits[cv_2026]) + SUMIF(tblEnterpriseUnits[Products],$A38, tblEnterpriseUnits[cv_2026])</f>
        <v>0</v>
      </c>
      <c r="K38" s="8">
        <f xml:space="preserve"> SUMIF(tblGoogleUnits[Products],$A38, tblGoogleUnits[cv_2027]) + SUMIF(tblMetaUnits[Products],$A38, tblMetaUnits[cv_2027]) + SUMIF(tblAmazonUnits[Products],$A38, tblAmazonUnits[cv_2027]) + SUMIF(tblMicrosoftUnits[Products],$A38, tblMicrosoftUnits[cv_2027]) + SUMIF(tblAppleUnits[Products],$A38, tblAppleUnits[cv_2027]) + SUMIF(tblAlibabaUnits[Products],$A38, tblAlibabaUnits[cv_2027]) + SUMIF(tblHuaweiUnits[Products],$A38, tblHuaweiUnits[cv_2027]) + SUMIF(tblTencentUnits[Products],$A38, tblTencentUnits[cv_2027]) + SUMIF(tblBaiduUnits[Products],$A38, tblBaiduUnits[cv_2027]) + SUMIF(tblByteDanceUnits[Products],$A38, tblByteDanceUnits[cv_2027]) + SUMIF(tblCloudAOUnits[Products],$A38, tblCloudAOUnits[cv_2027]) + SUMIF(tblTelecomUnits[Products],$A38, tblTelecomUnits[cv_2027]) + SUMIF(tblEnterpriseUnits[Products],$A38, tblEnterpriseUnits[cv_2027])</f>
        <v>0</v>
      </c>
      <c r="L38" s="8">
        <f xml:space="preserve"> SUMIF(tblGoogleUnits[Products],$A38, tblGoogleUnits[cv_2028]) + SUMIF(tblMetaUnits[Products],$A38, tblMetaUnits[cv_2028]) + SUMIF(tblAmazonUnits[Products],$A38, tblAmazonUnits[cv_2028]) + SUMIF(tblMicrosoftUnits[Products],$A38, tblMicrosoftUnits[cv_2028]) + SUMIF(tblAppleUnits[Products],$A38, tblAppleUnits[cv_2028]) + SUMIF(tblAlibabaUnits[Products],$A38, tblAlibabaUnits[cv_2028]) + SUMIF(tblHuaweiUnits[Products],$A38, tblHuaweiUnits[cv_2028]) + SUMIF(tblTencentUnits[Products],$A38, tblTencentUnits[cv_2028]) + SUMIF(tblBaiduUnits[Products],$A38, tblBaiduUnits[cv_2028]) + SUMIF(tblByteDanceUnits[Products],$A38, tblByteDanceUnits[cv_2028]) + SUMIF(tblCloudAOUnits[Products],$A38, tblCloudAOUnits[cv_2028]) + SUMIF(tblTelecomUnits[Products],$A38, tblTelecomUnits[cv_2028]) + SUMIF(tblEnterpriseUnits[Products],$A38, tblEnterpriseUnits[cv_2028])</f>
        <v>0</v>
      </c>
      <c r="M38" s="105" cm="1">
        <f t="array" ref="M38">INDEX(tblPrices[cv_2018], MATCH($A38,tblPrices[Products],0), 0)</f>
        <v>298.53432873031477</v>
      </c>
      <c r="N38" s="105" cm="1">
        <f t="array" ref="N38">INDEX(tblPrices[cv_2019], MATCH($A38,tblPrices[Products],0), 0)</f>
        <v>339.79189270089455</v>
      </c>
      <c r="O38" s="105" cm="1">
        <f t="array" ref="O38">INDEX(tblPrices[cv_2020], MATCH($A38,tblPrices[Products],0), 0)</f>
        <v>0</v>
      </c>
      <c r="P38" s="105" cm="1">
        <f t="array" ref="P38">INDEX(tblPrices[cv_2021], MATCH($A38,tblPrices[Products],0), 0)</f>
        <v>0</v>
      </c>
      <c r="Q38" s="105" cm="1">
        <f t="array" ref="Q38">INDEX(tblPrices[cv_2022], MATCH($A38,tblPrices[Products],0), 0)</f>
        <v>0</v>
      </c>
      <c r="R38" s="105" cm="1">
        <f t="array" ref="R38">INDEX(tblPrices[cv_2023], MATCH($A38,tblPrices[Products],0), 0)</f>
        <v>0</v>
      </c>
      <c r="S38" s="105" cm="1">
        <f t="array" ref="S38">INDEX(tblPrices[cv_2024], MATCH($A38,tblPrices[Products],0), 0)</f>
        <v>0</v>
      </c>
      <c r="T38" s="105" cm="1">
        <f t="array" ref="T38">INDEX(tblPrices[cv_2025], MATCH($A38,tblPrices[Products],0), 0)</f>
        <v>0</v>
      </c>
      <c r="U38" s="105" cm="1">
        <f t="array" ref="U38">INDEX(tblPrices[cv_2026], MATCH($A38,tblPrices[Products],0), 0)</f>
        <v>0</v>
      </c>
      <c r="V38" s="105" cm="1">
        <f t="array" ref="V38">INDEX(tblPrices[cv_2027], MATCH($A38,tblPrices[Products],0), 0)</f>
        <v>0</v>
      </c>
      <c r="W38" s="105" cm="1">
        <f t="array" ref="W38">INDEX(tblPrices[cv_2028], MATCH($A38,tblPrices[Products],0), 0)</f>
        <v>0</v>
      </c>
      <c r="X38" s="106" cm="1">
        <f t="array" ref="X38">INDEX(tblPrices[cv_2018], MATCH($A38,tblPrices[Products],0), 0)* tblForecast[[#This Row],[un_2018]]/10^6</f>
        <v>2.9799696693860023</v>
      </c>
      <c r="Y38" s="106" cm="1">
        <f t="array" ref="Y38">INDEX(tblPrices[cv_2019], MATCH($A38,tblPrices[Products],0), 0)* tblForecast[[#This Row],[un_2019]]/10^6</f>
        <v>0.98199856990558521</v>
      </c>
      <c r="Z38" s="106" cm="1">
        <f t="array" ref="Z38">INDEX(tblPrices[cv_2020], MATCH($A38,tblPrices[Products],0), 0)* tblForecast[[#This Row],[un_2020]]/10^6</f>
        <v>0</v>
      </c>
      <c r="AA38" s="106" cm="1">
        <f t="array" ref="AA38">INDEX(tblPrices[cv_2021], MATCH($A38,tblPrices[Products],0), 0)* tblForecast[[#This Row],[un_2021]]/10^6</f>
        <v>0</v>
      </c>
      <c r="AB38" s="106" cm="1">
        <f t="array" ref="AB38">INDEX(tblPrices[cv_2022], MATCH($A38,tblPrices[Products],0), 0)* tblForecast[[#This Row],[un_2022]]/10^6</f>
        <v>0</v>
      </c>
      <c r="AC38" s="106" cm="1">
        <f t="array" ref="AC38">INDEX(tblPrices[cv_2023], MATCH($A38,tblPrices[Products],0), 0)* tblForecast[[#This Row],[un_2023]]/10^6</f>
        <v>0</v>
      </c>
      <c r="AD38" s="106" cm="1">
        <f t="array" ref="AD38">INDEX(tblPrices[cv_2024], MATCH($A38,tblPrices[Products],0), 0)* tblForecast[[#This Row],[un_2024]]/10^6</f>
        <v>0</v>
      </c>
      <c r="AE38" s="106" cm="1">
        <f t="array" ref="AE38">INDEX(tblPrices[cv_2025], MATCH($A38,tblPrices[Products],0), 0)* tblForecast[[#This Row],[un_2025]]/10^6</f>
        <v>0</v>
      </c>
      <c r="AF38" s="106" cm="1">
        <f t="array" ref="AF38">INDEX(tblPrices[cv_2026], MATCH($A38,tblPrices[Products],0), 0)* tblForecast[[#This Row],[un_2026]]/10^6</f>
        <v>0</v>
      </c>
      <c r="AG38" s="106" cm="1">
        <f t="array" ref="AG38">INDEX(tblPrices[cv_2027], MATCH($A38,tblPrices[Products],0), 0)* tblForecast[[#This Row],[un_2027]]/10^6</f>
        <v>0</v>
      </c>
      <c r="AH38" s="106" cm="1">
        <f t="array" ref="AH38">INDEX(tblPrices[cv_2028], MATCH($A38,tblPrices[Products],0), 0)* tblForecast[[#This Row],[un_2028]]/10^6</f>
        <v>0</v>
      </c>
      <c r="AI38" s="60">
        <f>VLOOKUP(A38,Products!$A$11:$F$110,6,FALSE)</f>
        <v>10</v>
      </c>
    </row>
    <row r="39" spans="1:35">
      <c r="A39" s="12" t="s">
        <v>162</v>
      </c>
      <c r="B39" s="8">
        <f xml:space="preserve"> SUMIF(tblGoogleUnits[Products],$A39, tblGoogleUnits[cv_2018]) + SUMIF(tblMetaUnits[Products],$A39, tblMetaUnits[cv_2018]) + SUMIF(tblAmazonUnits[Products],$A39, tblAmazonUnits[cv_2018]) + SUMIF(tblMicrosoftUnits[Products],$A39, tblMicrosoftUnits[cv_2018]) + SUMIF(tblAppleUnits[Products],$A39, tblAppleUnits[cv_2018]) + SUMIF(tblAlibabaUnits[Products],$A39, tblAlibabaUnits[cv_2018]) + SUMIF(tblHuaweiUnits[Products],$A39, tblHuaweiUnits[cv_2018]) + SUMIF(tblTencentUnits[Products],$A39, tblTencentUnits[cv_2018]) + SUMIF(tblBaiduUnits[Products],$A39, tblBaiduUnits[cv_2018]) + SUMIF(tblByteDanceUnits[Products],$A39, tblByteDanceUnits[cv_2018]) + SUMIF(tblCloudAOUnits[Products],$A39, tblCloudAOUnits[cv_2018]) + SUMIF(tblTelecomUnits[Products],$A39, tblTelecomUnits[cv_2018]) + SUMIF(tblEnterpriseUnits[Products],$A39, tblEnterpriseUnits[cv_2018])</f>
        <v>137379.5</v>
      </c>
      <c r="C39" s="8">
        <f xml:space="preserve"> SUMIF(tblGoogleUnits[Products],$A39, tblGoogleUnits[cv_2019]) + SUMIF(tblMetaUnits[Products],$A39, tblMetaUnits[cv_2019]) + SUMIF(tblAmazonUnits[Products],$A39, tblAmazonUnits[cv_2019]) + SUMIF(tblMicrosoftUnits[Products],$A39, tblMicrosoftUnits[cv_2019]) + SUMIF(tblAppleUnits[Products],$A39, tblAppleUnits[cv_2019]) + SUMIF(tblAlibabaUnits[Products],$A39, tblAlibabaUnits[cv_2019]) + SUMIF(tblHuaweiUnits[Products],$A39, tblHuaweiUnits[cv_2019]) + SUMIF(tblTencentUnits[Products],$A39, tblTencentUnits[cv_2019]) + SUMIF(tblBaiduUnits[Products],$A39, tblBaiduUnits[cv_2019]) + SUMIF(tblByteDanceUnits[Products],$A39, tblByteDanceUnits[cv_2019]) + SUMIF(tblCloudAOUnits[Products],$A39, tblCloudAOUnits[cv_2019]) + SUMIF(tblTelecomUnits[Products],$A39, tblTelecomUnits[cv_2019]) + SUMIF(tblEnterpriseUnits[Products],$A39, tblEnterpriseUnits[cv_2019])</f>
        <v>114319</v>
      </c>
      <c r="D39" s="8">
        <f xml:space="preserve"> SUMIF(tblGoogleUnits[Products],$A39, tblGoogleUnits[cv_2020]) + SUMIF(tblMetaUnits[Products],$A39, tblMetaUnits[cv_2020]) + SUMIF(tblAmazonUnits[Products],$A39, tblAmazonUnits[cv_2020]) + SUMIF(tblMicrosoftUnits[Products],$A39, tblMicrosoftUnits[cv_2020]) + SUMIF(tblAppleUnits[Products],$A39, tblAppleUnits[cv_2020]) + SUMIF(tblAlibabaUnits[Products],$A39, tblAlibabaUnits[cv_2020]) + SUMIF(tblHuaweiUnits[Products],$A39, tblHuaweiUnits[cv_2020]) + SUMIF(tblTencentUnits[Products],$A39, tblTencentUnits[cv_2020]) + SUMIF(tblBaiduUnits[Products],$A39, tblBaiduUnits[cv_2020]) + SUMIF(tblByteDanceUnits[Products],$A39, tblByteDanceUnits[cv_2020]) + SUMIF(tblCloudAOUnits[Products],$A39, tblCloudAOUnits[cv_2020]) + SUMIF(tblTelecomUnits[Products],$A39, tblTelecomUnits[cv_2020]) + SUMIF(tblEnterpriseUnits[Products],$A39, tblEnterpriseUnits[cv_2020])</f>
        <v>0</v>
      </c>
      <c r="E39" s="8">
        <f xml:space="preserve"> SUMIF(tblGoogleUnits[Products],$A39, tblGoogleUnits[cv_2021]) + SUMIF(tblMetaUnits[Products],$A39, tblMetaUnits[cv_2021]) + SUMIF(tblAmazonUnits[Products],$A39, tblAmazonUnits[cv_2021]) + SUMIF(tblMicrosoftUnits[Products],$A39, tblMicrosoftUnits[cv_2021]) + SUMIF(tblAppleUnits[Products],$A39, tblAppleUnits[cv_2021]) + SUMIF(tblAlibabaUnits[Products],$A39, tblAlibabaUnits[cv_2021]) + SUMIF(tblHuaweiUnits[Products],$A39, tblHuaweiUnits[cv_2021]) + SUMIF(tblTencentUnits[Products],$A39, tblTencentUnits[cv_2021]) + SUMIF(tblBaiduUnits[Products],$A39, tblBaiduUnits[cv_2021]) + SUMIF(tblByteDanceUnits[Products],$A39, tblByteDanceUnits[cv_2021]) + SUMIF(tblCloudAOUnits[Products],$A39, tblCloudAOUnits[cv_2021]) + SUMIF(tblTelecomUnits[Products],$A39, tblTelecomUnits[cv_2021]) + SUMIF(tblEnterpriseUnits[Products],$A39, tblEnterpriseUnits[cv_2021])</f>
        <v>0</v>
      </c>
      <c r="F39" s="8">
        <f xml:space="preserve"> SUMIF(tblGoogleUnits[Products],$A39, tblGoogleUnits[cv_2022]) + SUMIF(tblMetaUnits[Products],$A39, tblMetaUnits[cv_2022]) + SUMIF(tblAmazonUnits[Products],$A39, tblAmazonUnits[cv_2022]) + SUMIF(tblMicrosoftUnits[Products],$A39, tblMicrosoftUnits[cv_2022]) + SUMIF(tblAppleUnits[Products],$A39, tblAppleUnits[cv_2022]) + SUMIF(tblAlibabaUnits[Products],$A39, tblAlibabaUnits[cv_2022]) + SUMIF(tblHuaweiUnits[Products],$A39, tblHuaweiUnits[cv_2022]) + SUMIF(tblTencentUnits[Products],$A39, tblTencentUnits[cv_2022]) + SUMIF(tblBaiduUnits[Products],$A39, tblBaiduUnits[cv_2022]) + SUMIF(tblByteDanceUnits[Products],$A39, tblByteDanceUnits[cv_2022]) + SUMIF(tblCloudAOUnits[Products],$A39, tblCloudAOUnits[cv_2022]) + SUMIF(tblTelecomUnits[Products],$A39, tblTelecomUnits[cv_2022]) + SUMIF(tblEnterpriseUnits[Products],$A39, tblEnterpriseUnits[cv_2022])</f>
        <v>0</v>
      </c>
      <c r="G39" s="8">
        <f xml:space="preserve"> SUMIF(tblGoogleUnits[Products],$A39, tblGoogleUnits[cv_2023]) + SUMIF(tblMetaUnits[Products],$A39, tblMetaUnits[cv_2023]) + SUMIF(tblAmazonUnits[Products],$A39, tblAmazonUnits[cv_2023]) + SUMIF(tblMicrosoftUnits[Products],$A39, tblMicrosoftUnits[cv_2023]) + SUMIF(tblAppleUnits[Products],$A39, tblAppleUnits[cv_2023]) + SUMIF(tblAlibabaUnits[Products],$A39, tblAlibabaUnits[cv_2023]) + SUMIF(tblHuaweiUnits[Products],$A39, tblHuaweiUnits[cv_2023]) + SUMIF(tblTencentUnits[Products],$A39, tblTencentUnits[cv_2023]) + SUMIF(tblBaiduUnits[Products],$A39, tblBaiduUnits[cv_2023]) + SUMIF(tblByteDanceUnits[Products],$A39, tblByteDanceUnits[cv_2023]) + SUMIF(tblCloudAOUnits[Products],$A39, tblCloudAOUnits[cv_2023]) + SUMIF(tblTelecomUnits[Products],$A39, tblTelecomUnits[cv_2023]) + SUMIF(tblEnterpriseUnits[Products],$A39, tblEnterpriseUnits[cv_2023])</f>
        <v>0</v>
      </c>
      <c r="H39" s="8">
        <f xml:space="preserve"> SUMIF(tblGoogleUnits[Products],$A39, tblGoogleUnits[cv_2024]) + SUMIF(tblMetaUnits[Products],$A39, tblMetaUnits[cv_2024]) + SUMIF(tblAmazonUnits[Products],$A39, tblAmazonUnits[cv_2024]) + SUMIF(tblMicrosoftUnits[Products],$A39, tblMicrosoftUnits[cv_2024]) + SUMIF(tblAppleUnits[Products],$A39, tblAppleUnits[cv_2024]) + SUMIF(tblAlibabaUnits[Products],$A39, tblAlibabaUnits[cv_2024]) + SUMIF(tblHuaweiUnits[Products],$A39, tblHuaweiUnits[cv_2024]) + SUMIF(tblTencentUnits[Products],$A39, tblTencentUnits[cv_2024]) + SUMIF(tblBaiduUnits[Products],$A39, tblBaiduUnits[cv_2024]) + SUMIF(tblByteDanceUnits[Products],$A39, tblByteDanceUnits[cv_2024]) + SUMIF(tblCloudAOUnits[Products],$A39, tblCloudAOUnits[cv_2024]) + SUMIF(tblTelecomUnits[Products],$A39, tblTelecomUnits[cv_2024]) + SUMIF(tblEnterpriseUnits[Products],$A39, tblEnterpriseUnits[cv_2024])</f>
        <v>0</v>
      </c>
      <c r="I39" s="8">
        <f xml:space="preserve"> SUMIF(tblGoogleUnits[Products],$A39, tblGoogleUnits[cv_2025]) + SUMIF(tblMetaUnits[Products],$A39, tblMetaUnits[cv_2025]) + SUMIF(tblAmazonUnits[Products],$A39, tblAmazonUnits[cv_2025]) + SUMIF(tblMicrosoftUnits[Products],$A39, tblMicrosoftUnits[cv_2025]) + SUMIF(tblAppleUnits[Products],$A39, tblAppleUnits[cv_2025]) + SUMIF(tblAlibabaUnits[Products],$A39, tblAlibabaUnits[cv_2025]) + SUMIF(tblHuaweiUnits[Products],$A39, tblHuaweiUnits[cv_2025]) + SUMIF(tblTencentUnits[Products],$A39, tblTencentUnits[cv_2025]) + SUMIF(tblBaiduUnits[Products],$A39, tblBaiduUnits[cv_2025]) + SUMIF(tblByteDanceUnits[Products],$A39, tblByteDanceUnits[cv_2025]) + SUMIF(tblCloudAOUnits[Products],$A39, tblCloudAOUnits[cv_2025]) + SUMIF(tblTelecomUnits[Products],$A39, tblTelecomUnits[cv_2025]) + SUMIF(tblEnterpriseUnits[Products],$A39, tblEnterpriseUnits[cv_2025])</f>
        <v>0</v>
      </c>
      <c r="J39" s="8">
        <f xml:space="preserve"> SUMIF(tblGoogleUnits[Products],$A39, tblGoogleUnits[cv_2026]) + SUMIF(tblMetaUnits[Products],$A39, tblMetaUnits[cv_2026]) + SUMIF(tblAmazonUnits[Products],$A39, tblAmazonUnits[cv_2026]) + SUMIF(tblMicrosoftUnits[Products],$A39, tblMicrosoftUnits[cv_2026]) + SUMIF(tblAppleUnits[Products],$A39, tblAppleUnits[cv_2026]) + SUMIF(tblAlibabaUnits[Products],$A39, tblAlibabaUnits[cv_2026]) + SUMIF(tblHuaweiUnits[Products],$A39, tblHuaweiUnits[cv_2026]) + SUMIF(tblTencentUnits[Products],$A39, tblTencentUnits[cv_2026]) + SUMIF(tblBaiduUnits[Products],$A39, tblBaiduUnits[cv_2026]) + SUMIF(tblByteDanceUnits[Products],$A39, tblByteDanceUnits[cv_2026]) + SUMIF(tblCloudAOUnits[Products],$A39, tblCloudAOUnits[cv_2026]) + SUMIF(tblTelecomUnits[Products],$A39, tblTelecomUnits[cv_2026]) + SUMIF(tblEnterpriseUnits[Products],$A39, tblEnterpriseUnits[cv_2026])</f>
        <v>0</v>
      </c>
      <c r="K39" s="8">
        <f xml:space="preserve"> SUMIF(tblGoogleUnits[Products],$A39, tblGoogleUnits[cv_2027]) + SUMIF(tblMetaUnits[Products],$A39, tblMetaUnits[cv_2027]) + SUMIF(tblAmazonUnits[Products],$A39, tblAmazonUnits[cv_2027]) + SUMIF(tblMicrosoftUnits[Products],$A39, tblMicrosoftUnits[cv_2027]) + SUMIF(tblAppleUnits[Products],$A39, tblAppleUnits[cv_2027]) + SUMIF(tblAlibabaUnits[Products],$A39, tblAlibabaUnits[cv_2027]) + SUMIF(tblHuaweiUnits[Products],$A39, tblHuaweiUnits[cv_2027]) + SUMIF(tblTencentUnits[Products],$A39, tblTencentUnits[cv_2027]) + SUMIF(tblBaiduUnits[Products],$A39, tblBaiduUnits[cv_2027]) + SUMIF(tblByteDanceUnits[Products],$A39, tblByteDanceUnits[cv_2027]) + SUMIF(tblCloudAOUnits[Products],$A39, tblCloudAOUnits[cv_2027]) + SUMIF(tblTelecomUnits[Products],$A39, tblTelecomUnits[cv_2027]) + SUMIF(tblEnterpriseUnits[Products],$A39, tblEnterpriseUnits[cv_2027])</f>
        <v>0</v>
      </c>
      <c r="L39" s="8">
        <f xml:space="preserve"> SUMIF(tblGoogleUnits[Products],$A39, tblGoogleUnits[cv_2028]) + SUMIF(tblMetaUnits[Products],$A39, tblMetaUnits[cv_2028]) + SUMIF(tblAmazonUnits[Products],$A39, tblAmazonUnits[cv_2028]) + SUMIF(tblMicrosoftUnits[Products],$A39, tblMicrosoftUnits[cv_2028]) + SUMIF(tblAppleUnits[Products],$A39, tblAppleUnits[cv_2028]) + SUMIF(tblAlibabaUnits[Products],$A39, tblAlibabaUnits[cv_2028]) + SUMIF(tblHuaweiUnits[Products],$A39, tblHuaweiUnits[cv_2028]) + SUMIF(tblTencentUnits[Products],$A39, tblTencentUnits[cv_2028]) + SUMIF(tblBaiduUnits[Products],$A39, tblBaiduUnits[cv_2028]) + SUMIF(tblByteDanceUnits[Products],$A39, tblByteDanceUnits[cv_2028]) + SUMIF(tblCloudAOUnits[Products],$A39, tblCloudAOUnits[cv_2028]) + SUMIF(tblTelecomUnits[Products],$A39, tblTelecomUnits[cv_2028]) + SUMIF(tblEnterpriseUnits[Products],$A39, tblEnterpriseUnits[cv_2028])</f>
        <v>0</v>
      </c>
      <c r="M39" s="105" cm="1">
        <f t="array" ref="M39">INDEX(tblPrices[cv_2018], MATCH($A39,tblPrices[Products],0), 0)</f>
        <v>232.06261204152722</v>
      </c>
      <c r="N39" s="105" cm="1">
        <f t="array" ref="N39">INDEX(tblPrices[cv_2019], MATCH($A39,tblPrices[Products],0), 0)</f>
        <v>209.99253352557963</v>
      </c>
      <c r="O39" s="105" cm="1">
        <f t="array" ref="O39">INDEX(tblPrices[cv_2020], MATCH($A39,tblPrices[Products],0), 0)</f>
        <v>0</v>
      </c>
      <c r="P39" s="105" cm="1">
        <f t="array" ref="P39">INDEX(tblPrices[cv_2021], MATCH($A39,tblPrices[Products],0), 0)</f>
        <v>0</v>
      </c>
      <c r="Q39" s="105" cm="1">
        <f t="array" ref="Q39">INDEX(tblPrices[cv_2022], MATCH($A39,tblPrices[Products],0), 0)</f>
        <v>0</v>
      </c>
      <c r="R39" s="105" cm="1">
        <f t="array" ref="R39">INDEX(tblPrices[cv_2023], MATCH($A39,tblPrices[Products],0), 0)</f>
        <v>0</v>
      </c>
      <c r="S39" s="105" cm="1">
        <f t="array" ref="S39">INDEX(tblPrices[cv_2024], MATCH($A39,tblPrices[Products],0), 0)</f>
        <v>0</v>
      </c>
      <c r="T39" s="105" cm="1">
        <f t="array" ref="T39">INDEX(tblPrices[cv_2025], MATCH($A39,tblPrices[Products],0), 0)</f>
        <v>0</v>
      </c>
      <c r="U39" s="105" cm="1">
        <f t="array" ref="U39">INDEX(tblPrices[cv_2026], MATCH($A39,tblPrices[Products],0), 0)</f>
        <v>0</v>
      </c>
      <c r="V39" s="105" cm="1">
        <f t="array" ref="V39">INDEX(tblPrices[cv_2027], MATCH($A39,tblPrices[Products],0), 0)</f>
        <v>0</v>
      </c>
      <c r="W39" s="105" cm="1">
        <f t="array" ref="W39">INDEX(tblPrices[cv_2028], MATCH($A39,tblPrices[Products],0), 0)</f>
        <v>0</v>
      </c>
      <c r="X39" s="106" cm="1">
        <f t="array" ref="X39">INDEX(tblPrices[cv_2018], MATCH($A39,tblPrices[Products],0), 0)* tblForecast[[#This Row],[un_2018]]/10^6</f>
        <v>31.88064561095899</v>
      </c>
      <c r="Y39" s="106" cm="1">
        <f t="array" ref="Y39">INDEX(tblPrices[cv_2019], MATCH($A39,tblPrices[Products],0), 0)* tblForecast[[#This Row],[un_2019]]/10^6</f>
        <v>24.00613644011074</v>
      </c>
      <c r="Z39" s="106" cm="1">
        <f t="array" ref="Z39">INDEX(tblPrices[cv_2020], MATCH($A39,tblPrices[Products],0), 0)* tblForecast[[#This Row],[un_2020]]/10^6</f>
        <v>0</v>
      </c>
      <c r="AA39" s="106" cm="1">
        <f t="array" ref="AA39">INDEX(tblPrices[cv_2021], MATCH($A39,tblPrices[Products],0), 0)* tblForecast[[#This Row],[un_2021]]/10^6</f>
        <v>0</v>
      </c>
      <c r="AB39" s="106" cm="1">
        <f t="array" ref="AB39">INDEX(tblPrices[cv_2022], MATCH($A39,tblPrices[Products],0), 0)* tblForecast[[#This Row],[un_2022]]/10^6</f>
        <v>0</v>
      </c>
      <c r="AC39" s="106" cm="1">
        <f t="array" ref="AC39">INDEX(tblPrices[cv_2023], MATCH($A39,tblPrices[Products],0), 0)* tblForecast[[#This Row],[un_2023]]/10^6</f>
        <v>0</v>
      </c>
      <c r="AD39" s="106" cm="1">
        <f t="array" ref="AD39">INDEX(tblPrices[cv_2024], MATCH($A39,tblPrices[Products],0), 0)* tblForecast[[#This Row],[un_2024]]/10^6</f>
        <v>0</v>
      </c>
      <c r="AE39" s="106" cm="1">
        <f t="array" ref="AE39">INDEX(tblPrices[cv_2025], MATCH($A39,tblPrices[Products],0), 0)* tblForecast[[#This Row],[un_2025]]/10^6</f>
        <v>0</v>
      </c>
      <c r="AF39" s="106" cm="1">
        <f t="array" ref="AF39">INDEX(tblPrices[cv_2026], MATCH($A39,tblPrices[Products],0), 0)* tblForecast[[#This Row],[un_2026]]/10^6</f>
        <v>0</v>
      </c>
      <c r="AG39" s="106" cm="1">
        <f t="array" ref="AG39">INDEX(tblPrices[cv_2027], MATCH($A39,tblPrices[Products],0), 0)* tblForecast[[#This Row],[un_2027]]/10^6</f>
        <v>0</v>
      </c>
      <c r="AH39" s="106" cm="1">
        <f t="array" ref="AH39">INDEX(tblPrices[cv_2028], MATCH($A39,tblPrices[Products],0), 0)* tblForecast[[#This Row],[un_2028]]/10^6</f>
        <v>0</v>
      </c>
      <c r="AI39" s="60">
        <f>VLOOKUP(A39,Products!$A$11:$F$110,6,FALSE)</f>
        <v>10</v>
      </c>
    </row>
    <row r="40" spans="1:35">
      <c r="A40" s="12" t="s">
        <v>163</v>
      </c>
      <c r="B40" s="8">
        <f xml:space="preserve"> SUMIF(tblGoogleUnits[Products],$A40, tblGoogleUnits[cv_2018]) + SUMIF(tblMetaUnits[Products],$A40, tblMetaUnits[cv_2018]) + SUMIF(tblAmazonUnits[Products],$A40, tblAmazonUnits[cv_2018]) + SUMIF(tblMicrosoftUnits[Products],$A40, tblMicrosoftUnits[cv_2018]) + SUMIF(tblAppleUnits[Products],$A40, tblAppleUnits[cv_2018]) + SUMIF(tblAlibabaUnits[Products],$A40, tblAlibabaUnits[cv_2018]) + SUMIF(tblHuaweiUnits[Products],$A40, tblHuaweiUnits[cv_2018]) + SUMIF(tblTencentUnits[Products],$A40, tblTencentUnits[cv_2018]) + SUMIF(tblBaiduUnits[Products],$A40, tblBaiduUnits[cv_2018]) + SUMIF(tblByteDanceUnits[Products],$A40, tblByteDanceUnits[cv_2018]) + SUMIF(tblCloudAOUnits[Products],$A40, tblCloudAOUnits[cv_2018]) + SUMIF(tblTelecomUnits[Products],$A40, tblTelecomUnits[cv_2018]) + SUMIF(tblEnterpriseUnits[Products],$A40, tblEnterpriseUnits[cv_2018])</f>
        <v>3500</v>
      </c>
      <c r="C40" s="8">
        <f xml:space="preserve"> SUMIF(tblGoogleUnits[Products],$A40, tblGoogleUnits[cv_2019]) + SUMIF(tblMetaUnits[Products],$A40, tblMetaUnits[cv_2019]) + SUMIF(tblAmazonUnits[Products],$A40, tblAmazonUnits[cv_2019]) + SUMIF(tblMicrosoftUnits[Products],$A40, tblMicrosoftUnits[cv_2019]) + SUMIF(tblAppleUnits[Products],$A40, tblAppleUnits[cv_2019]) + SUMIF(tblAlibabaUnits[Products],$A40, tblAlibabaUnits[cv_2019]) + SUMIF(tblHuaweiUnits[Products],$A40, tblHuaweiUnits[cv_2019]) + SUMIF(tblTencentUnits[Products],$A40, tblTencentUnits[cv_2019]) + SUMIF(tblBaiduUnits[Products],$A40, tblBaiduUnits[cv_2019]) + SUMIF(tblByteDanceUnits[Products],$A40, tblByteDanceUnits[cv_2019]) + SUMIF(tblCloudAOUnits[Products],$A40, tblCloudAOUnits[cv_2019]) + SUMIF(tblTelecomUnits[Products],$A40, tblTelecomUnits[cv_2019]) + SUMIF(tblEnterpriseUnits[Products],$A40, tblEnterpriseUnits[cv_2019])</f>
        <v>5000</v>
      </c>
      <c r="D40" s="8">
        <f xml:space="preserve"> SUMIF(tblGoogleUnits[Products],$A40, tblGoogleUnits[cv_2020]) + SUMIF(tblMetaUnits[Products],$A40, tblMetaUnits[cv_2020]) + SUMIF(tblAmazonUnits[Products],$A40, tblAmazonUnits[cv_2020]) + SUMIF(tblMicrosoftUnits[Products],$A40, tblMicrosoftUnits[cv_2020]) + SUMIF(tblAppleUnits[Products],$A40, tblAppleUnits[cv_2020]) + SUMIF(tblAlibabaUnits[Products],$A40, tblAlibabaUnits[cv_2020]) + SUMIF(tblHuaweiUnits[Products],$A40, tblHuaweiUnits[cv_2020]) + SUMIF(tblTencentUnits[Products],$A40, tblTencentUnits[cv_2020]) + SUMIF(tblBaiduUnits[Products],$A40, tblBaiduUnits[cv_2020]) + SUMIF(tblByteDanceUnits[Products],$A40, tblByteDanceUnits[cv_2020]) + SUMIF(tblCloudAOUnits[Products],$A40, tblCloudAOUnits[cv_2020]) + SUMIF(tblTelecomUnits[Products],$A40, tblTelecomUnits[cv_2020]) + SUMIF(tblEnterpriseUnits[Products],$A40, tblEnterpriseUnits[cv_2020])</f>
        <v>0</v>
      </c>
      <c r="E40" s="8">
        <f xml:space="preserve"> SUMIF(tblGoogleUnits[Products],$A40, tblGoogleUnits[cv_2021]) + SUMIF(tblMetaUnits[Products],$A40, tblMetaUnits[cv_2021]) + SUMIF(tblAmazonUnits[Products],$A40, tblAmazonUnits[cv_2021]) + SUMIF(tblMicrosoftUnits[Products],$A40, tblMicrosoftUnits[cv_2021]) + SUMIF(tblAppleUnits[Products],$A40, tblAppleUnits[cv_2021]) + SUMIF(tblAlibabaUnits[Products],$A40, tblAlibabaUnits[cv_2021]) + SUMIF(tblHuaweiUnits[Products],$A40, tblHuaweiUnits[cv_2021]) + SUMIF(tblTencentUnits[Products],$A40, tblTencentUnits[cv_2021]) + SUMIF(tblBaiduUnits[Products],$A40, tblBaiduUnits[cv_2021]) + SUMIF(tblByteDanceUnits[Products],$A40, tblByteDanceUnits[cv_2021]) + SUMIF(tblCloudAOUnits[Products],$A40, tblCloudAOUnits[cv_2021]) + SUMIF(tblTelecomUnits[Products],$A40, tblTelecomUnits[cv_2021]) + SUMIF(tblEnterpriseUnits[Products],$A40, tblEnterpriseUnits[cv_2021])</f>
        <v>0</v>
      </c>
      <c r="F40" s="8">
        <f xml:space="preserve"> SUMIF(tblGoogleUnits[Products],$A40, tblGoogleUnits[cv_2022]) + SUMIF(tblMetaUnits[Products],$A40, tblMetaUnits[cv_2022]) + SUMIF(tblAmazonUnits[Products],$A40, tblAmazonUnits[cv_2022]) + SUMIF(tblMicrosoftUnits[Products],$A40, tblMicrosoftUnits[cv_2022]) + SUMIF(tblAppleUnits[Products],$A40, tblAppleUnits[cv_2022]) + SUMIF(tblAlibabaUnits[Products],$A40, tblAlibabaUnits[cv_2022]) + SUMIF(tblHuaweiUnits[Products],$A40, tblHuaweiUnits[cv_2022]) + SUMIF(tblTencentUnits[Products],$A40, tblTencentUnits[cv_2022]) + SUMIF(tblBaiduUnits[Products],$A40, tblBaiduUnits[cv_2022]) + SUMIF(tblByteDanceUnits[Products],$A40, tblByteDanceUnits[cv_2022]) + SUMIF(tblCloudAOUnits[Products],$A40, tblCloudAOUnits[cv_2022]) + SUMIF(tblTelecomUnits[Products],$A40, tblTelecomUnits[cv_2022]) + SUMIF(tblEnterpriseUnits[Products],$A40, tblEnterpriseUnits[cv_2022])</f>
        <v>0</v>
      </c>
      <c r="G40" s="8">
        <f xml:space="preserve"> SUMIF(tblGoogleUnits[Products],$A40, tblGoogleUnits[cv_2023]) + SUMIF(tblMetaUnits[Products],$A40, tblMetaUnits[cv_2023]) + SUMIF(tblAmazonUnits[Products],$A40, tblAmazonUnits[cv_2023]) + SUMIF(tblMicrosoftUnits[Products],$A40, tblMicrosoftUnits[cv_2023]) + SUMIF(tblAppleUnits[Products],$A40, tblAppleUnits[cv_2023]) + SUMIF(tblAlibabaUnits[Products],$A40, tblAlibabaUnits[cv_2023]) + SUMIF(tblHuaweiUnits[Products],$A40, tblHuaweiUnits[cv_2023]) + SUMIF(tblTencentUnits[Products],$A40, tblTencentUnits[cv_2023]) + SUMIF(tblBaiduUnits[Products],$A40, tblBaiduUnits[cv_2023]) + SUMIF(tblByteDanceUnits[Products],$A40, tblByteDanceUnits[cv_2023]) + SUMIF(tblCloudAOUnits[Products],$A40, tblCloudAOUnits[cv_2023]) + SUMIF(tblTelecomUnits[Products],$A40, tblTelecomUnits[cv_2023]) + SUMIF(tblEnterpriseUnits[Products],$A40, tblEnterpriseUnits[cv_2023])</f>
        <v>0</v>
      </c>
      <c r="H40" s="8">
        <f xml:space="preserve"> SUMIF(tblGoogleUnits[Products],$A40, tblGoogleUnits[cv_2024]) + SUMIF(tblMetaUnits[Products],$A40, tblMetaUnits[cv_2024]) + SUMIF(tblAmazonUnits[Products],$A40, tblAmazonUnits[cv_2024]) + SUMIF(tblMicrosoftUnits[Products],$A40, tblMicrosoftUnits[cv_2024]) + SUMIF(tblAppleUnits[Products],$A40, tblAppleUnits[cv_2024]) + SUMIF(tblAlibabaUnits[Products],$A40, tblAlibabaUnits[cv_2024]) + SUMIF(tblHuaweiUnits[Products],$A40, tblHuaweiUnits[cv_2024]) + SUMIF(tblTencentUnits[Products],$A40, tblTencentUnits[cv_2024]) + SUMIF(tblBaiduUnits[Products],$A40, tblBaiduUnits[cv_2024]) + SUMIF(tblByteDanceUnits[Products],$A40, tblByteDanceUnits[cv_2024]) + SUMIF(tblCloudAOUnits[Products],$A40, tblCloudAOUnits[cv_2024]) + SUMIF(tblTelecomUnits[Products],$A40, tblTelecomUnits[cv_2024]) + SUMIF(tblEnterpriseUnits[Products],$A40, tblEnterpriseUnits[cv_2024])</f>
        <v>0</v>
      </c>
      <c r="I40" s="8">
        <f xml:space="preserve"> SUMIF(tblGoogleUnits[Products],$A40, tblGoogleUnits[cv_2025]) + SUMIF(tblMetaUnits[Products],$A40, tblMetaUnits[cv_2025]) + SUMIF(tblAmazonUnits[Products],$A40, tblAmazonUnits[cv_2025]) + SUMIF(tblMicrosoftUnits[Products],$A40, tblMicrosoftUnits[cv_2025]) + SUMIF(tblAppleUnits[Products],$A40, tblAppleUnits[cv_2025]) + SUMIF(tblAlibabaUnits[Products],$A40, tblAlibabaUnits[cv_2025]) + SUMIF(tblHuaweiUnits[Products],$A40, tblHuaweiUnits[cv_2025]) + SUMIF(tblTencentUnits[Products],$A40, tblTencentUnits[cv_2025]) + SUMIF(tblBaiduUnits[Products],$A40, tblBaiduUnits[cv_2025]) + SUMIF(tblByteDanceUnits[Products],$A40, tblByteDanceUnits[cv_2025]) + SUMIF(tblCloudAOUnits[Products],$A40, tblCloudAOUnits[cv_2025]) + SUMIF(tblTelecomUnits[Products],$A40, tblTelecomUnits[cv_2025]) + SUMIF(tblEnterpriseUnits[Products],$A40, tblEnterpriseUnits[cv_2025])</f>
        <v>0</v>
      </c>
      <c r="J40" s="8">
        <f xml:space="preserve"> SUMIF(tblGoogleUnits[Products],$A40, tblGoogleUnits[cv_2026]) + SUMIF(tblMetaUnits[Products],$A40, tblMetaUnits[cv_2026]) + SUMIF(tblAmazonUnits[Products],$A40, tblAmazonUnits[cv_2026]) + SUMIF(tblMicrosoftUnits[Products],$A40, tblMicrosoftUnits[cv_2026]) + SUMIF(tblAppleUnits[Products],$A40, tblAppleUnits[cv_2026]) + SUMIF(tblAlibabaUnits[Products],$A40, tblAlibabaUnits[cv_2026]) + SUMIF(tblHuaweiUnits[Products],$A40, tblHuaweiUnits[cv_2026]) + SUMIF(tblTencentUnits[Products],$A40, tblTencentUnits[cv_2026]) + SUMIF(tblBaiduUnits[Products],$A40, tblBaiduUnits[cv_2026]) + SUMIF(tblByteDanceUnits[Products],$A40, tblByteDanceUnits[cv_2026]) + SUMIF(tblCloudAOUnits[Products],$A40, tblCloudAOUnits[cv_2026]) + SUMIF(tblTelecomUnits[Products],$A40, tblTelecomUnits[cv_2026]) + SUMIF(tblEnterpriseUnits[Products],$A40, tblEnterpriseUnits[cv_2026])</f>
        <v>0</v>
      </c>
      <c r="K40" s="8">
        <f xml:space="preserve"> SUMIF(tblGoogleUnits[Products],$A40, tblGoogleUnits[cv_2027]) + SUMIF(tblMetaUnits[Products],$A40, tblMetaUnits[cv_2027]) + SUMIF(tblAmazonUnits[Products],$A40, tblAmazonUnits[cv_2027]) + SUMIF(tblMicrosoftUnits[Products],$A40, tblMicrosoftUnits[cv_2027]) + SUMIF(tblAppleUnits[Products],$A40, tblAppleUnits[cv_2027]) + SUMIF(tblAlibabaUnits[Products],$A40, tblAlibabaUnits[cv_2027]) + SUMIF(tblHuaweiUnits[Products],$A40, tblHuaweiUnits[cv_2027]) + SUMIF(tblTencentUnits[Products],$A40, tblTencentUnits[cv_2027]) + SUMIF(tblBaiduUnits[Products],$A40, tblBaiduUnits[cv_2027]) + SUMIF(tblByteDanceUnits[Products],$A40, tblByteDanceUnits[cv_2027]) + SUMIF(tblCloudAOUnits[Products],$A40, tblCloudAOUnits[cv_2027]) + SUMIF(tblTelecomUnits[Products],$A40, tblTelecomUnits[cv_2027]) + SUMIF(tblEnterpriseUnits[Products],$A40, tblEnterpriseUnits[cv_2027])</f>
        <v>0</v>
      </c>
      <c r="L40" s="8">
        <f xml:space="preserve"> SUMIF(tblGoogleUnits[Products],$A40, tblGoogleUnits[cv_2028]) + SUMIF(tblMetaUnits[Products],$A40, tblMetaUnits[cv_2028]) + SUMIF(tblAmazonUnits[Products],$A40, tblAmazonUnits[cv_2028]) + SUMIF(tblMicrosoftUnits[Products],$A40, tblMicrosoftUnits[cv_2028]) + SUMIF(tblAppleUnits[Products],$A40, tblAppleUnits[cv_2028]) + SUMIF(tblAlibabaUnits[Products],$A40, tblAlibabaUnits[cv_2028]) + SUMIF(tblHuaweiUnits[Products],$A40, tblHuaweiUnits[cv_2028]) + SUMIF(tblTencentUnits[Products],$A40, tblTencentUnits[cv_2028]) + SUMIF(tblBaiduUnits[Products],$A40, tblBaiduUnits[cv_2028]) + SUMIF(tblByteDanceUnits[Products],$A40, tblByteDanceUnits[cv_2028]) + SUMIF(tblCloudAOUnits[Products],$A40, tblCloudAOUnits[cv_2028]) + SUMIF(tblTelecomUnits[Products],$A40, tblTelecomUnits[cv_2028]) + SUMIF(tblEnterpriseUnits[Products],$A40, tblEnterpriseUnits[cv_2028])</f>
        <v>0</v>
      </c>
      <c r="M40" s="105" cm="1">
        <f t="array" ref="M40">INDEX(tblPrices[cv_2018], MATCH($A40,tblPrices[Products],0), 0)</f>
        <v>114.28571428571429</v>
      </c>
      <c r="N40" s="105" cm="1">
        <f t="array" ref="N40">INDEX(tblPrices[cv_2019], MATCH($A40,tblPrices[Products],0), 0)</f>
        <v>120</v>
      </c>
      <c r="O40" s="105" cm="1">
        <f t="array" ref="O40">INDEX(tblPrices[cv_2020], MATCH($A40,tblPrices[Products],0), 0)</f>
        <v>0</v>
      </c>
      <c r="P40" s="105" cm="1">
        <f t="array" ref="P40">INDEX(tblPrices[cv_2021], MATCH($A40,tblPrices[Products],0), 0)</f>
        <v>0</v>
      </c>
      <c r="Q40" s="105" cm="1">
        <f t="array" ref="Q40">INDEX(tblPrices[cv_2022], MATCH($A40,tblPrices[Products],0), 0)</f>
        <v>0</v>
      </c>
      <c r="R40" s="105" cm="1">
        <f t="array" ref="R40">INDEX(tblPrices[cv_2023], MATCH($A40,tblPrices[Products],0), 0)</f>
        <v>0</v>
      </c>
      <c r="S40" s="105" cm="1">
        <f t="array" ref="S40">INDEX(tblPrices[cv_2024], MATCH($A40,tblPrices[Products],0), 0)</f>
        <v>0</v>
      </c>
      <c r="T40" s="105" cm="1">
        <f t="array" ref="T40">INDEX(tblPrices[cv_2025], MATCH($A40,tblPrices[Products],0), 0)</f>
        <v>0</v>
      </c>
      <c r="U40" s="105" cm="1">
        <f t="array" ref="U40">INDEX(tblPrices[cv_2026], MATCH($A40,tblPrices[Products],0), 0)</f>
        <v>0</v>
      </c>
      <c r="V40" s="105" cm="1">
        <f t="array" ref="V40">INDEX(tblPrices[cv_2027], MATCH($A40,tblPrices[Products],0), 0)</f>
        <v>0</v>
      </c>
      <c r="W40" s="105" cm="1">
        <f t="array" ref="W40">INDEX(tblPrices[cv_2028], MATCH($A40,tblPrices[Products],0), 0)</f>
        <v>0</v>
      </c>
      <c r="X40" s="106" cm="1">
        <f t="array" ref="X40">INDEX(tblPrices[cv_2018], MATCH($A40,tblPrices[Products],0), 0)* tblForecast[[#This Row],[un_2018]]/10^6</f>
        <v>0.4</v>
      </c>
      <c r="Y40" s="106" cm="1">
        <f t="array" ref="Y40">INDEX(tblPrices[cv_2019], MATCH($A40,tblPrices[Products],0), 0)* tblForecast[[#This Row],[un_2019]]/10^6</f>
        <v>0.6</v>
      </c>
      <c r="Z40" s="106" cm="1">
        <f t="array" ref="Z40">INDEX(tblPrices[cv_2020], MATCH($A40,tblPrices[Products],0), 0)* tblForecast[[#This Row],[un_2020]]/10^6</f>
        <v>0</v>
      </c>
      <c r="AA40" s="106" cm="1">
        <f t="array" ref="AA40">INDEX(tblPrices[cv_2021], MATCH($A40,tblPrices[Products],0), 0)* tblForecast[[#This Row],[un_2021]]/10^6</f>
        <v>0</v>
      </c>
      <c r="AB40" s="106" cm="1">
        <f t="array" ref="AB40">INDEX(tblPrices[cv_2022], MATCH($A40,tblPrices[Products],0), 0)* tblForecast[[#This Row],[un_2022]]/10^6</f>
        <v>0</v>
      </c>
      <c r="AC40" s="106" cm="1">
        <f t="array" ref="AC40">INDEX(tblPrices[cv_2023], MATCH($A40,tblPrices[Products],0), 0)* tblForecast[[#This Row],[un_2023]]/10^6</f>
        <v>0</v>
      </c>
      <c r="AD40" s="106" cm="1">
        <f t="array" ref="AD40">INDEX(tblPrices[cv_2024], MATCH($A40,tblPrices[Products],0), 0)* tblForecast[[#This Row],[un_2024]]/10^6</f>
        <v>0</v>
      </c>
      <c r="AE40" s="106" cm="1">
        <f t="array" ref="AE40">INDEX(tblPrices[cv_2025], MATCH($A40,tblPrices[Products],0), 0)* tblForecast[[#This Row],[un_2025]]/10^6</f>
        <v>0</v>
      </c>
      <c r="AF40" s="106" cm="1">
        <f t="array" ref="AF40">INDEX(tblPrices[cv_2026], MATCH($A40,tblPrices[Products],0), 0)* tblForecast[[#This Row],[un_2026]]/10^6</f>
        <v>0</v>
      </c>
      <c r="AG40" s="106" cm="1">
        <f t="array" ref="AG40">INDEX(tblPrices[cv_2027], MATCH($A40,tblPrices[Products],0), 0)* tblForecast[[#This Row],[un_2027]]/10^6</f>
        <v>0</v>
      </c>
      <c r="AH40" s="106" cm="1">
        <f t="array" ref="AH40">INDEX(tblPrices[cv_2028], MATCH($A40,tblPrices[Products],0), 0)* tblForecast[[#This Row],[un_2028]]/10^6</f>
        <v>0</v>
      </c>
      <c r="AI40" s="60">
        <f>VLOOKUP(A40,Products!$A$11:$F$110,6,FALSE)</f>
        <v>10</v>
      </c>
    </row>
    <row r="41" spans="1:35">
      <c r="A41" s="12" t="s">
        <v>164</v>
      </c>
      <c r="B41" s="8">
        <f xml:space="preserve"> SUMIF(tblGoogleUnits[Products],$A41, tblGoogleUnits[cv_2018]) + SUMIF(tblMetaUnits[Products],$A41, tblMetaUnits[cv_2018]) + SUMIF(tblAmazonUnits[Products],$A41, tblAmazonUnits[cv_2018]) + SUMIF(tblMicrosoftUnits[Products],$A41, tblMicrosoftUnits[cv_2018]) + SUMIF(tblAppleUnits[Products],$A41, tblAppleUnits[cv_2018]) + SUMIF(tblAlibabaUnits[Products],$A41, tblAlibabaUnits[cv_2018]) + SUMIF(tblHuaweiUnits[Products],$A41, tblHuaweiUnits[cv_2018]) + SUMIF(tblTencentUnits[Products],$A41, tblTencentUnits[cv_2018]) + SUMIF(tblBaiduUnits[Products],$A41, tblBaiduUnits[cv_2018]) + SUMIF(tblByteDanceUnits[Products],$A41, tblByteDanceUnits[cv_2018]) + SUMIF(tblCloudAOUnits[Products],$A41, tblCloudAOUnits[cv_2018]) + SUMIF(tblTelecomUnits[Products],$A41, tblTelecomUnits[cv_2018]) + SUMIF(tblEnterpriseUnits[Products],$A41, tblEnterpriseUnits[cv_2018])</f>
        <v>318978</v>
      </c>
      <c r="C41" s="8">
        <f xml:space="preserve"> SUMIF(tblGoogleUnits[Products],$A41, tblGoogleUnits[cv_2019]) + SUMIF(tblMetaUnits[Products],$A41, tblMetaUnits[cv_2019]) + SUMIF(tblAmazonUnits[Products],$A41, tblAmazonUnits[cv_2019]) + SUMIF(tblMicrosoftUnits[Products],$A41, tblMicrosoftUnits[cv_2019]) + SUMIF(tblAppleUnits[Products],$A41, tblAppleUnits[cv_2019]) + SUMIF(tblAlibabaUnits[Products],$A41, tblAlibabaUnits[cv_2019]) + SUMIF(tblHuaweiUnits[Products],$A41, tblHuaweiUnits[cv_2019]) + SUMIF(tblTencentUnits[Products],$A41, tblTencentUnits[cv_2019]) + SUMIF(tblBaiduUnits[Products],$A41, tblBaiduUnits[cv_2019]) + SUMIF(tblByteDanceUnits[Products],$A41, tblByteDanceUnits[cv_2019]) + SUMIF(tblCloudAOUnits[Products],$A41, tblCloudAOUnits[cv_2019]) + SUMIF(tblTelecomUnits[Products],$A41, tblTelecomUnits[cv_2019]) + SUMIF(tblEnterpriseUnits[Products],$A41, tblEnterpriseUnits[cv_2019])</f>
        <v>662127</v>
      </c>
      <c r="D41" s="8">
        <f xml:space="preserve"> SUMIF(tblGoogleUnits[Products],$A41, tblGoogleUnits[cv_2020]) + SUMIF(tblMetaUnits[Products],$A41, tblMetaUnits[cv_2020]) + SUMIF(tblAmazonUnits[Products],$A41, tblAmazonUnits[cv_2020]) + SUMIF(tblMicrosoftUnits[Products],$A41, tblMicrosoftUnits[cv_2020]) + SUMIF(tblAppleUnits[Products],$A41, tblAppleUnits[cv_2020]) + SUMIF(tblAlibabaUnits[Products],$A41, tblAlibabaUnits[cv_2020]) + SUMIF(tblHuaweiUnits[Products],$A41, tblHuaweiUnits[cv_2020]) + SUMIF(tblTencentUnits[Products],$A41, tblTencentUnits[cv_2020]) + SUMIF(tblBaiduUnits[Products],$A41, tblBaiduUnits[cv_2020]) + SUMIF(tblByteDanceUnits[Products],$A41, tblByteDanceUnits[cv_2020]) + SUMIF(tblCloudAOUnits[Products],$A41, tblCloudAOUnits[cv_2020]) + SUMIF(tblTelecomUnits[Products],$A41, tblTelecomUnits[cv_2020]) + SUMIF(tblEnterpriseUnits[Products],$A41, tblEnterpriseUnits[cv_2020])</f>
        <v>0</v>
      </c>
      <c r="E41" s="8">
        <f xml:space="preserve"> SUMIF(tblGoogleUnits[Products],$A41, tblGoogleUnits[cv_2021]) + SUMIF(tblMetaUnits[Products],$A41, tblMetaUnits[cv_2021]) + SUMIF(tblAmazonUnits[Products],$A41, tblAmazonUnits[cv_2021]) + SUMIF(tblMicrosoftUnits[Products],$A41, tblMicrosoftUnits[cv_2021]) + SUMIF(tblAppleUnits[Products],$A41, tblAppleUnits[cv_2021]) + SUMIF(tblAlibabaUnits[Products],$A41, tblAlibabaUnits[cv_2021]) + SUMIF(tblHuaweiUnits[Products],$A41, tblHuaweiUnits[cv_2021]) + SUMIF(tblTencentUnits[Products],$A41, tblTencentUnits[cv_2021]) + SUMIF(tblBaiduUnits[Products],$A41, tblBaiduUnits[cv_2021]) + SUMIF(tblByteDanceUnits[Products],$A41, tblByteDanceUnits[cv_2021]) + SUMIF(tblCloudAOUnits[Products],$A41, tblCloudAOUnits[cv_2021]) + SUMIF(tblTelecomUnits[Products],$A41, tblTelecomUnits[cv_2021]) + SUMIF(tblEnterpriseUnits[Products],$A41, tblEnterpriseUnits[cv_2021])</f>
        <v>0</v>
      </c>
      <c r="F41" s="8">
        <f xml:space="preserve"> SUMIF(tblGoogleUnits[Products],$A41, tblGoogleUnits[cv_2022]) + SUMIF(tblMetaUnits[Products],$A41, tblMetaUnits[cv_2022]) + SUMIF(tblAmazonUnits[Products],$A41, tblAmazonUnits[cv_2022]) + SUMIF(tblMicrosoftUnits[Products],$A41, tblMicrosoftUnits[cv_2022]) + SUMIF(tblAppleUnits[Products],$A41, tblAppleUnits[cv_2022]) + SUMIF(tblAlibabaUnits[Products],$A41, tblAlibabaUnits[cv_2022]) + SUMIF(tblHuaweiUnits[Products],$A41, tblHuaweiUnits[cv_2022]) + SUMIF(tblTencentUnits[Products],$A41, tblTencentUnits[cv_2022]) + SUMIF(tblBaiduUnits[Products],$A41, tblBaiduUnits[cv_2022]) + SUMIF(tblByteDanceUnits[Products],$A41, tblByteDanceUnits[cv_2022]) + SUMIF(tblCloudAOUnits[Products],$A41, tblCloudAOUnits[cv_2022]) + SUMIF(tblTelecomUnits[Products],$A41, tblTelecomUnits[cv_2022]) + SUMIF(tblEnterpriseUnits[Products],$A41, tblEnterpriseUnits[cv_2022])</f>
        <v>0</v>
      </c>
      <c r="G41" s="8">
        <f xml:space="preserve"> SUMIF(tblGoogleUnits[Products],$A41, tblGoogleUnits[cv_2023]) + SUMIF(tblMetaUnits[Products],$A41, tblMetaUnits[cv_2023]) + SUMIF(tblAmazonUnits[Products],$A41, tblAmazonUnits[cv_2023]) + SUMIF(tblMicrosoftUnits[Products],$A41, tblMicrosoftUnits[cv_2023]) + SUMIF(tblAppleUnits[Products],$A41, tblAppleUnits[cv_2023]) + SUMIF(tblAlibabaUnits[Products],$A41, tblAlibabaUnits[cv_2023]) + SUMIF(tblHuaweiUnits[Products],$A41, tblHuaweiUnits[cv_2023]) + SUMIF(tblTencentUnits[Products],$A41, tblTencentUnits[cv_2023]) + SUMIF(tblBaiduUnits[Products],$A41, tblBaiduUnits[cv_2023]) + SUMIF(tblByteDanceUnits[Products],$A41, tblByteDanceUnits[cv_2023]) + SUMIF(tblCloudAOUnits[Products],$A41, tblCloudAOUnits[cv_2023]) + SUMIF(tblTelecomUnits[Products],$A41, tblTelecomUnits[cv_2023]) + SUMIF(tblEnterpriseUnits[Products],$A41, tblEnterpriseUnits[cv_2023])</f>
        <v>0</v>
      </c>
      <c r="H41" s="8">
        <f xml:space="preserve"> SUMIF(tblGoogleUnits[Products],$A41, tblGoogleUnits[cv_2024]) + SUMIF(tblMetaUnits[Products],$A41, tblMetaUnits[cv_2024]) + SUMIF(tblAmazonUnits[Products],$A41, tblAmazonUnits[cv_2024]) + SUMIF(tblMicrosoftUnits[Products],$A41, tblMicrosoftUnits[cv_2024]) + SUMIF(tblAppleUnits[Products],$A41, tblAppleUnits[cv_2024]) + SUMIF(tblAlibabaUnits[Products],$A41, tblAlibabaUnits[cv_2024]) + SUMIF(tblHuaweiUnits[Products],$A41, tblHuaweiUnits[cv_2024]) + SUMIF(tblTencentUnits[Products],$A41, tblTencentUnits[cv_2024]) + SUMIF(tblBaiduUnits[Products],$A41, tblBaiduUnits[cv_2024]) + SUMIF(tblByteDanceUnits[Products],$A41, tblByteDanceUnits[cv_2024]) + SUMIF(tblCloudAOUnits[Products],$A41, tblCloudAOUnits[cv_2024]) + SUMIF(tblTelecomUnits[Products],$A41, tblTelecomUnits[cv_2024]) + SUMIF(tblEnterpriseUnits[Products],$A41, tblEnterpriseUnits[cv_2024])</f>
        <v>0</v>
      </c>
      <c r="I41" s="8">
        <f xml:space="preserve"> SUMIF(tblGoogleUnits[Products],$A41, tblGoogleUnits[cv_2025]) + SUMIF(tblMetaUnits[Products],$A41, tblMetaUnits[cv_2025]) + SUMIF(tblAmazonUnits[Products],$A41, tblAmazonUnits[cv_2025]) + SUMIF(tblMicrosoftUnits[Products],$A41, tblMicrosoftUnits[cv_2025]) + SUMIF(tblAppleUnits[Products],$A41, tblAppleUnits[cv_2025]) + SUMIF(tblAlibabaUnits[Products],$A41, tblAlibabaUnits[cv_2025]) + SUMIF(tblHuaweiUnits[Products],$A41, tblHuaweiUnits[cv_2025]) + SUMIF(tblTencentUnits[Products],$A41, tblTencentUnits[cv_2025]) + SUMIF(tblBaiduUnits[Products],$A41, tblBaiduUnits[cv_2025]) + SUMIF(tblByteDanceUnits[Products],$A41, tblByteDanceUnits[cv_2025]) + SUMIF(tblCloudAOUnits[Products],$A41, tblCloudAOUnits[cv_2025]) + SUMIF(tblTelecomUnits[Products],$A41, tblTelecomUnits[cv_2025]) + SUMIF(tblEnterpriseUnits[Products],$A41, tblEnterpriseUnits[cv_2025])</f>
        <v>0</v>
      </c>
      <c r="J41" s="8">
        <f xml:space="preserve"> SUMIF(tblGoogleUnits[Products],$A41, tblGoogleUnits[cv_2026]) + SUMIF(tblMetaUnits[Products],$A41, tblMetaUnits[cv_2026]) + SUMIF(tblAmazonUnits[Products],$A41, tblAmazonUnits[cv_2026]) + SUMIF(tblMicrosoftUnits[Products],$A41, tblMicrosoftUnits[cv_2026]) + SUMIF(tblAppleUnits[Products],$A41, tblAppleUnits[cv_2026]) + SUMIF(tblAlibabaUnits[Products],$A41, tblAlibabaUnits[cv_2026]) + SUMIF(tblHuaweiUnits[Products],$A41, tblHuaweiUnits[cv_2026]) + SUMIF(tblTencentUnits[Products],$A41, tblTencentUnits[cv_2026]) + SUMIF(tblBaiduUnits[Products],$A41, tblBaiduUnits[cv_2026]) + SUMIF(tblByteDanceUnits[Products],$A41, tblByteDanceUnits[cv_2026]) + SUMIF(tblCloudAOUnits[Products],$A41, tblCloudAOUnits[cv_2026]) + SUMIF(tblTelecomUnits[Products],$A41, tblTelecomUnits[cv_2026]) + SUMIF(tblEnterpriseUnits[Products],$A41, tblEnterpriseUnits[cv_2026])</f>
        <v>0</v>
      </c>
      <c r="K41" s="8">
        <f xml:space="preserve"> SUMIF(tblGoogleUnits[Products],$A41, tblGoogleUnits[cv_2027]) + SUMIF(tblMetaUnits[Products],$A41, tblMetaUnits[cv_2027]) + SUMIF(tblAmazonUnits[Products],$A41, tblAmazonUnits[cv_2027]) + SUMIF(tblMicrosoftUnits[Products],$A41, tblMicrosoftUnits[cv_2027]) + SUMIF(tblAppleUnits[Products],$A41, tblAppleUnits[cv_2027]) + SUMIF(tblAlibabaUnits[Products],$A41, tblAlibabaUnits[cv_2027]) + SUMIF(tblHuaweiUnits[Products],$A41, tblHuaweiUnits[cv_2027]) + SUMIF(tblTencentUnits[Products],$A41, tblTencentUnits[cv_2027]) + SUMIF(tblBaiduUnits[Products],$A41, tblBaiduUnits[cv_2027]) + SUMIF(tblByteDanceUnits[Products],$A41, tblByteDanceUnits[cv_2027]) + SUMIF(tblCloudAOUnits[Products],$A41, tblCloudAOUnits[cv_2027]) + SUMIF(tblTelecomUnits[Products],$A41, tblTelecomUnits[cv_2027]) + SUMIF(tblEnterpriseUnits[Products],$A41, tblEnterpriseUnits[cv_2027])</f>
        <v>0</v>
      </c>
      <c r="L41" s="8">
        <f xml:space="preserve"> SUMIF(tblGoogleUnits[Products],$A41, tblGoogleUnits[cv_2028]) + SUMIF(tblMetaUnits[Products],$A41, tblMetaUnits[cv_2028]) + SUMIF(tblAmazonUnits[Products],$A41, tblAmazonUnits[cv_2028]) + SUMIF(tblMicrosoftUnits[Products],$A41, tblMicrosoftUnits[cv_2028]) + SUMIF(tblAppleUnits[Products],$A41, tblAppleUnits[cv_2028]) + SUMIF(tblAlibabaUnits[Products],$A41, tblAlibabaUnits[cv_2028]) + SUMIF(tblHuaweiUnits[Products],$A41, tblHuaweiUnits[cv_2028]) + SUMIF(tblTencentUnits[Products],$A41, tblTencentUnits[cv_2028]) + SUMIF(tblBaiduUnits[Products],$A41, tblBaiduUnits[cv_2028]) + SUMIF(tblByteDanceUnits[Products],$A41, tblByteDanceUnits[cv_2028]) + SUMIF(tblCloudAOUnits[Products],$A41, tblCloudAOUnits[cv_2028]) + SUMIF(tblTelecomUnits[Products],$A41, tblTelecomUnits[cv_2028]) + SUMIF(tblEnterpriseUnits[Products],$A41, tblEnterpriseUnits[cv_2028])</f>
        <v>0</v>
      </c>
      <c r="M41" s="105" cm="1">
        <f t="array" ref="M41">INDEX(tblPrices[cv_2018], MATCH($A41,tblPrices[Products],0), 0)</f>
        <v>87.296721341283785</v>
      </c>
      <c r="N41" s="105" cm="1">
        <f t="array" ref="N41">INDEX(tblPrices[cv_2019], MATCH($A41,tblPrices[Products],0), 0)</f>
        <v>64.310689641111139</v>
      </c>
      <c r="O41" s="105" cm="1">
        <f t="array" ref="O41">INDEX(tblPrices[cv_2020], MATCH($A41,tblPrices[Products],0), 0)</f>
        <v>0</v>
      </c>
      <c r="P41" s="105" cm="1">
        <f t="array" ref="P41">INDEX(tblPrices[cv_2021], MATCH($A41,tblPrices[Products],0), 0)</f>
        <v>0</v>
      </c>
      <c r="Q41" s="105" cm="1">
        <f t="array" ref="Q41">INDEX(tblPrices[cv_2022], MATCH($A41,tblPrices[Products],0), 0)</f>
        <v>0</v>
      </c>
      <c r="R41" s="105" cm="1">
        <f t="array" ref="R41">INDEX(tblPrices[cv_2023], MATCH($A41,tblPrices[Products],0), 0)</f>
        <v>0</v>
      </c>
      <c r="S41" s="105" cm="1">
        <f t="array" ref="S41">INDEX(tblPrices[cv_2024], MATCH($A41,tblPrices[Products],0), 0)</f>
        <v>0</v>
      </c>
      <c r="T41" s="105" cm="1">
        <f t="array" ref="T41">INDEX(tblPrices[cv_2025], MATCH($A41,tblPrices[Products],0), 0)</f>
        <v>0</v>
      </c>
      <c r="U41" s="105" cm="1">
        <f t="array" ref="U41">INDEX(tblPrices[cv_2026], MATCH($A41,tblPrices[Products],0), 0)</f>
        <v>0</v>
      </c>
      <c r="V41" s="105" cm="1">
        <f t="array" ref="V41">INDEX(tblPrices[cv_2027], MATCH($A41,tblPrices[Products],0), 0)</f>
        <v>0</v>
      </c>
      <c r="W41" s="105" cm="1">
        <f t="array" ref="W41">INDEX(tblPrices[cv_2028], MATCH($A41,tblPrices[Products],0), 0)</f>
        <v>0</v>
      </c>
      <c r="X41" s="106" cm="1">
        <f t="array" ref="X41">INDEX(tblPrices[cv_2018], MATCH($A41,tblPrices[Products],0), 0)* tblForecast[[#This Row],[un_2018]]/10^6</f>
        <v>27.845733580000022</v>
      </c>
      <c r="Y41" s="106" cm="1">
        <f t="array" ref="Y41">INDEX(tblPrices[cv_2019], MATCH($A41,tblPrices[Products],0), 0)* tblForecast[[#This Row],[un_2019]]/10^6</f>
        <v>42.58184399999999</v>
      </c>
      <c r="Z41" s="106" cm="1">
        <f t="array" ref="Z41">INDEX(tblPrices[cv_2020], MATCH($A41,tblPrices[Products],0), 0)* tblForecast[[#This Row],[un_2020]]/10^6</f>
        <v>0</v>
      </c>
      <c r="AA41" s="106" cm="1">
        <f t="array" ref="AA41">INDEX(tblPrices[cv_2021], MATCH($A41,tblPrices[Products],0), 0)* tblForecast[[#This Row],[un_2021]]/10^6</f>
        <v>0</v>
      </c>
      <c r="AB41" s="106" cm="1">
        <f t="array" ref="AB41">INDEX(tblPrices[cv_2022], MATCH($A41,tblPrices[Products],0), 0)* tblForecast[[#This Row],[un_2022]]/10^6</f>
        <v>0</v>
      </c>
      <c r="AC41" s="106" cm="1">
        <f t="array" ref="AC41">INDEX(tblPrices[cv_2023], MATCH($A41,tblPrices[Products],0), 0)* tblForecast[[#This Row],[un_2023]]/10^6</f>
        <v>0</v>
      </c>
      <c r="AD41" s="106" cm="1">
        <f t="array" ref="AD41">INDEX(tblPrices[cv_2024], MATCH($A41,tblPrices[Products],0), 0)* tblForecast[[#This Row],[un_2024]]/10^6</f>
        <v>0</v>
      </c>
      <c r="AE41" s="106" cm="1">
        <f t="array" ref="AE41">INDEX(tblPrices[cv_2025], MATCH($A41,tblPrices[Products],0), 0)* tblForecast[[#This Row],[un_2025]]/10^6</f>
        <v>0</v>
      </c>
      <c r="AF41" s="106" cm="1">
        <f t="array" ref="AF41">INDEX(tblPrices[cv_2026], MATCH($A41,tblPrices[Products],0), 0)* tblForecast[[#This Row],[un_2026]]/10^6</f>
        <v>0</v>
      </c>
      <c r="AG41" s="106" cm="1">
        <f t="array" ref="AG41">INDEX(tblPrices[cv_2027], MATCH($A41,tblPrices[Products],0), 0)* tblForecast[[#This Row],[un_2027]]/10^6</f>
        <v>0</v>
      </c>
      <c r="AH41" s="106" cm="1">
        <f t="array" ref="AH41">INDEX(tblPrices[cv_2028], MATCH($A41,tblPrices[Products],0), 0)* tblForecast[[#This Row],[un_2028]]/10^6</f>
        <v>0</v>
      </c>
      <c r="AI41" s="60">
        <f>VLOOKUP(A41,Products!$A$11:$F$110,6,FALSE)</f>
        <v>25</v>
      </c>
    </row>
    <row r="42" spans="1:35">
      <c r="A42" s="12" t="s">
        <v>165</v>
      </c>
      <c r="B42" s="8">
        <f xml:space="preserve"> SUMIF(tblGoogleUnits[Products],$A42, tblGoogleUnits[cv_2018]) + SUMIF(tblMetaUnits[Products],$A42, tblMetaUnits[cv_2018]) + SUMIF(tblAmazonUnits[Products],$A42, tblAmazonUnits[cv_2018]) + SUMIF(tblMicrosoftUnits[Products],$A42, tblMicrosoftUnits[cv_2018]) + SUMIF(tblAppleUnits[Products],$A42, tblAppleUnits[cv_2018]) + SUMIF(tblAlibabaUnits[Products],$A42, tblAlibabaUnits[cv_2018]) + SUMIF(tblHuaweiUnits[Products],$A42, tblHuaweiUnits[cv_2018]) + SUMIF(tblTencentUnits[Products],$A42, tblTencentUnits[cv_2018]) + SUMIF(tblBaiduUnits[Products],$A42, tblBaiduUnits[cv_2018]) + SUMIF(tblByteDanceUnits[Products],$A42, tblByteDanceUnits[cv_2018]) + SUMIF(tblCloudAOUnits[Products],$A42, tblCloudAOUnits[cv_2018]) + SUMIF(tblTelecomUnits[Products],$A42, tblTelecomUnits[cv_2018]) + SUMIF(tblEnterpriseUnits[Products],$A42, tblEnterpriseUnits[cv_2018])</f>
        <v>56709</v>
      </c>
      <c r="C42" s="8">
        <f xml:space="preserve"> SUMIF(tblGoogleUnits[Products],$A42, tblGoogleUnits[cv_2019]) + SUMIF(tblMetaUnits[Products],$A42, tblMetaUnits[cv_2019]) + SUMIF(tblAmazonUnits[Products],$A42, tblAmazonUnits[cv_2019]) + SUMIF(tblMicrosoftUnits[Products],$A42, tblMicrosoftUnits[cv_2019]) + SUMIF(tblAppleUnits[Products],$A42, tblAppleUnits[cv_2019]) + SUMIF(tblAlibabaUnits[Products],$A42, tblAlibabaUnits[cv_2019]) + SUMIF(tblHuaweiUnits[Products],$A42, tblHuaweiUnits[cv_2019]) + SUMIF(tblTencentUnits[Products],$A42, tblTencentUnits[cv_2019]) + SUMIF(tblBaiduUnits[Products],$A42, tblBaiduUnits[cv_2019]) + SUMIF(tblByteDanceUnits[Products],$A42, tblByteDanceUnits[cv_2019]) + SUMIF(tblCloudAOUnits[Products],$A42, tblCloudAOUnits[cv_2019]) + SUMIF(tblTelecomUnits[Products],$A42, tblTelecomUnits[cv_2019]) + SUMIF(tblEnterpriseUnits[Products],$A42, tblEnterpriseUnits[cv_2019])</f>
        <v>66057</v>
      </c>
      <c r="D42" s="8">
        <f xml:space="preserve"> SUMIF(tblGoogleUnits[Products],$A42, tblGoogleUnits[cv_2020]) + SUMIF(tblMetaUnits[Products],$A42, tblMetaUnits[cv_2020]) + SUMIF(tblAmazonUnits[Products],$A42, tblAmazonUnits[cv_2020]) + SUMIF(tblMicrosoftUnits[Products],$A42, tblMicrosoftUnits[cv_2020]) + SUMIF(tblAppleUnits[Products],$A42, tblAppleUnits[cv_2020]) + SUMIF(tblAlibabaUnits[Products],$A42, tblAlibabaUnits[cv_2020]) + SUMIF(tblHuaweiUnits[Products],$A42, tblHuaweiUnits[cv_2020]) + SUMIF(tblTencentUnits[Products],$A42, tblTencentUnits[cv_2020]) + SUMIF(tblBaiduUnits[Products],$A42, tblBaiduUnits[cv_2020]) + SUMIF(tblByteDanceUnits[Products],$A42, tblByteDanceUnits[cv_2020]) + SUMIF(tblCloudAOUnits[Products],$A42, tblCloudAOUnits[cv_2020]) + SUMIF(tblTelecomUnits[Products],$A42, tblTelecomUnits[cv_2020]) + SUMIF(tblEnterpriseUnits[Products],$A42, tblEnterpriseUnits[cv_2020])</f>
        <v>0</v>
      </c>
      <c r="E42" s="8">
        <f xml:space="preserve"> SUMIF(tblGoogleUnits[Products],$A42, tblGoogleUnits[cv_2021]) + SUMIF(tblMetaUnits[Products],$A42, tblMetaUnits[cv_2021]) + SUMIF(tblAmazonUnits[Products],$A42, tblAmazonUnits[cv_2021]) + SUMIF(tblMicrosoftUnits[Products],$A42, tblMicrosoftUnits[cv_2021]) + SUMIF(tblAppleUnits[Products],$A42, tblAppleUnits[cv_2021]) + SUMIF(tblAlibabaUnits[Products],$A42, tblAlibabaUnits[cv_2021]) + SUMIF(tblHuaweiUnits[Products],$A42, tblHuaweiUnits[cv_2021]) + SUMIF(tblTencentUnits[Products],$A42, tblTencentUnits[cv_2021]) + SUMIF(tblBaiduUnits[Products],$A42, tblBaiduUnits[cv_2021]) + SUMIF(tblByteDanceUnits[Products],$A42, tblByteDanceUnits[cv_2021]) + SUMIF(tblCloudAOUnits[Products],$A42, tblCloudAOUnits[cv_2021]) + SUMIF(tblTelecomUnits[Products],$A42, tblTelecomUnits[cv_2021]) + SUMIF(tblEnterpriseUnits[Products],$A42, tblEnterpriseUnits[cv_2021])</f>
        <v>0</v>
      </c>
      <c r="F42" s="8">
        <f xml:space="preserve"> SUMIF(tblGoogleUnits[Products],$A42, tblGoogleUnits[cv_2022]) + SUMIF(tblMetaUnits[Products],$A42, tblMetaUnits[cv_2022]) + SUMIF(tblAmazonUnits[Products],$A42, tblAmazonUnits[cv_2022]) + SUMIF(tblMicrosoftUnits[Products],$A42, tblMicrosoftUnits[cv_2022]) + SUMIF(tblAppleUnits[Products],$A42, tblAppleUnits[cv_2022]) + SUMIF(tblAlibabaUnits[Products],$A42, tblAlibabaUnits[cv_2022]) + SUMIF(tblHuaweiUnits[Products],$A42, tblHuaweiUnits[cv_2022]) + SUMIF(tblTencentUnits[Products],$A42, tblTencentUnits[cv_2022]) + SUMIF(tblBaiduUnits[Products],$A42, tblBaiduUnits[cv_2022]) + SUMIF(tblByteDanceUnits[Products],$A42, tblByteDanceUnits[cv_2022]) + SUMIF(tblCloudAOUnits[Products],$A42, tblCloudAOUnits[cv_2022]) + SUMIF(tblTelecomUnits[Products],$A42, tblTelecomUnits[cv_2022]) + SUMIF(tblEnterpriseUnits[Products],$A42, tblEnterpriseUnits[cv_2022])</f>
        <v>0</v>
      </c>
      <c r="G42" s="8">
        <f xml:space="preserve"> SUMIF(tblGoogleUnits[Products],$A42, tblGoogleUnits[cv_2023]) + SUMIF(tblMetaUnits[Products],$A42, tblMetaUnits[cv_2023]) + SUMIF(tblAmazonUnits[Products],$A42, tblAmazonUnits[cv_2023]) + SUMIF(tblMicrosoftUnits[Products],$A42, tblMicrosoftUnits[cv_2023]) + SUMIF(tblAppleUnits[Products],$A42, tblAppleUnits[cv_2023]) + SUMIF(tblAlibabaUnits[Products],$A42, tblAlibabaUnits[cv_2023]) + SUMIF(tblHuaweiUnits[Products],$A42, tblHuaweiUnits[cv_2023]) + SUMIF(tblTencentUnits[Products],$A42, tblTencentUnits[cv_2023]) + SUMIF(tblBaiduUnits[Products],$A42, tblBaiduUnits[cv_2023]) + SUMIF(tblByteDanceUnits[Products],$A42, tblByteDanceUnits[cv_2023]) + SUMIF(tblCloudAOUnits[Products],$A42, tblCloudAOUnits[cv_2023]) + SUMIF(tblTelecomUnits[Products],$A42, tblTelecomUnits[cv_2023]) + SUMIF(tblEnterpriseUnits[Products],$A42, tblEnterpriseUnits[cv_2023])</f>
        <v>0</v>
      </c>
      <c r="H42" s="8">
        <f xml:space="preserve"> SUMIF(tblGoogleUnits[Products],$A42, tblGoogleUnits[cv_2024]) + SUMIF(tblMetaUnits[Products],$A42, tblMetaUnits[cv_2024]) + SUMIF(tblAmazonUnits[Products],$A42, tblAmazonUnits[cv_2024]) + SUMIF(tblMicrosoftUnits[Products],$A42, tblMicrosoftUnits[cv_2024]) + SUMIF(tblAppleUnits[Products],$A42, tblAppleUnits[cv_2024]) + SUMIF(tblAlibabaUnits[Products],$A42, tblAlibabaUnits[cv_2024]) + SUMIF(tblHuaweiUnits[Products],$A42, tblHuaweiUnits[cv_2024]) + SUMIF(tblTencentUnits[Products],$A42, tblTencentUnits[cv_2024]) + SUMIF(tblBaiduUnits[Products],$A42, tblBaiduUnits[cv_2024]) + SUMIF(tblByteDanceUnits[Products],$A42, tblByteDanceUnits[cv_2024]) + SUMIF(tblCloudAOUnits[Products],$A42, tblCloudAOUnits[cv_2024]) + SUMIF(tblTelecomUnits[Products],$A42, tblTelecomUnits[cv_2024]) + SUMIF(tblEnterpriseUnits[Products],$A42, tblEnterpriseUnits[cv_2024])</f>
        <v>0</v>
      </c>
      <c r="I42" s="8">
        <f xml:space="preserve"> SUMIF(tblGoogleUnits[Products],$A42, tblGoogleUnits[cv_2025]) + SUMIF(tblMetaUnits[Products],$A42, tblMetaUnits[cv_2025]) + SUMIF(tblAmazonUnits[Products],$A42, tblAmazonUnits[cv_2025]) + SUMIF(tblMicrosoftUnits[Products],$A42, tblMicrosoftUnits[cv_2025]) + SUMIF(tblAppleUnits[Products],$A42, tblAppleUnits[cv_2025]) + SUMIF(tblAlibabaUnits[Products],$A42, tblAlibabaUnits[cv_2025]) + SUMIF(tblHuaweiUnits[Products],$A42, tblHuaweiUnits[cv_2025]) + SUMIF(tblTencentUnits[Products],$A42, tblTencentUnits[cv_2025]) + SUMIF(tblBaiduUnits[Products],$A42, tblBaiduUnits[cv_2025]) + SUMIF(tblByteDanceUnits[Products],$A42, tblByteDanceUnits[cv_2025]) + SUMIF(tblCloudAOUnits[Products],$A42, tblCloudAOUnits[cv_2025]) + SUMIF(tblTelecomUnits[Products],$A42, tblTelecomUnits[cv_2025]) + SUMIF(tblEnterpriseUnits[Products],$A42, tblEnterpriseUnits[cv_2025])</f>
        <v>0</v>
      </c>
      <c r="J42" s="8">
        <f xml:space="preserve"> SUMIF(tblGoogleUnits[Products],$A42, tblGoogleUnits[cv_2026]) + SUMIF(tblMetaUnits[Products],$A42, tblMetaUnits[cv_2026]) + SUMIF(tblAmazonUnits[Products],$A42, tblAmazonUnits[cv_2026]) + SUMIF(tblMicrosoftUnits[Products],$A42, tblMicrosoftUnits[cv_2026]) + SUMIF(tblAppleUnits[Products],$A42, tblAppleUnits[cv_2026]) + SUMIF(tblAlibabaUnits[Products],$A42, tblAlibabaUnits[cv_2026]) + SUMIF(tblHuaweiUnits[Products],$A42, tblHuaweiUnits[cv_2026]) + SUMIF(tblTencentUnits[Products],$A42, tblTencentUnits[cv_2026]) + SUMIF(tblBaiduUnits[Products],$A42, tblBaiduUnits[cv_2026]) + SUMIF(tblByteDanceUnits[Products],$A42, tblByteDanceUnits[cv_2026]) + SUMIF(tblCloudAOUnits[Products],$A42, tblCloudAOUnits[cv_2026]) + SUMIF(tblTelecomUnits[Products],$A42, tblTelecomUnits[cv_2026]) + SUMIF(tblEnterpriseUnits[Products],$A42, tblEnterpriseUnits[cv_2026])</f>
        <v>0</v>
      </c>
      <c r="K42" s="8">
        <f xml:space="preserve"> SUMIF(tblGoogleUnits[Products],$A42, tblGoogleUnits[cv_2027]) + SUMIF(tblMetaUnits[Products],$A42, tblMetaUnits[cv_2027]) + SUMIF(tblAmazonUnits[Products],$A42, tblAmazonUnits[cv_2027]) + SUMIF(tblMicrosoftUnits[Products],$A42, tblMicrosoftUnits[cv_2027]) + SUMIF(tblAppleUnits[Products],$A42, tblAppleUnits[cv_2027]) + SUMIF(tblAlibabaUnits[Products],$A42, tblAlibabaUnits[cv_2027]) + SUMIF(tblHuaweiUnits[Products],$A42, tblHuaweiUnits[cv_2027]) + SUMIF(tblTencentUnits[Products],$A42, tblTencentUnits[cv_2027]) + SUMIF(tblBaiduUnits[Products],$A42, tblBaiduUnits[cv_2027]) + SUMIF(tblByteDanceUnits[Products],$A42, tblByteDanceUnits[cv_2027]) + SUMIF(tblCloudAOUnits[Products],$A42, tblCloudAOUnits[cv_2027]) + SUMIF(tblTelecomUnits[Products],$A42, tblTelecomUnits[cv_2027]) + SUMIF(tblEnterpriseUnits[Products],$A42, tblEnterpriseUnits[cv_2027])</f>
        <v>0</v>
      </c>
      <c r="L42" s="8">
        <f xml:space="preserve"> SUMIF(tblGoogleUnits[Products],$A42, tblGoogleUnits[cv_2028]) + SUMIF(tblMetaUnits[Products],$A42, tblMetaUnits[cv_2028]) + SUMIF(tblAmazonUnits[Products],$A42, tblAmazonUnits[cv_2028]) + SUMIF(tblMicrosoftUnits[Products],$A42, tblMicrosoftUnits[cv_2028]) + SUMIF(tblAppleUnits[Products],$A42, tblAppleUnits[cv_2028]) + SUMIF(tblAlibabaUnits[Products],$A42, tblAlibabaUnits[cv_2028]) + SUMIF(tblHuaweiUnits[Products],$A42, tblHuaweiUnits[cv_2028]) + SUMIF(tblTencentUnits[Products],$A42, tblTencentUnits[cv_2028]) + SUMIF(tblBaiduUnits[Products],$A42, tblBaiduUnits[cv_2028]) + SUMIF(tblByteDanceUnits[Products],$A42, tblByteDanceUnits[cv_2028]) + SUMIF(tblCloudAOUnits[Products],$A42, tblCloudAOUnits[cv_2028]) + SUMIF(tblTelecomUnits[Products],$A42, tblTelecomUnits[cv_2028]) + SUMIF(tblEnterpriseUnits[Products],$A42, tblEnterpriseUnits[cv_2028])</f>
        <v>0</v>
      </c>
      <c r="M42" s="105" cm="1">
        <f t="array" ref="M42">INDEX(tblPrices[cv_2018], MATCH($A42,tblPrices[Products],0), 0)</f>
        <v>194.62477807755377</v>
      </c>
      <c r="N42" s="105" cm="1">
        <f t="array" ref="N42">INDEX(tblPrices[cv_2019], MATCH($A42,tblPrices[Products],0), 0)</f>
        <v>117.28240761766357</v>
      </c>
      <c r="O42" s="105" cm="1">
        <f t="array" ref="O42">INDEX(tblPrices[cv_2020], MATCH($A42,tblPrices[Products],0), 0)</f>
        <v>0</v>
      </c>
      <c r="P42" s="105" cm="1">
        <f t="array" ref="P42">INDEX(tblPrices[cv_2021], MATCH($A42,tblPrices[Products],0), 0)</f>
        <v>0</v>
      </c>
      <c r="Q42" s="105" cm="1">
        <f t="array" ref="Q42">INDEX(tblPrices[cv_2022], MATCH($A42,tblPrices[Products],0), 0)</f>
        <v>0</v>
      </c>
      <c r="R42" s="105" cm="1">
        <f t="array" ref="R42">INDEX(tblPrices[cv_2023], MATCH($A42,tblPrices[Products],0), 0)</f>
        <v>0</v>
      </c>
      <c r="S42" s="105" cm="1">
        <f t="array" ref="S42">INDEX(tblPrices[cv_2024], MATCH($A42,tblPrices[Products],0), 0)</f>
        <v>0</v>
      </c>
      <c r="T42" s="105" cm="1">
        <f t="array" ref="T42">INDEX(tblPrices[cv_2025], MATCH($A42,tblPrices[Products],0), 0)</f>
        <v>0</v>
      </c>
      <c r="U42" s="105" cm="1">
        <f t="array" ref="U42">INDEX(tblPrices[cv_2026], MATCH($A42,tblPrices[Products],0), 0)</f>
        <v>0</v>
      </c>
      <c r="V42" s="105" cm="1">
        <f t="array" ref="V42">INDEX(tblPrices[cv_2027], MATCH($A42,tblPrices[Products],0), 0)</f>
        <v>0</v>
      </c>
      <c r="W42" s="105" cm="1">
        <f t="array" ref="W42">INDEX(tblPrices[cv_2028], MATCH($A42,tblPrices[Products],0), 0)</f>
        <v>0</v>
      </c>
      <c r="X42" s="106" cm="1">
        <f t="array" ref="X42">INDEX(tblPrices[cv_2018], MATCH($A42,tblPrices[Products],0), 0)* tblForecast[[#This Row],[un_2018]]/10^6</f>
        <v>11.036976539999998</v>
      </c>
      <c r="Y42" s="106" cm="1">
        <f t="array" ref="Y42">INDEX(tblPrices[cv_2019], MATCH($A42,tblPrices[Products],0), 0)* tblForecast[[#This Row],[un_2019]]/10^6</f>
        <v>7.7473240000000017</v>
      </c>
      <c r="Z42" s="106" cm="1">
        <f t="array" ref="Z42">INDEX(tblPrices[cv_2020], MATCH($A42,tblPrices[Products],0), 0)* tblForecast[[#This Row],[un_2020]]/10^6</f>
        <v>0</v>
      </c>
      <c r="AA42" s="106" cm="1">
        <f t="array" ref="AA42">INDEX(tblPrices[cv_2021], MATCH($A42,tblPrices[Products],0), 0)* tblForecast[[#This Row],[un_2021]]/10^6</f>
        <v>0</v>
      </c>
      <c r="AB42" s="106" cm="1">
        <f t="array" ref="AB42">INDEX(tblPrices[cv_2022], MATCH($A42,tblPrices[Products],0), 0)* tblForecast[[#This Row],[un_2022]]/10^6</f>
        <v>0</v>
      </c>
      <c r="AC42" s="106" cm="1">
        <f t="array" ref="AC42">INDEX(tblPrices[cv_2023], MATCH($A42,tblPrices[Products],0), 0)* tblForecast[[#This Row],[un_2023]]/10^6</f>
        <v>0</v>
      </c>
      <c r="AD42" s="106" cm="1">
        <f t="array" ref="AD42">INDEX(tblPrices[cv_2024], MATCH($A42,tblPrices[Products],0), 0)* tblForecast[[#This Row],[un_2024]]/10^6</f>
        <v>0</v>
      </c>
      <c r="AE42" s="106" cm="1">
        <f t="array" ref="AE42">INDEX(tblPrices[cv_2025], MATCH($A42,tblPrices[Products],0), 0)* tblForecast[[#This Row],[un_2025]]/10^6</f>
        <v>0</v>
      </c>
      <c r="AF42" s="106" cm="1">
        <f t="array" ref="AF42">INDEX(tblPrices[cv_2026], MATCH($A42,tblPrices[Products],0), 0)* tblForecast[[#This Row],[un_2026]]/10^6</f>
        <v>0</v>
      </c>
      <c r="AG42" s="106" cm="1">
        <f t="array" ref="AG42">INDEX(tblPrices[cv_2027], MATCH($A42,tblPrices[Products],0), 0)* tblForecast[[#This Row],[un_2027]]/10^6</f>
        <v>0</v>
      </c>
      <c r="AH42" s="106" cm="1">
        <f t="array" ref="AH42">INDEX(tblPrices[cv_2028], MATCH($A42,tblPrices[Products],0), 0)* tblForecast[[#This Row],[un_2028]]/10^6</f>
        <v>0</v>
      </c>
      <c r="AI42" s="60">
        <f>VLOOKUP(A42,Products!$A$11:$F$110,6,FALSE)</f>
        <v>25</v>
      </c>
    </row>
    <row r="43" spans="1:35">
      <c r="A43" s="12" t="s">
        <v>166</v>
      </c>
      <c r="B43" s="8">
        <f xml:space="preserve"> SUMIF(tblGoogleUnits[Products],$A43, tblGoogleUnits[cv_2018]) + SUMIF(tblMetaUnits[Products],$A43, tblMetaUnits[cv_2018]) + SUMIF(tblAmazonUnits[Products],$A43, tblAmazonUnits[cv_2018]) + SUMIF(tblMicrosoftUnits[Products],$A43, tblMicrosoftUnits[cv_2018]) + SUMIF(tblAppleUnits[Products],$A43, tblAppleUnits[cv_2018]) + SUMIF(tblAlibabaUnits[Products],$A43, tblAlibabaUnits[cv_2018]) + SUMIF(tblHuaweiUnits[Products],$A43, tblHuaweiUnits[cv_2018]) + SUMIF(tblTencentUnits[Products],$A43, tblTencentUnits[cv_2018]) + SUMIF(tblBaiduUnits[Products],$A43, tblBaiduUnits[cv_2018]) + SUMIF(tblByteDanceUnits[Products],$A43, tblByteDanceUnits[cv_2018]) + SUMIF(tblCloudAOUnits[Products],$A43, tblCloudAOUnits[cv_2018]) + SUMIF(tblTelecomUnits[Products],$A43, tblTelecomUnits[cv_2018]) + SUMIF(tblEnterpriseUnits[Products],$A43, tblEnterpriseUnits[cv_2018])</f>
        <v>0</v>
      </c>
      <c r="C43" s="8">
        <f xml:space="preserve"> SUMIF(tblGoogleUnits[Products],$A43, tblGoogleUnits[cv_2019]) + SUMIF(tblMetaUnits[Products],$A43, tblMetaUnits[cv_2019]) + SUMIF(tblAmazonUnits[Products],$A43, tblAmazonUnits[cv_2019]) + SUMIF(tblMicrosoftUnits[Products],$A43, tblMicrosoftUnits[cv_2019]) + SUMIF(tblAppleUnits[Products],$A43, tblAppleUnits[cv_2019]) + SUMIF(tblAlibabaUnits[Products],$A43, tblAlibabaUnits[cv_2019]) + SUMIF(tblHuaweiUnits[Products],$A43, tblHuaweiUnits[cv_2019]) + SUMIF(tblTencentUnits[Products],$A43, tblTencentUnits[cv_2019]) + SUMIF(tblBaiduUnits[Products],$A43, tblBaiduUnits[cv_2019]) + SUMIF(tblByteDanceUnits[Products],$A43, tblByteDanceUnits[cv_2019]) + SUMIF(tblCloudAOUnits[Products],$A43, tblCloudAOUnits[cv_2019]) + SUMIF(tblTelecomUnits[Products],$A43, tblTelecomUnits[cv_2019]) + SUMIF(tblEnterpriseUnits[Products],$A43, tblEnterpriseUnits[cv_2019])</f>
        <v>0</v>
      </c>
      <c r="D43" s="8">
        <f xml:space="preserve"> SUMIF(tblGoogleUnits[Products],$A43, tblGoogleUnits[cv_2020]) + SUMIF(tblMetaUnits[Products],$A43, tblMetaUnits[cv_2020]) + SUMIF(tblAmazonUnits[Products],$A43, tblAmazonUnits[cv_2020]) + SUMIF(tblMicrosoftUnits[Products],$A43, tblMicrosoftUnits[cv_2020]) + SUMIF(tblAppleUnits[Products],$A43, tblAppleUnits[cv_2020]) + SUMIF(tblAlibabaUnits[Products],$A43, tblAlibabaUnits[cv_2020]) + SUMIF(tblHuaweiUnits[Products],$A43, tblHuaweiUnits[cv_2020]) + SUMIF(tblTencentUnits[Products],$A43, tblTencentUnits[cv_2020]) + SUMIF(tblBaiduUnits[Products],$A43, tblBaiduUnits[cv_2020]) + SUMIF(tblByteDanceUnits[Products],$A43, tblByteDanceUnits[cv_2020]) + SUMIF(tblCloudAOUnits[Products],$A43, tblCloudAOUnits[cv_2020]) + SUMIF(tblTelecomUnits[Products],$A43, tblTelecomUnits[cv_2020]) + SUMIF(tblEnterpriseUnits[Products],$A43, tblEnterpriseUnits[cv_2020])</f>
        <v>0</v>
      </c>
      <c r="E43" s="8">
        <f xml:space="preserve"> SUMIF(tblGoogleUnits[Products],$A43, tblGoogleUnits[cv_2021]) + SUMIF(tblMetaUnits[Products],$A43, tblMetaUnits[cv_2021]) + SUMIF(tblAmazonUnits[Products],$A43, tblAmazonUnits[cv_2021]) + SUMIF(tblMicrosoftUnits[Products],$A43, tblMicrosoftUnits[cv_2021]) + SUMIF(tblAppleUnits[Products],$A43, tblAppleUnits[cv_2021]) + SUMIF(tblAlibabaUnits[Products],$A43, tblAlibabaUnits[cv_2021]) + SUMIF(tblHuaweiUnits[Products],$A43, tblHuaweiUnits[cv_2021]) + SUMIF(tblTencentUnits[Products],$A43, tblTencentUnits[cv_2021]) + SUMIF(tblBaiduUnits[Products],$A43, tblBaiduUnits[cv_2021]) + SUMIF(tblByteDanceUnits[Products],$A43, tblByteDanceUnits[cv_2021]) + SUMIF(tblCloudAOUnits[Products],$A43, tblCloudAOUnits[cv_2021]) + SUMIF(tblTelecomUnits[Products],$A43, tblTelecomUnits[cv_2021]) + SUMIF(tblEnterpriseUnits[Products],$A43, tblEnterpriseUnits[cv_2021])</f>
        <v>0</v>
      </c>
      <c r="F43" s="8">
        <f xml:space="preserve"> SUMIF(tblGoogleUnits[Products],$A43, tblGoogleUnits[cv_2022]) + SUMIF(tblMetaUnits[Products],$A43, tblMetaUnits[cv_2022]) + SUMIF(tblAmazonUnits[Products],$A43, tblAmazonUnits[cv_2022]) + SUMIF(tblMicrosoftUnits[Products],$A43, tblMicrosoftUnits[cv_2022]) + SUMIF(tblAppleUnits[Products],$A43, tblAppleUnits[cv_2022]) + SUMIF(tblAlibabaUnits[Products],$A43, tblAlibabaUnits[cv_2022]) + SUMIF(tblHuaweiUnits[Products],$A43, tblHuaweiUnits[cv_2022]) + SUMIF(tblTencentUnits[Products],$A43, tblTencentUnits[cv_2022]) + SUMIF(tblBaiduUnits[Products],$A43, tblBaiduUnits[cv_2022]) + SUMIF(tblByteDanceUnits[Products],$A43, tblByteDanceUnits[cv_2022]) + SUMIF(tblCloudAOUnits[Products],$A43, tblCloudAOUnits[cv_2022]) + SUMIF(tblTelecomUnits[Products],$A43, tblTelecomUnits[cv_2022]) + SUMIF(tblEnterpriseUnits[Products],$A43, tblEnterpriseUnits[cv_2022])</f>
        <v>0</v>
      </c>
      <c r="G43" s="8">
        <f xml:space="preserve"> SUMIF(tblGoogleUnits[Products],$A43, tblGoogleUnits[cv_2023]) + SUMIF(tblMetaUnits[Products],$A43, tblMetaUnits[cv_2023]) + SUMIF(tblAmazonUnits[Products],$A43, tblAmazonUnits[cv_2023]) + SUMIF(tblMicrosoftUnits[Products],$A43, tblMicrosoftUnits[cv_2023]) + SUMIF(tblAppleUnits[Products],$A43, tblAppleUnits[cv_2023]) + SUMIF(tblAlibabaUnits[Products],$A43, tblAlibabaUnits[cv_2023]) + SUMIF(tblHuaweiUnits[Products],$A43, tblHuaweiUnits[cv_2023]) + SUMIF(tblTencentUnits[Products],$A43, tblTencentUnits[cv_2023]) + SUMIF(tblBaiduUnits[Products],$A43, tblBaiduUnits[cv_2023]) + SUMIF(tblByteDanceUnits[Products],$A43, tblByteDanceUnits[cv_2023]) + SUMIF(tblCloudAOUnits[Products],$A43, tblCloudAOUnits[cv_2023]) + SUMIF(tblTelecomUnits[Products],$A43, tblTelecomUnits[cv_2023]) + SUMIF(tblEnterpriseUnits[Products],$A43, tblEnterpriseUnits[cv_2023])</f>
        <v>0</v>
      </c>
      <c r="H43" s="8">
        <f xml:space="preserve"> SUMIF(tblGoogleUnits[Products],$A43, tblGoogleUnits[cv_2024]) + SUMIF(tblMetaUnits[Products],$A43, tblMetaUnits[cv_2024]) + SUMIF(tblAmazonUnits[Products],$A43, tblAmazonUnits[cv_2024]) + SUMIF(tblMicrosoftUnits[Products],$A43, tblMicrosoftUnits[cv_2024]) + SUMIF(tblAppleUnits[Products],$A43, tblAppleUnits[cv_2024]) + SUMIF(tblAlibabaUnits[Products],$A43, tblAlibabaUnits[cv_2024]) + SUMIF(tblHuaweiUnits[Products],$A43, tblHuaweiUnits[cv_2024]) + SUMIF(tblTencentUnits[Products],$A43, tblTencentUnits[cv_2024]) + SUMIF(tblBaiduUnits[Products],$A43, tblBaiduUnits[cv_2024]) + SUMIF(tblByteDanceUnits[Products],$A43, tblByteDanceUnits[cv_2024]) + SUMIF(tblCloudAOUnits[Products],$A43, tblCloudAOUnits[cv_2024]) + SUMIF(tblTelecomUnits[Products],$A43, tblTelecomUnits[cv_2024]) + SUMIF(tblEnterpriseUnits[Products],$A43, tblEnterpriseUnits[cv_2024])</f>
        <v>0</v>
      </c>
      <c r="I43" s="8">
        <f xml:space="preserve"> SUMIF(tblGoogleUnits[Products],$A43, tblGoogleUnits[cv_2025]) + SUMIF(tblMetaUnits[Products],$A43, tblMetaUnits[cv_2025]) + SUMIF(tblAmazonUnits[Products],$A43, tblAmazonUnits[cv_2025]) + SUMIF(tblMicrosoftUnits[Products],$A43, tblMicrosoftUnits[cv_2025]) + SUMIF(tblAppleUnits[Products],$A43, tblAppleUnits[cv_2025]) + SUMIF(tblAlibabaUnits[Products],$A43, tblAlibabaUnits[cv_2025]) + SUMIF(tblHuaweiUnits[Products],$A43, tblHuaweiUnits[cv_2025]) + SUMIF(tblTencentUnits[Products],$A43, tblTencentUnits[cv_2025]) + SUMIF(tblBaiduUnits[Products],$A43, tblBaiduUnits[cv_2025]) + SUMIF(tblByteDanceUnits[Products],$A43, tblByteDanceUnits[cv_2025]) + SUMIF(tblCloudAOUnits[Products],$A43, tblCloudAOUnits[cv_2025]) + SUMIF(tblTelecomUnits[Products],$A43, tblTelecomUnits[cv_2025]) + SUMIF(tblEnterpriseUnits[Products],$A43, tblEnterpriseUnits[cv_2025])</f>
        <v>0</v>
      </c>
      <c r="J43" s="8">
        <f xml:space="preserve"> SUMIF(tblGoogleUnits[Products],$A43, tblGoogleUnits[cv_2026]) + SUMIF(tblMetaUnits[Products],$A43, tblMetaUnits[cv_2026]) + SUMIF(tblAmazonUnits[Products],$A43, tblAmazonUnits[cv_2026]) + SUMIF(tblMicrosoftUnits[Products],$A43, tblMicrosoftUnits[cv_2026]) + SUMIF(tblAppleUnits[Products],$A43, tblAppleUnits[cv_2026]) + SUMIF(tblAlibabaUnits[Products],$A43, tblAlibabaUnits[cv_2026]) + SUMIF(tblHuaweiUnits[Products],$A43, tblHuaweiUnits[cv_2026]) + SUMIF(tblTencentUnits[Products],$A43, tblTencentUnits[cv_2026]) + SUMIF(tblBaiduUnits[Products],$A43, tblBaiduUnits[cv_2026]) + SUMIF(tblByteDanceUnits[Products],$A43, tblByteDanceUnits[cv_2026]) + SUMIF(tblCloudAOUnits[Products],$A43, tblCloudAOUnits[cv_2026]) + SUMIF(tblTelecomUnits[Products],$A43, tblTelecomUnits[cv_2026]) + SUMIF(tblEnterpriseUnits[Products],$A43, tblEnterpriseUnits[cv_2026])</f>
        <v>0</v>
      </c>
      <c r="K43" s="8">
        <f xml:space="preserve"> SUMIF(tblGoogleUnits[Products],$A43, tblGoogleUnits[cv_2027]) + SUMIF(tblMetaUnits[Products],$A43, tblMetaUnits[cv_2027]) + SUMIF(tblAmazonUnits[Products],$A43, tblAmazonUnits[cv_2027]) + SUMIF(tblMicrosoftUnits[Products],$A43, tblMicrosoftUnits[cv_2027]) + SUMIF(tblAppleUnits[Products],$A43, tblAppleUnits[cv_2027]) + SUMIF(tblAlibabaUnits[Products],$A43, tblAlibabaUnits[cv_2027]) + SUMIF(tblHuaweiUnits[Products],$A43, tblHuaweiUnits[cv_2027]) + SUMIF(tblTencentUnits[Products],$A43, tblTencentUnits[cv_2027]) + SUMIF(tblBaiduUnits[Products],$A43, tblBaiduUnits[cv_2027]) + SUMIF(tblByteDanceUnits[Products],$A43, tblByteDanceUnits[cv_2027]) + SUMIF(tblCloudAOUnits[Products],$A43, tblCloudAOUnits[cv_2027]) + SUMIF(tblTelecomUnits[Products],$A43, tblTelecomUnits[cv_2027]) + SUMIF(tblEnterpriseUnits[Products],$A43, tblEnterpriseUnits[cv_2027])</f>
        <v>0</v>
      </c>
      <c r="L43" s="8">
        <f xml:space="preserve"> SUMIF(tblGoogleUnits[Products],$A43, tblGoogleUnits[cv_2028]) + SUMIF(tblMetaUnits[Products],$A43, tblMetaUnits[cv_2028]) + SUMIF(tblAmazonUnits[Products],$A43, tblAmazonUnits[cv_2028]) + SUMIF(tblMicrosoftUnits[Products],$A43, tblMicrosoftUnits[cv_2028]) + SUMIF(tblAppleUnits[Products],$A43, tblAppleUnits[cv_2028]) + SUMIF(tblAlibabaUnits[Products],$A43, tblAlibabaUnits[cv_2028]) + SUMIF(tblHuaweiUnits[Products],$A43, tblHuaweiUnits[cv_2028]) + SUMIF(tblTencentUnits[Products],$A43, tblTencentUnits[cv_2028]) + SUMIF(tblBaiduUnits[Products],$A43, tblBaiduUnits[cv_2028]) + SUMIF(tblByteDanceUnits[Products],$A43, tblByteDanceUnits[cv_2028]) + SUMIF(tblCloudAOUnits[Products],$A43, tblCloudAOUnits[cv_2028]) + SUMIF(tblTelecomUnits[Products],$A43, tblTelecomUnits[cv_2028]) + SUMIF(tblEnterpriseUnits[Products],$A43, tblEnterpriseUnits[cv_2028])</f>
        <v>0</v>
      </c>
      <c r="M43" s="105" cm="1">
        <f t="array" ref="M43">INDEX(tblPrices[cv_2018], MATCH($A43,tblPrices[Products],0), 0)</f>
        <v>0</v>
      </c>
      <c r="N43" s="105" cm="1">
        <f t="array" ref="N43">INDEX(tblPrices[cv_2019], MATCH($A43,tblPrices[Products],0), 0)</f>
        <v>0</v>
      </c>
      <c r="O43" s="105" cm="1">
        <f t="array" ref="O43">INDEX(tblPrices[cv_2020], MATCH($A43,tblPrices[Products],0), 0)</f>
        <v>0</v>
      </c>
      <c r="P43" s="105" cm="1">
        <f t="array" ref="P43">INDEX(tblPrices[cv_2021], MATCH($A43,tblPrices[Products],0), 0)</f>
        <v>0</v>
      </c>
      <c r="Q43" s="105" cm="1">
        <f t="array" ref="Q43">INDEX(tblPrices[cv_2022], MATCH($A43,tblPrices[Products],0), 0)</f>
        <v>0</v>
      </c>
      <c r="R43" s="105" cm="1">
        <f t="array" ref="R43">INDEX(tblPrices[cv_2023], MATCH($A43,tblPrices[Products],0), 0)</f>
        <v>0</v>
      </c>
      <c r="S43" s="105" cm="1">
        <f t="array" ref="S43">INDEX(tblPrices[cv_2024], MATCH($A43,tblPrices[Products],0), 0)</f>
        <v>0</v>
      </c>
      <c r="T43" s="105" cm="1">
        <f t="array" ref="T43">INDEX(tblPrices[cv_2025], MATCH($A43,tblPrices[Products],0), 0)</f>
        <v>0</v>
      </c>
      <c r="U43" s="105" cm="1">
        <f t="array" ref="U43">INDEX(tblPrices[cv_2026], MATCH($A43,tblPrices[Products],0), 0)</f>
        <v>0</v>
      </c>
      <c r="V43" s="105" cm="1">
        <f t="array" ref="V43">INDEX(tblPrices[cv_2027], MATCH($A43,tblPrices[Products],0), 0)</f>
        <v>0</v>
      </c>
      <c r="W43" s="105" cm="1">
        <f t="array" ref="W43">INDEX(tblPrices[cv_2028], MATCH($A43,tblPrices[Products],0), 0)</f>
        <v>0</v>
      </c>
      <c r="X43" s="106" cm="1">
        <f t="array" ref="X43">INDEX(tblPrices[cv_2018], MATCH($A43,tblPrices[Products],0), 0)* tblForecast[[#This Row],[un_2018]]/10^6</f>
        <v>0</v>
      </c>
      <c r="Y43" s="106" cm="1">
        <f t="array" ref="Y43">INDEX(tblPrices[cv_2019], MATCH($A43,tblPrices[Products],0), 0)* tblForecast[[#This Row],[un_2019]]/10^6</f>
        <v>0</v>
      </c>
      <c r="Z43" s="106" cm="1">
        <f t="array" ref="Z43">INDEX(tblPrices[cv_2020], MATCH($A43,tblPrices[Products],0), 0)* tblForecast[[#This Row],[un_2020]]/10^6</f>
        <v>0</v>
      </c>
      <c r="AA43" s="106" cm="1">
        <f t="array" ref="AA43">INDEX(tblPrices[cv_2021], MATCH($A43,tblPrices[Products],0), 0)* tblForecast[[#This Row],[un_2021]]/10^6</f>
        <v>0</v>
      </c>
      <c r="AB43" s="106" cm="1">
        <f t="array" ref="AB43">INDEX(tblPrices[cv_2022], MATCH($A43,tblPrices[Products],0), 0)* tblForecast[[#This Row],[un_2022]]/10^6</f>
        <v>0</v>
      </c>
      <c r="AC43" s="106" cm="1">
        <f t="array" ref="AC43">INDEX(tblPrices[cv_2023], MATCH($A43,tblPrices[Products],0), 0)* tblForecast[[#This Row],[un_2023]]/10^6</f>
        <v>0</v>
      </c>
      <c r="AD43" s="106" cm="1">
        <f t="array" ref="AD43">INDEX(tblPrices[cv_2024], MATCH($A43,tblPrices[Products],0), 0)* tblForecast[[#This Row],[un_2024]]/10^6</f>
        <v>0</v>
      </c>
      <c r="AE43" s="106" cm="1">
        <f t="array" ref="AE43">INDEX(tblPrices[cv_2025], MATCH($A43,tblPrices[Products],0), 0)* tblForecast[[#This Row],[un_2025]]/10^6</f>
        <v>0</v>
      </c>
      <c r="AF43" s="106" cm="1">
        <f t="array" ref="AF43">INDEX(tblPrices[cv_2026], MATCH($A43,tblPrices[Products],0), 0)* tblForecast[[#This Row],[un_2026]]/10^6</f>
        <v>0</v>
      </c>
      <c r="AG43" s="106" cm="1">
        <f t="array" ref="AG43">INDEX(tblPrices[cv_2027], MATCH($A43,tblPrices[Products],0), 0)* tblForecast[[#This Row],[un_2027]]/10^6</f>
        <v>0</v>
      </c>
      <c r="AH43" s="106" cm="1">
        <f t="array" ref="AH43">INDEX(tblPrices[cv_2028], MATCH($A43,tblPrices[Products],0), 0)* tblForecast[[#This Row],[un_2028]]/10^6</f>
        <v>0</v>
      </c>
      <c r="AI43" s="60">
        <f>VLOOKUP(A43,Products!$A$11:$F$110,6,FALSE)</f>
        <v>25</v>
      </c>
    </row>
    <row r="44" spans="1:35">
      <c r="A44" s="12" t="s">
        <v>0</v>
      </c>
      <c r="B44" s="8">
        <f xml:space="preserve"> SUMIF(tblGoogleUnits[Products],$A44, tblGoogleUnits[cv_2018]) + SUMIF(tblMetaUnits[Products],$A44, tblMetaUnits[cv_2018]) + SUMIF(tblAmazonUnits[Products],$A44, tblAmazonUnits[cv_2018]) + SUMIF(tblMicrosoftUnits[Products],$A44, tblMicrosoftUnits[cv_2018]) + SUMIF(tblAppleUnits[Products],$A44, tblAppleUnits[cv_2018]) + SUMIF(tblAlibabaUnits[Products],$A44, tblAlibabaUnits[cv_2018]) + SUMIF(tblHuaweiUnits[Products],$A44, tblHuaweiUnits[cv_2018]) + SUMIF(tblTencentUnits[Products],$A44, tblTencentUnits[cv_2018]) + SUMIF(tblBaiduUnits[Products],$A44, tblBaiduUnits[cv_2018]) + SUMIF(tblByteDanceUnits[Products],$A44, tblByteDanceUnits[cv_2018]) + SUMIF(tblCloudAOUnits[Products],$A44, tblCloudAOUnits[cv_2018]) + SUMIF(tblTelecomUnits[Products],$A44, tblTelecomUnits[cv_2018]) + SUMIF(tblEnterpriseUnits[Products],$A44, tblEnterpriseUnits[cv_2018])</f>
        <v>890416.75255000009</v>
      </c>
      <c r="C44" s="8">
        <f xml:space="preserve"> SUMIF(tblGoogleUnits[Products],$A44, tblGoogleUnits[cv_2019]) + SUMIF(tblMetaUnits[Products],$A44, tblMetaUnits[cv_2019]) + SUMIF(tblAmazonUnits[Products],$A44, tblAmazonUnits[cv_2019]) + SUMIF(tblMicrosoftUnits[Products],$A44, tblMicrosoftUnits[cv_2019]) + SUMIF(tblAppleUnits[Products],$A44, tblAppleUnits[cv_2019]) + SUMIF(tblAlibabaUnits[Products],$A44, tblAlibabaUnits[cv_2019]) + SUMIF(tblHuaweiUnits[Products],$A44, tblHuaweiUnits[cv_2019]) + SUMIF(tblTencentUnits[Products],$A44, tblTencentUnits[cv_2019]) + SUMIF(tblBaiduUnits[Products],$A44, tblBaiduUnits[cv_2019]) + SUMIF(tblByteDanceUnits[Products],$A44, tblByteDanceUnits[cv_2019]) + SUMIF(tblCloudAOUnits[Products],$A44, tblCloudAOUnits[cv_2019]) + SUMIF(tblTelecomUnits[Products],$A44, tblTelecomUnits[cv_2019]) + SUMIF(tblEnterpriseUnits[Products],$A44, tblEnterpriseUnits[cv_2019])</f>
        <v>658732.99999999988</v>
      </c>
      <c r="D44" s="8">
        <f xml:space="preserve"> SUMIF(tblGoogleUnits[Products],$A44, tblGoogleUnits[cv_2020]) + SUMIF(tblMetaUnits[Products],$A44, tblMetaUnits[cv_2020]) + SUMIF(tblAmazonUnits[Products],$A44, tblAmazonUnits[cv_2020]) + SUMIF(tblMicrosoftUnits[Products],$A44, tblMicrosoftUnits[cv_2020]) + SUMIF(tblAppleUnits[Products],$A44, tblAppleUnits[cv_2020]) + SUMIF(tblAlibabaUnits[Products],$A44, tblAlibabaUnits[cv_2020]) + SUMIF(tblHuaweiUnits[Products],$A44, tblHuaweiUnits[cv_2020]) + SUMIF(tblTencentUnits[Products],$A44, tblTencentUnits[cv_2020]) + SUMIF(tblBaiduUnits[Products],$A44, tblBaiduUnits[cv_2020]) + SUMIF(tblByteDanceUnits[Products],$A44, tblByteDanceUnits[cv_2020]) + SUMIF(tblCloudAOUnits[Products],$A44, tblCloudAOUnits[cv_2020]) + SUMIF(tblTelecomUnits[Products],$A44, tblTelecomUnits[cv_2020]) + SUMIF(tblEnterpriseUnits[Products],$A44, tblEnterpriseUnits[cv_2020])</f>
        <v>0</v>
      </c>
      <c r="E44" s="8">
        <f xml:space="preserve"> SUMIF(tblGoogleUnits[Products],$A44, tblGoogleUnits[cv_2021]) + SUMIF(tblMetaUnits[Products],$A44, tblMetaUnits[cv_2021]) + SUMIF(tblAmazonUnits[Products],$A44, tblAmazonUnits[cv_2021]) + SUMIF(tblMicrosoftUnits[Products],$A44, tblMicrosoftUnits[cv_2021]) + SUMIF(tblAppleUnits[Products],$A44, tblAppleUnits[cv_2021]) + SUMIF(tblAlibabaUnits[Products],$A44, tblAlibabaUnits[cv_2021]) + SUMIF(tblHuaweiUnits[Products],$A44, tblHuaweiUnits[cv_2021]) + SUMIF(tblTencentUnits[Products],$A44, tblTencentUnits[cv_2021]) + SUMIF(tblBaiduUnits[Products],$A44, tblBaiduUnits[cv_2021]) + SUMIF(tblByteDanceUnits[Products],$A44, tblByteDanceUnits[cv_2021]) + SUMIF(tblCloudAOUnits[Products],$A44, tblCloudAOUnits[cv_2021]) + SUMIF(tblTelecomUnits[Products],$A44, tblTelecomUnits[cv_2021]) + SUMIF(tblEnterpriseUnits[Products],$A44, tblEnterpriseUnits[cv_2021])</f>
        <v>0</v>
      </c>
      <c r="F44" s="8">
        <f xml:space="preserve"> SUMIF(tblGoogleUnits[Products],$A44, tblGoogleUnits[cv_2022]) + SUMIF(tblMetaUnits[Products],$A44, tblMetaUnits[cv_2022]) + SUMIF(tblAmazonUnits[Products],$A44, tblAmazonUnits[cv_2022]) + SUMIF(tblMicrosoftUnits[Products],$A44, tblMicrosoftUnits[cv_2022]) + SUMIF(tblAppleUnits[Products],$A44, tblAppleUnits[cv_2022]) + SUMIF(tblAlibabaUnits[Products],$A44, tblAlibabaUnits[cv_2022]) + SUMIF(tblHuaweiUnits[Products],$A44, tblHuaweiUnits[cv_2022]) + SUMIF(tblTencentUnits[Products],$A44, tblTencentUnits[cv_2022]) + SUMIF(tblBaiduUnits[Products],$A44, tblBaiduUnits[cv_2022]) + SUMIF(tblByteDanceUnits[Products],$A44, tblByteDanceUnits[cv_2022]) + SUMIF(tblCloudAOUnits[Products],$A44, tblCloudAOUnits[cv_2022]) + SUMIF(tblTelecomUnits[Products],$A44, tblTelecomUnits[cv_2022]) + SUMIF(tblEnterpriseUnits[Products],$A44, tblEnterpriseUnits[cv_2022])</f>
        <v>0</v>
      </c>
      <c r="G44" s="8">
        <f xml:space="preserve"> SUMIF(tblGoogleUnits[Products],$A44, tblGoogleUnits[cv_2023]) + SUMIF(tblMetaUnits[Products],$A44, tblMetaUnits[cv_2023]) + SUMIF(tblAmazonUnits[Products],$A44, tblAmazonUnits[cv_2023]) + SUMIF(tblMicrosoftUnits[Products],$A44, tblMicrosoftUnits[cv_2023]) + SUMIF(tblAppleUnits[Products],$A44, tblAppleUnits[cv_2023]) + SUMIF(tblAlibabaUnits[Products],$A44, tblAlibabaUnits[cv_2023]) + SUMIF(tblHuaweiUnits[Products],$A44, tblHuaweiUnits[cv_2023]) + SUMIF(tblTencentUnits[Products],$A44, tblTencentUnits[cv_2023]) + SUMIF(tblBaiduUnits[Products],$A44, tblBaiduUnits[cv_2023]) + SUMIF(tblByteDanceUnits[Products],$A44, tblByteDanceUnits[cv_2023]) + SUMIF(tblCloudAOUnits[Products],$A44, tblCloudAOUnits[cv_2023]) + SUMIF(tblTelecomUnits[Products],$A44, tblTelecomUnits[cv_2023]) + SUMIF(tblEnterpriseUnits[Products],$A44, tblEnterpriseUnits[cv_2023])</f>
        <v>0</v>
      </c>
      <c r="H44" s="8">
        <f xml:space="preserve"> SUMIF(tblGoogleUnits[Products],$A44, tblGoogleUnits[cv_2024]) + SUMIF(tblMetaUnits[Products],$A44, tblMetaUnits[cv_2024]) + SUMIF(tblAmazonUnits[Products],$A44, tblAmazonUnits[cv_2024]) + SUMIF(tblMicrosoftUnits[Products],$A44, tblMicrosoftUnits[cv_2024]) + SUMIF(tblAppleUnits[Products],$A44, tblAppleUnits[cv_2024]) + SUMIF(tblAlibabaUnits[Products],$A44, tblAlibabaUnits[cv_2024]) + SUMIF(tblHuaweiUnits[Products],$A44, tblHuaweiUnits[cv_2024]) + SUMIF(tblTencentUnits[Products],$A44, tblTencentUnits[cv_2024]) + SUMIF(tblBaiduUnits[Products],$A44, tblBaiduUnits[cv_2024]) + SUMIF(tblByteDanceUnits[Products],$A44, tblByteDanceUnits[cv_2024]) + SUMIF(tblCloudAOUnits[Products],$A44, tblCloudAOUnits[cv_2024]) + SUMIF(tblTelecomUnits[Products],$A44, tblTelecomUnits[cv_2024]) + SUMIF(tblEnterpriseUnits[Products],$A44, tblEnterpriseUnits[cv_2024])</f>
        <v>0</v>
      </c>
      <c r="I44" s="8">
        <f xml:space="preserve"> SUMIF(tblGoogleUnits[Products],$A44, tblGoogleUnits[cv_2025]) + SUMIF(tblMetaUnits[Products],$A44, tblMetaUnits[cv_2025]) + SUMIF(tblAmazonUnits[Products],$A44, tblAmazonUnits[cv_2025]) + SUMIF(tblMicrosoftUnits[Products],$A44, tblMicrosoftUnits[cv_2025]) + SUMIF(tblAppleUnits[Products],$A44, tblAppleUnits[cv_2025]) + SUMIF(tblAlibabaUnits[Products],$A44, tblAlibabaUnits[cv_2025]) + SUMIF(tblHuaweiUnits[Products],$A44, tblHuaweiUnits[cv_2025]) + SUMIF(tblTencentUnits[Products],$A44, tblTencentUnits[cv_2025]) + SUMIF(tblBaiduUnits[Products],$A44, tblBaiduUnits[cv_2025]) + SUMIF(tblByteDanceUnits[Products],$A44, tblByteDanceUnits[cv_2025]) + SUMIF(tblCloudAOUnits[Products],$A44, tblCloudAOUnits[cv_2025]) + SUMIF(tblTelecomUnits[Products],$A44, tblTelecomUnits[cv_2025]) + SUMIF(tblEnterpriseUnits[Products],$A44, tblEnterpriseUnits[cv_2025])</f>
        <v>0</v>
      </c>
      <c r="J44" s="8">
        <f xml:space="preserve"> SUMIF(tblGoogleUnits[Products],$A44, tblGoogleUnits[cv_2026]) + SUMIF(tblMetaUnits[Products],$A44, tblMetaUnits[cv_2026]) + SUMIF(tblAmazonUnits[Products],$A44, tblAmazonUnits[cv_2026]) + SUMIF(tblMicrosoftUnits[Products],$A44, tblMicrosoftUnits[cv_2026]) + SUMIF(tblAppleUnits[Products],$A44, tblAppleUnits[cv_2026]) + SUMIF(tblAlibabaUnits[Products],$A44, tblAlibabaUnits[cv_2026]) + SUMIF(tblHuaweiUnits[Products],$A44, tblHuaweiUnits[cv_2026]) + SUMIF(tblTencentUnits[Products],$A44, tblTencentUnits[cv_2026]) + SUMIF(tblBaiduUnits[Products],$A44, tblBaiduUnits[cv_2026]) + SUMIF(tblByteDanceUnits[Products],$A44, tblByteDanceUnits[cv_2026]) + SUMIF(tblCloudAOUnits[Products],$A44, tblCloudAOUnits[cv_2026]) + SUMIF(tblTelecomUnits[Products],$A44, tblTelecomUnits[cv_2026]) + SUMIF(tblEnterpriseUnits[Products],$A44, tblEnterpriseUnits[cv_2026])</f>
        <v>0</v>
      </c>
      <c r="K44" s="8">
        <f xml:space="preserve"> SUMIF(tblGoogleUnits[Products],$A44, tblGoogleUnits[cv_2027]) + SUMIF(tblMetaUnits[Products],$A44, tblMetaUnits[cv_2027]) + SUMIF(tblAmazonUnits[Products],$A44, tblAmazonUnits[cv_2027]) + SUMIF(tblMicrosoftUnits[Products],$A44, tblMicrosoftUnits[cv_2027]) + SUMIF(tblAppleUnits[Products],$A44, tblAppleUnits[cv_2027]) + SUMIF(tblAlibabaUnits[Products],$A44, tblAlibabaUnits[cv_2027]) + SUMIF(tblHuaweiUnits[Products],$A44, tblHuaweiUnits[cv_2027]) + SUMIF(tblTencentUnits[Products],$A44, tblTencentUnits[cv_2027]) + SUMIF(tblBaiduUnits[Products],$A44, tblBaiduUnits[cv_2027]) + SUMIF(tblByteDanceUnits[Products],$A44, tblByteDanceUnits[cv_2027]) + SUMIF(tblCloudAOUnits[Products],$A44, tblCloudAOUnits[cv_2027]) + SUMIF(tblTelecomUnits[Products],$A44, tblTelecomUnits[cv_2027]) + SUMIF(tblEnterpriseUnits[Products],$A44, tblEnterpriseUnits[cv_2027])</f>
        <v>0</v>
      </c>
      <c r="L44" s="8">
        <f xml:space="preserve"> SUMIF(tblGoogleUnits[Products],$A44, tblGoogleUnits[cv_2028]) + SUMIF(tblMetaUnits[Products],$A44, tblMetaUnits[cv_2028]) + SUMIF(tblAmazonUnits[Products],$A44, tblAmazonUnits[cv_2028]) + SUMIF(tblMicrosoftUnits[Products],$A44, tblMicrosoftUnits[cv_2028]) + SUMIF(tblAppleUnits[Products],$A44, tblAppleUnits[cv_2028]) + SUMIF(tblAlibabaUnits[Products],$A44, tblAlibabaUnits[cv_2028]) + SUMIF(tblHuaweiUnits[Products],$A44, tblHuaweiUnits[cv_2028]) + SUMIF(tblTencentUnits[Products],$A44, tblTencentUnits[cv_2028]) + SUMIF(tblBaiduUnits[Products],$A44, tblBaiduUnits[cv_2028]) + SUMIF(tblByteDanceUnits[Products],$A44, tblByteDanceUnits[cv_2028]) + SUMIF(tblCloudAOUnits[Products],$A44, tblCloudAOUnits[cv_2028]) + SUMIF(tblTelecomUnits[Products],$A44, tblTelecomUnits[cv_2028]) + SUMIF(tblEnterpriseUnits[Products],$A44, tblEnterpriseUnits[cv_2028])</f>
        <v>0</v>
      </c>
      <c r="M44" s="105" cm="1">
        <f t="array" ref="M44">INDEX(tblPrices[cv_2018], MATCH($A44,tblPrices[Products],0), 0)</f>
        <v>58.660264540622045</v>
      </c>
      <c r="N44" s="105" cm="1">
        <f t="array" ref="N44">INDEX(tblPrices[cv_2019], MATCH($A44,tblPrices[Products],0), 0)</f>
        <v>46.122113533534389</v>
      </c>
      <c r="O44" s="105" cm="1">
        <f t="array" ref="O44">INDEX(tblPrices[cv_2020], MATCH($A44,tblPrices[Products],0), 0)</f>
        <v>0</v>
      </c>
      <c r="P44" s="105" cm="1">
        <f t="array" ref="P44">INDEX(tblPrices[cv_2021], MATCH($A44,tblPrices[Products],0), 0)</f>
        <v>0</v>
      </c>
      <c r="Q44" s="105" cm="1">
        <f t="array" ref="Q44">INDEX(tblPrices[cv_2022], MATCH($A44,tblPrices[Products],0), 0)</f>
        <v>0</v>
      </c>
      <c r="R44" s="105" cm="1">
        <f t="array" ref="R44">INDEX(tblPrices[cv_2023], MATCH($A44,tblPrices[Products],0), 0)</f>
        <v>0</v>
      </c>
      <c r="S44" s="105" cm="1">
        <f t="array" ref="S44">INDEX(tblPrices[cv_2024], MATCH($A44,tblPrices[Products],0), 0)</f>
        <v>0</v>
      </c>
      <c r="T44" s="105" cm="1">
        <f t="array" ref="T44">INDEX(tblPrices[cv_2025], MATCH($A44,tblPrices[Products],0), 0)</f>
        <v>0</v>
      </c>
      <c r="U44" s="105" cm="1">
        <f t="array" ref="U44">INDEX(tblPrices[cv_2026], MATCH($A44,tblPrices[Products],0), 0)</f>
        <v>0</v>
      </c>
      <c r="V44" s="105" cm="1">
        <f t="array" ref="V44">INDEX(tblPrices[cv_2027], MATCH($A44,tblPrices[Products],0), 0)</f>
        <v>0</v>
      </c>
      <c r="W44" s="105" cm="1">
        <f t="array" ref="W44">INDEX(tblPrices[cv_2028], MATCH($A44,tblPrices[Products],0), 0)</f>
        <v>0</v>
      </c>
      <c r="X44" s="106" cm="1">
        <f t="array" ref="X44">INDEX(tblPrices[cv_2018], MATCH($A44,tblPrices[Products],0), 0)* tblForecast[[#This Row],[un_2018]]/10^6</f>
        <v>52.232082255984608</v>
      </c>
      <c r="Y44" s="106" cm="1">
        <f t="array" ref="Y44">INDEX(tblPrices[cv_2019], MATCH($A44,tblPrices[Products],0), 0)* tblForecast[[#This Row],[un_2019]]/10^6</f>
        <v>30.382158214285703</v>
      </c>
      <c r="Z44" s="106" cm="1">
        <f t="array" ref="Z44">INDEX(tblPrices[cv_2020], MATCH($A44,tblPrices[Products],0), 0)* tblForecast[[#This Row],[un_2020]]/10^6</f>
        <v>0</v>
      </c>
      <c r="AA44" s="106" cm="1">
        <f t="array" ref="AA44">INDEX(tblPrices[cv_2021], MATCH($A44,tblPrices[Products],0), 0)* tblForecast[[#This Row],[un_2021]]/10^6</f>
        <v>0</v>
      </c>
      <c r="AB44" s="106" cm="1">
        <f t="array" ref="AB44">INDEX(tblPrices[cv_2022], MATCH($A44,tblPrices[Products],0), 0)* tblForecast[[#This Row],[un_2022]]/10^6</f>
        <v>0</v>
      </c>
      <c r="AC44" s="106" cm="1">
        <f t="array" ref="AC44">INDEX(tblPrices[cv_2023], MATCH($A44,tblPrices[Products],0), 0)* tblForecast[[#This Row],[un_2023]]/10^6</f>
        <v>0</v>
      </c>
      <c r="AD44" s="106" cm="1">
        <f t="array" ref="AD44">INDEX(tblPrices[cv_2024], MATCH($A44,tblPrices[Products],0), 0)* tblForecast[[#This Row],[un_2024]]/10^6</f>
        <v>0</v>
      </c>
      <c r="AE44" s="106" cm="1">
        <f t="array" ref="AE44">INDEX(tblPrices[cv_2025], MATCH($A44,tblPrices[Products],0), 0)* tblForecast[[#This Row],[un_2025]]/10^6</f>
        <v>0</v>
      </c>
      <c r="AF44" s="106" cm="1">
        <f t="array" ref="AF44">INDEX(tblPrices[cv_2026], MATCH($A44,tblPrices[Products],0), 0)* tblForecast[[#This Row],[un_2026]]/10^6</f>
        <v>0</v>
      </c>
      <c r="AG44" s="106" cm="1">
        <f t="array" ref="AG44">INDEX(tblPrices[cv_2027], MATCH($A44,tblPrices[Products],0), 0)* tblForecast[[#This Row],[un_2027]]/10^6</f>
        <v>0</v>
      </c>
      <c r="AH44" s="106" cm="1">
        <f t="array" ref="AH44">INDEX(tblPrices[cv_2028], MATCH($A44,tblPrices[Products],0), 0)* tblForecast[[#This Row],[un_2028]]/10^6</f>
        <v>0</v>
      </c>
      <c r="AI44" s="60">
        <f>VLOOKUP(A44,Products!$A$11:$F$110,6,FALSE)</f>
        <v>40</v>
      </c>
    </row>
    <row r="45" spans="1:35">
      <c r="A45" s="12" t="s">
        <v>167</v>
      </c>
      <c r="B45" s="8">
        <f xml:space="preserve"> SUMIF(tblGoogleUnits[Products],$A45, tblGoogleUnits[cv_2018]) + SUMIF(tblMetaUnits[Products],$A45, tblMetaUnits[cv_2018]) + SUMIF(tblAmazonUnits[Products],$A45, tblAmazonUnits[cv_2018]) + SUMIF(tblMicrosoftUnits[Products],$A45, tblMicrosoftUnits[cv_2018]) + SUMIF(tblAppleUnits[Products],$A45, tblAppleUnits[cv_2018]) + SUMIF(tblAlibabaUnits[Products],$A45, tblAlibabaUnits[cv_2018]) + SUMIF(tblHuaweiUnits[Products],$A45, tblHuaweiUnits[cv_2018]) + SUMIF(tblTencentUnits[Products],$A45, tblTencentUnits[cv_2018]) + SUMIF(tblBaiduUnits[Products],$A45, tblBaiduUnits[cv_2018]) + SUMIF(tblByteDanceUnits[Products],$A45, tblByteDanceUnits[cv_2018]) + SUMIF(tblCloudAOUnits[Products],$A45, tblCloudAOUnits[cv_2018]) + SUMIF(tblTelecomUnits[Products],$A45, tblTelecomUnits[cv_2018]) + SUMIF(tblEnterpriseUnits[Products],$A45, tblEnterpriseUnits[cv_2018])</f>
        <v>594327</v>
      </c>
      <c r="C45" s="8">
        <f xml:space="preserve"> SUMIF(tblGoogleUnits[Products],$A45, tblGoogleUnits[cv_2019]) + SUMIF(tblMetaUnits[Products],$A45, tblMetaUnits[cv_2019]) + SUMIF(tblAmazonUnits[Products],$A45, tblAmazonUnits[cv_2019]) + SUMIF(tblMicrosoftUnits[Products],$A45, tblMicrosoftUnits[cv_2019]) + SUMIF(tblAppleUnits[Products],$A45, tblAppleUnits[cv_2019]) + SUMIF(tblAlibabaUnits[Products],$A45, tblAlibabaUnits[cv_2019]) + SUMIF(tblHuaweiUnits[Products],$A45, tblHuaweiUnits[cv_2019]) + SUMIF(tblTencentUnits[Products],$A45, tblTencentUnits[cv_2019]) + SUMIF(tblBaiduUnits[Products],$A45, tblBaiduUnits[cv_2019]) + SUMIF(tblByteDanceUnits[Products],$A45, tblByteDanceUnits[cv_2019]) + SUMIF(tblCloudAOUnits[Products],$A45, tblCloudAOUnits[cv_2019]) + SUMIF(tblTelecomUnits[Products],$A45, tblTelecomUnits[cv_2019]) + SUMIF(tblEnterpriseUnits[Products],$A45, tblEnterpriseUnits[cv_2019])</f>
        <v>460602</v>
      </c>
      <c r="D45" s="8">
        <f xml:space="preserve"> SUMIF(tblGoogleUnits[Products],$A45, tblGoogleUnits[cv_2020]) + SUMIF(tblMetaUnits[Products],$A45, tblMetaUnits[cv_2020]) + SUMIF(tblAmazonUnits[Products],$A45, tblAmazonUnits[cv_2020]) + SUMIF(tblMicrosoftUnits[Products],$A45, tblMicrosoftUnits[cv_2020]) + SUMIF(tblAppleUnits[Products],$A45, tblAppleUnits[cv_2020]) + SUMIF(tblAlibabaUnits[Products],$A45, tblAlibabaUnits[cv_2020]) + SUMIF(tblHuaweiUnits[Products],$A45, tblHuaweiUnits[cv_2020]) + SUMIF(tblTencentUnits[Products],$A45, tblTencentUnits[cv_2020]) + SUMIF(tblBaiduUnits[Products],$A45, tblBaiduUnits[cv_2020]) + SUMIF(tblByteDanceUnits[Products],$A45, tblByteDanceUnits[cv_2020]) + SUMIF(tblCloudAOUnits[Products],$A45, tblCloudAOUnits[cv_2020]) + SUMIF(tblTelecomUnits[Products],$A45, tblTelecomUnits[cv_2020]) + SUMIF(tblEnterpriseUnits[Products],$A45, tblEnterpriseUnits[cv_2020])</f>
        <v>0</v>
      </c>
      <c r="E45" s="8">
        <f xml:space="preserve"> SUMIF(tblGoogleUnits[Products],$A45, tblGoogleUnits[cv_2021]) + SUMIF(tblMetaUnits[Products],$A45, tblMetaUnits[cv_2021]) + SUMIF(tblAmazonUnits[Products],$A45, tblAmazonUnits[cv_2021]) + SUMIF(tblMicrosoftUnits[Products],$A45, tblMicrosoftUnits[cv_2021]) + SUMIF(tblAppleUnits[Products],$A45, tblAppleUnits[cv_2021]) + SUMIF(tblAlibabaUnits[Products],$A45, tblAlibabaUnits[cv_2021]) + SUMIF(tblHuaweiUnits[Products],$A45, tblHuaweiUnits[cv_2021]) + SUMIF(tblTencentUnits[Products],$A45, tblTencentUnits[cv_2021]) + SUMIF(tblBaiduUnits[Products],$A45, tblBaiduUnits[cv_2021]) + SUMIF(tblByteDanceUnits[Products],$A45, tblByteDanceUnits[cv_2021]) + SUMIF(tblCloudAOUnits[Products],$A45, tblCloudAOUnits[cv_2021]) + SUMIF(tblTelecomUnits[Products],$A45, tblTelecomUnits[cv_2021]) + SUMIF(tblEnterpriseUnits[Products],$A45, tblEnterpriseUnits[cv_2021])</f>
        <v>0</v>
      </c>
      <c r="F45" s="8">
        <f xml:space="preserve"> SUMIF(tblGoogleUnits[Products],$A45, tblGoogleUnits[cv_2022]) + SUMIF(tblMetaUnits[Products],$A45, tblMetaUnits[cv_2022]) + SUMIF(tblAmazonUnits[Products],$A45, tblAmazonUnits[cv_2022]) + SUMIF(tblMicrosoftUnits[Products],$A45, tblMicrosoftUnits[cv_2022]) + SUMIF(tblAppleUnits[Products],$A45, tblAppleUnits[cv_2022]) + SUMIF(tblAlibabaUnits[Products],$A45, tblAlibabaUnits[cv_2022]) + SUMIF(tblHuaweiUnits[Products],$A45, tblHuaweiUnits[cv_2022]) + SUMIF(tblTencentUnits[Products],$A45, tblTencentUnits[cv_2022]) + SUMIF(tblBaiduUnits[Products],$A45, tblBaiduUnits[cv_2022]) + SUMIF(tblByteDanceUnits[Products],$A45, tblByteDanceUnits[cv_2022]) + SUMIF(tblCloudAOUnits[Products],$A45, tblCloudAOUnits[cv_2022]) + SUMIF(tblTelecomUnits[Products],$A45, tblTelecomUnits[cv_2022]) + SUMIF(tblEnterpriseUnits[Products],$A45, tblEnterpriseUnits[cv_2022])</f>
        <v>0</v>
      </c>
      <c r="G45" s="8">
        <f xml:space="preserve"> SUMIF(tblGoogleUnits[Products],$A45, tblGoogleUnits[cv_2023]) + SUMIF(tblMetaUnits[Products],$A45, tblMetaUnits[cv_2023]) + SUMIF(tblAmazonUnits[Products],$A45, tblAmazonUnits[cv_2023]) + SUMIF(tblMicrosoftUnits[Products],$A45, tblMicrosoftUnits[cv_2023]) + SUMIF(tblAppleUnits[Products],$A45, tblAppleUnits[cv_2023]) + SUMIF(tblAlibabaUnits[Products],$A45, tblAlibabaUnits[cv_2023]) + SUMIF(tblHuaweiUnits[Products],$A45, tblHuaweiUnits[cv_2023]) + SUMIF(tblTencentUnits[Products],$A45, tblTencentUnits[cv_2023]) + SUMIF(tblBaiduUnits[Products],$A45, tblBaiduUnits[cv_2023]) + SUMIF(tblByteDanceUnits[Products],$A45, tblByteDanceUnits[cv_2023]) + SUMIF(tblCloudAOUnits[Products],$A45, tblCloudAOUnits[cv_2023]) + SUMIF(tblTelecomUnits[Products],$A45, tblTelecomUnits[cv_2023]) + SUMIF(tblEnterpriseUnits[Products],$A45, tblEnterpriseUnits[cv_2023])</f>
        <v>0</v>
      </c>
      <c r="H45" s="8">
        <f xml:space="preserve"> SUMIF(tblGoogleUnits[Products],$A45, tblGoogleUnits[cv_2024]) + SUMIF(tblMetaUnits[Products],$A45, tblMetaUnits[cv_2024]) + SUMIF(tblAmazonUnits[Products],$A45, tblAmazonUnits[cv_2024]) + SUMIF(tblMicrosoftUnits[Products],$A45, tblMicrosoftUnits[cv_2024]) + SUMIF(tblAppleUnits[Products],$A45, tblAppleUnits[cv_2024]) + SUMIF(tblAlibabaUnits[Products],$A45, tblAlibabaUnits[cv_2024]) + SUMIF(tblHuaweiUnits[Products],$A45, tblHuaweiUnits[cv_2024]) + SUMIF(tblTencentUnits[Products],$A45, tblTencentUnits[cv_2024]) + SUMIF(tblBaiduUnits[Products],$A45, tblBaiduUnits[cv_2024]) + SUMIF(tblByteDanceUnits[Products],$A45, tblByteDanceUnits[cv_2024]) + SUMIF(tblCloudAOUnits[Products],$A45, tblCloudAOUnits[cv_2024]) + SUMIF(tblTelecomUnits[Products],$A45, tblTelecomUnits[cv_2024]) + SUMIF(tblEnterpriseUnits[Products],$A45, tblEnterpriseUnits[cv_2024])</f>
        <v>0</v>
      </c>
      <c r="I45" s="8">
        <f xml:space="preserve"> SUMIF(tblGoogleUnits[Products],$A45, tblGoogleUnits[cv_2025]) + SUMIF(tblMetaUnits[Products],$A45, tblMetaUnits[cv_2025]) + SUMIF(tblAmazonUnits[Products],$A45, tblAmazonUnits[cv_2025]) + SUMIF(tblMicrosoftUnits[Products],$A45, tblMicrosoftUnits[cv_2025]) + SUMIF(tblAppleUnits[Products],$A45, tblAppleUnits[cv_2025]) + SUMIF(tblAlibabaUnits[Products],$A45, tblAlibabaUnits[cv_2025]) + SUMIF(tblHuaweiUnits[Products],$A45, tblHuaweiUnits[cv_2025]) + SUMIF(tblTencentUnits[Products],$A45, tblTencentUnits[cv_2025]) + SUMIF(tblBaiduUnits[Products],$A45, tblBaiduUnits[cv_2025]) + SUMIF(tblByteDanceUnits[Products],$A45, tblByteDanceUnits[cv_2025]) + SUMIF(tblCloudAOUnits[Products],$A45, tblCloudAOUnits[cv_2025]) + SUMIF(tblTelecomUnits[Products],$A45, tblTelecomUnits[cv_2025]) + SUMIF(tblEnterpriseUnits[Products],$A45, tblEnterpriseUnits[cv_2025])</f>
        <v>0</v>
      </c>
      <c r="J45" s="8">
        <f xml:space="preserve"> SUMIF(tblGoogleUnits[Products],$A45, tblGoogleUnits[cv_2026]) + SUMIF(tblMetaUnits[Products],$A45, tblMetaUnits[cv_2026]) + SUMIF(tblAmazonUnits[Products],$A45, tblAmazonUnits[cv_2026]) + SUMIF(tblMicrosoftUnits[Products],$A45, tblMicrosoftUnits[cv_2026]) + SUMIF(tblAppleUnits[Products],$A45, tblAppleUnits[cv_2026]) + SUMIF(tblAlibabaUnits[Products],$A45, tblAlibabaUnits[cv_2026]) + SUMIF(tblHuaweiUnits[Products],$A45, tblHuaweiUnits[cv_2026]) + SUMIF(tblTencentUnits[Products],$A45, tblTencentUnits[cv_2026]) + SUMIF(tblBaiduUnits[Products],$A45, tblBaiduUnits[cv_2026]) + SUMIF(tblByteDanceUnits[Products],$A45, tblByteDanceUnits[cv_2026]) + SUMIF(tblCloudAOUnits[Products],$A45, tblCloudAOUnits[cv_2026]) + SUMIF(tblTelecomUnits[Products],$A45, tblTelecomUnits[cv_2026]) + SUMIF(tblEnterpriseUnits[Products],$A45, tblEnterpriseUnits[cv_2026])</f>
        <v>0</v>
      </c>
      <c r="K45" s="8">
        <f xml:space="preserve"> SUMIF(tblGoogleUnits[Products],$A45, tblGoogleUnits[cv_2027]) + SUMIF(tblMetaUnits[Products],$A45, tblMetaUnits[cv_2027]) + SUMIF(tblAmazonUnits[Products],$A45, tblAmazonUnits[cv_2027]) + SUMIF(tblMicrosoftUnits[Products],$A45, tblMicrosoftUnits[cv_2027]) + SUMIF(tblAppleUnits[Products],$A45, tblAppleUnits[cv_2027]) + SUMIF(tblAlibabaUnits[Products],$A45, tblAlibabaUnits[cv_2027]) + SUMIF(tblHuaweiUnits[Products],$A45, tblHuaweiUnits[cv_2027]) + SUMIF(tblTencentUnits[Products],$A45, tblTencentUnits[cv_2027]) + SUMIF(tblBaiduUnits[Products],$A45, tblBaiduUnits[cv_2027]) + SUMIF(tblByteDanceUnits[Products],$A45, tblByteDanceUnits[cv_2027]) + SUMIF(tblCloudAOUnits[Products],$A45, tblCloudAOUnits[cv_2027]) + SUMIF(tblTelecomUnits[Products],$A45, tblTelecomUnits[cv_2027]) + SUMIF(tblEnterpriseUnits[Products],$A45, tblEnterpriseUnits[cv_2027])</f>
        <v>0</v>
      </c>
      <c r="L45" s="8">
        <f xml:space="preserve"> SUMIF(tblGoogleUnits[Products],$A45, tblGoogleUnits[cv_2028]) + SUMIF(tblMetaUnits[Products],$A45, tblMetaUnits[cv_2028]) + SUMIF(tblAmazonUnits[Products],$A45, tblAmazonUnits[cv_2028]) + SUMIF(tblMicrosoftUnits[Products],$A45, tblMicrosoftUnits[cv_2028]) + SUMIF(tblAppleUnits[Products],$A45, tblAppleUnits[cv_2028]) + SUMIF(tblAlibabaUnits[Products],$A45, tblAlibabaUnits[cv_2028]) + SUMIF(tblHuaweiUnits[Products],$A45, tblHuaweiUnits[cv_2028]) + SUMIF(tblTencentUnits[Products],$A45, tblTencentUnits[cv_2028]) + SUMIF(tblBaiduUnits[Products],$A45, tblBaiduUnits[cv_2028]) + SUMIF(tblByteDanceUnits[Products],$A45, tblByteDanceUnits[cv_2028]) + SUMIF(tblCloudAOUnits[Products],$A45, tblCloudAOUnits[cv_2028]) + SUMIF(tblTelecomUnits[Products],$A45, tblTelecomUnits[cv_2028]) + SUMIF(tblEnterpriseUnits[Products],$A45, tblEnterpriseUnits[cv_2028])</f>
        <v>0</v>
      </c>
      <c r="M45" s="105" cm="1">
        <f t="array" ref="M45">INDEX(tblPrices[cv_2018], MATCH($A45,tblPrices[Products],0), 0)</f>
        <v>227</v>
      </c>
      <c r="N45" s="105" cm="1">
        <f t="array" ref="N45">INDEX(tblPrices[cv_2019], MATCH($A45,tblPrices[Products],0), 0)</f>
        <v>215</v>
      </c>
      <c r="O45" s="105" cm="1">
        <f t="array" ref="O45">INDEX(tblPrices[cv_2020], MATCH($A45,tblPrices[Products],0), 0)</f>
        <v>0</v>
      </c>
      <c r="P45" s="105" cm="1">
        <f t="array" ref="P45">INDEX(tblPrices[cv_2021], MATCH($A45,tblPrices[Products],0), 0)</f>
        <v>0</v>
      </c>
      <c r="Q45" s="105" cm="1">
        <f t="array" ref="Q45">INDEX(tblPrices[cv_2022], MATCH($A45,tblPrices[Products],0), 0)</f>
        <v>0</v>
      </c>
      <c r="R45" s="105" cm="1">
        <f t="array" ref="R45">INDEX(tblPrices[cv_2023], MATCH($A45,tblPrices[Products],0), 0)</f>
        <v>0</v>
      </c>
      <c r="S45" s="105" cm="1">
        <f t="array" ref="S45">INDEX(tblPrices[cv_2024], MATCH($A45,tblPrices[Products],0), 0)</f>
        <v>0</v>
      </c>
      <c r="T45" s="105" cm="1">
        <f t="array" ref="T45">INDEX(tblPrices[cv_2025], MATCH($A45,tblPrices[Products],0), 0)</f>
        <v>0</v>
      </c>
      <c r="U45" s="105" cm="1">
        <f t="array" ref="U45">INDEX(tblPrices[cv_2026], MATCH($A45,tblPrices[Products],0), 0)</f>
        <v>0</v>
      </c>
      <c r="V45" s="105" cm="1">
        <f t="array" ref="V45">INDEX(tblPrices[cv_2027], MATCH($A45,tblPrices[Products],0), 0)</f>
        <v>0</v>
      </c>
      <c r="W45" s="105" cm="1">
        <f t="array" ref="W45">INDEX(tblPrices[cv_2028], MATCH($A45,tblPrices[Products],0), 0)</f>
        <v>0</v>
      </c>
      <c r="X45" s="106" cm="1">
        <f t="array" ref="X45">INDEX(tblPrices[cv_2018], MATCH($A45,tblPrices[Products],0), 0)* tblForecast[[#This Row],[un_2018]]/10^6</f>
        <v>134.912229</v>
      </c>
      <c r="Y45" s="106" cm="1">
        <f t="array" ref="Y45">INDEX(tblPrices[cv_2019], MATCH($A45,tblPrices[Products],0), 0)* tblForecast[[#This Row],[un_2019]]/10^6</f>
        <v>99.029430000000005</v>
      </c>
      <c r="Z45" s="106" cm="1">
        <f t="array" ref="Z45">INDEX(tblPrices[cv_2020], MATCH($A45,tblPrices[Products],0), 0)* tblForecast[[#This Row],[un_2020]]/10^6</f>
        <v>0</v>
      </c>
      <c r="AA45" s="106" cm="1">
        <f t="array" ref="AA45">INDEX(tblPrices[cv_2021], MATCH($A45,tblPrices[Products],0), 0)* tblForecast[[#This Row],[un_2021]]/10^6</f>
        <v>0</v>
      </c>
      <c r="AB45" s="106" cm="1">
        <f t="array" ref="AB45">INDEX(tblPrices[cv_2022], MATCH($A45,tblPrices[Products],0), 0)* tblForecast[[#This Row],[un_2022]]/10^6</f>
        <v>0</v>
      </c>
      <c r="AC45" s="106" cm="1">
        <f t="array" ref="AC45">INDEX(tblPrices[cv_2023], MATCH($A45,tblPrices[Products],0), 0)* tblForecast[[#This Row],[un_2023]]/10^6</f>
        <v>0</v>
      </c>
      <c r="AD45" s="106" cm="1">
        <f t="array" ref="AD45">INDEX(tblPrices[cv_2024], MATCH($A45,tblPrices[Products],0), 0)* tblForecast[[#This Row],[un_2024]]/10^6</f>
        <v>0</v>
      </c>
      <c r="AE45" s="106" cm="1">
        <f t="array" ref="AE45">INDEX(tblPrices[cv_2025], MATCH($A45,tblPrices[Products],0), 0)* tblForecast[[#This Row],[un_2025]]/10^6</f>
        <v>0</v>
      </c>
      <c r="AF45" s="106" cm="1">
        <f t="array" ref="AF45">INDEX(tblPrices[cv_2026], MATCH($A45,tblPrices[Products],0), 0)* tblForecast[[#This Row],[un_2026]]/10^6</f>
        <v>0</v>
      </c>
      <c r="AG45" s="106" cm="1">
        <f t="array" ref="AG45">INDEX(tblPrices[cv_2027], MATCH($A45,tblPrices[Products],0), 0)* tblForecast[[#This Row],[un_2027]]/10^6</f>
        <v>0</v>
      </c>
      <c r="AH45" s="106" cm="1">
        <f t="array" ref="AH45">INDEX(tblPrices[cv_2028], MATCH($A45,tblPrices[Products],0), 0)* tblForecast[[#This Row],[un_2028]]/10^6</f>
        <v>0</v>
      </c>
      <c r="AI45" s="60">
        <f>VLOOKUP(A45,Products!$A$11:$F$110,6,FALSE)</f>
        <v>40</v>
      </c>
    </row>
    <row r="46" spans="1:35">
      <c r="A46" s="12" t="s">
        <v>1</v>
      </c>
      <c r="B46" s="8">
        <f xml:space="preserve"> SUMIF(tblGoogleUnits[Products],$A46, tblGoogleUnits[cv_2018]) + SUMIF(tblMetaUnits[Products],$A46, tblMetaUnits[cv_2018]) + SUMIF(tblAmazonUnits[Products],$A46, tblAmazonUnits[cv_2018]) + SUMIF(tblMicrosoftUnits[Products],$A46, tblMicrosoftUnits[cv_2018]) + SUMIF(tblAppleUnits[Products],$A46, tblAppleUnits[cv_2018]) + SUMIF(tblAlibabaUnits[Products],$A46, tblAlibabaUnits[cv_2018]) + SUMIF(tblHuaweiUnits[Products],$A46, tblHuaweiUnits[cv_2018]) + SUMIF(tblTencentUnits[Products],$A46, tblTencentUnits[cv_2018]) + SUMIF(tblBaiduUnits[Products],$A46, tblBaiduUnits[cv_2018]) + SUMIF(tblByteDanceUnits[Products],$A46, tblByteDanceUnits[cv_2018]) + SUMIF(tblCloudAOUnits[Products],$A46, tblCloudAOUnits[cv_2018]) + SUMIF(tblTelecomUnits[Products],$A46, tblTelecomUnits[cv_2018]) + SUMIF(tblEnterpriseUnits[Products],$A46, tblEnterpriseUnits[cv_2018])</f>
        <v>491066.99999999994</v>
      </c>
      <c r="C46" s="8">
        <f xml:space="preserve"> SUMIF(tblGoogleUnits[Products],$A46, tblGoogleUnits[cv_2019]) + SUMIF(tblMetaUnits[Products],$A46, tblMetaUnits[cv_2019]) + SUMIF(tblAmazonUnits[Products],$A46, tblAmazonUnits[cv_2019]) + SUMIF(tblMicrosoftUnits[Products],$A46, tblMicrosoftUnits[cv_2019]) + SUMIF(tblAppleUnits[Products],$A46, tblAppleUnits[cv_2019]) + SUMIF(tblAlibabaUnits[Products],$A46, tblAlibabaUnits[cv_2019]) + SUMIF(tblHuaweiUnits[Products],$A46, tblHuaweiUnits[cv_2019]) + SUMIF(tblTencentUnits[Products],$A46, tblTencentUnits[cv_2019]) + SUMIF(tblBaiduUnits[Products],$A46, tblBaiduUnits[cv_2019]) + SUMIF(tblByteDanceUnits[Products],$A46, tblByteDanceUnits[cv_2019]) + SUMIF(tblCloudAOUnits[Products],$A46, tblCloudAOUnits[cv_2019]) + SUMIF(tblTelecomUnits[Products],$A46, tblTelecomUnits[cv_2019]) + SUMIF(tblEnterpriseUnits[Products],$A46, tblEnterpriseUnits[cv_2019])</f>
        <v>293614</v>
      </c>
      <c r="D46" s="8">
        <f xml:space="preserve"> SUMIF(tblGoogleUnits[Products],$A46, tblGoogleUnits[cv_2020]) + SUMIF(tblMetaUnits[Products],$A46, tblMetaUnits[cv_2020]) + SUMIF(tblAmazonUnits[Products],$A46, tblAmazonUnits[cv_2020]) + SUMIF(tblMicrosoftUnits[Products],$A46, tblMicrosoftUnits[cv_2020]) + SUMIF(tblAppleUnits[Products],$A46, tblAppleUnits[cv_2020]) + SUMIF(tblAlibabaUnits[Products],$A46, tblAlibabaUnits[cv_2020]) + SUMIF(tblHuaweiUnits[Products],$A46, tblHuaweiUnits[cv_2020]) + SUMIF(tblTencentUnits[Products],$A46, tblTencentUnits[cv_2020]) + SUMIF(tblBaiduUnits[Products],$A46, tblBaiduUnits[cv_2020]) + SUMIF(tblByteDanceUnits[Products],$A46, tblByteDanceUnits[cv_2020]) + SUMIF(tblCloudAOUnits[Products],$A46, tblCloudAOUnits[cv_2020]) + SUMIF(tblTelecomUnits[Products],$A46, tblTelecomUnits[cv_2020]) + SUMIF(tblEnterpriseUnits[Products],$A46, tblEnterpriseUnits[cv_2020])</f>
        <v>0</v>
      </c>
      <c r="E46" s="8">
        <f xml:space="preserve"> SUMIF(tblGoogleUnits[Products],$A46, tblGoogleUnits[cv_2021]) + SUMIF(tblMetaUnits[Products],$A46, tblMetaUnits[cv_2021]) + SUMIF(tblAmazonUnits[Products],$A46, tblAmazonUnits[cv_2021]) + SUMIF(tblMicrosoftUnits[Products],$A46, tblMicrosoftUnits[cv_2021]) + SUMIF(tblAppleUnits[Products],$A46, tblAppleUnits[cv_2021]) + SUMIF(tblAlibabaUnits[Products],$A46, tblAlibabaUnits[cv_2021]) + SUMIF(tblHuaweiUnits[Products],$A46, tblHuaweiUnits[cv_2021]) + SUMIF(tblTencentUnits[Products],$A46, tblTencentUnits[cv_2021]) + SUMIF(tblBaiduUnits[Products],$A46, tblBaiduUnits[cv_2021]) + SUMIF(tblByteDanceUnits[Products],$A46, tblByteDanceUnits[cv_2021]) + SUMIF(tblCloudAOUnits[Products],$A46, tblCloudAOUnits[cv_2021]) + SUMIF(tblTelecomUnits[Products],$A46, tblTelecomUnits[cv_2021]) + SUMIF(tblEnterpriseUnits[Products],$A46, tblEnterpriseUnits[cv_2021])</f>
        <v>0</v>
      </c>
      <c r="F46" s="8">
        <f xml:space="preserve"> SUMIF(tblGoogleUnits[Products],$A46, tblGoogleUnits[cv_2022]) + SUMIF(tblMetaUnits[Products],$A46, tblMetaUnits[cv_2022]) + SUMIF(tblAmazonUnits[Products],$A46, tblAmazonUnits[cv_2022]) + SUMIF(tblMicrosoftUnits[Products],$A46, tblMicrosoftUnits[cv_2022]) + SUMIF(tblAppleUnits[Products],$A46, tblAppleUnits[cv_2022]) + SUMIF(tblAlibabaUnits[Products],$A46, tblAlibabaUnits[cv_2022]) + SUMIF(tblHuaweiUnits[Products],$A46, tblHuaweiUnits[cv_2022]) + SUMIF(tblTencentUnits[Products],$A46, tblTencentUnits[cv_2022]) + SUMIF(tblBaiduUnits[Products],$A46, tblBaiduUnits[cv_2022]) + SUMIF(tblByteDanceUnits[Products],$A46, tblByteDanceUnits[cv_2022]) + SUMIF(tblCloudAOUnits[Products],$A46, tblCloudAOUnits[cv_2022]) + SUMIF(tblTelecomUnits[Products],$A46, tblTelecomUnits[cv_2022]) + SUMIF(tblEnterpriseUnits[Products],$A46, tblEnterpriseUnits[cv_2022])</f>
        <v>0</v>
      </c>
      <c r="G46" s="8">
        <f xml:space="preserve"> SUMIF(tblGoogleUnits[Products],$A46, tblGoogleUnits[cv_2023]) + SUMIF(tblMetaUnits[Products],$A46, tblMetaUnits[cv_2023]) + SUMIF(tblAmazonUnits[Products],$A46, tblAmazonUnits[cv_2023]) + SUMIF(tblMicrosoftUnits[Products],$A46, tblMicrosoftUnits[cv_2023]) + SUMIF(tblAppleUnits[Products],$A46, tblAppleUnits[cv_2023]) + SUMIF(tblAlibabaUnits[Products],$A46, tblAlibabaUnits[cv_2023]) + SUMIF(tblHuaweiUnits[Products],$A46, tblHuaweiUnits[cv_2023]) + SUMIF(tblTencentUnits[Products],$A46, tblTencentUnits[cv_2023]) + SUMIF(tblBaiduUnits[Products],$A46, tblBaiduUnits[cv_2023]) + SUMIF(tblByteDanceUnits[Products],$A46, tblByteDanceUnits[cv_2023]) + SUMIF(tblCloudAOUnits[Products],$A46, tblCloudAOUnits[cv_2023]) + SUMIF(tblTelecomUnits[Products],$A46, tblTelecomUnits[cv_2023]) + SUMIF(tblEnterpriseUnits[Products],$A46, tblEnterpriseUnits[cv_2023])</f>
        <v>0</v>
      </c>
      <c r="H46" s="8">
        <f xml:space="preserve"> SUMIF(tblGoogleUnits[Products],$A46, tblGoogleUnits[cv_2024]) + SUMIF(tblMetaUnits[Products],$A46, tblMetaUnits[cv_2024]) + SUMIF(tblAmazonUnits[Products],$A46, tblAmazonUnits[cv_2024]) + SUMIF(tblMicrosoftUnits[Products],$A46, tblMicrosoftUnits[cv_2024]) + SUMIF(tblAppleUnits[Products],$A46, tblAppleUnits[cv_2024]) + SUMIF(tblAlibabaUnits[Products],$A46, tblAlibabaUnits[cv_2024]) + SUMIF(tblHuaweiUnits[Products],$A46, tblHuaweiUnits[cv_2024]) + SUMIF(tblTencentUnits[Products],$A46, tblTencentUnits[cv_2024]) + SUMIF(tblBaiduUnits[Products],$A46, tblBaiduUnits[cv_2024]) + SUMIF(tblByteDanceUnits[Products],$A46, tblByteDanceUnits[cv_2024]) + SUMIF(tblCloudAOUnits[Products],$A46, tblCloudAOUnits[cv_2024]) + SUMIF(tblTelecomUnits[Products],$A46, tblTelecomUnits[cv_2024]) + SUMIF(tblEnterpriseUnits[Products],$A46, tblEnterpriseUnits[cv_2024])</f>
        <v>0</v>
      </c>
      <c r="I46" s="8">
        <f xml:space="preserve"> SUMIF(tblGoogleUnits[Products],$A46, tblGoogleUnits[cv_2025]) + SUMIF(tblMetaUnits[Products],$A46, tblMetaUnits[cv_2025]) + SUMIF(tblAmazonUnits[Products],$A46, tblAmazonUnits[cv_2025]) + SUMIF(tblMicrosoftUnits[Products],$A46, tblMicrosoftUnits[cv_2025]) + SUMIF(tblAppleUnits[Products],$A46, tblAppleUnits[cv_2025]) + SUMIF(tblAlibabaUnits[Products],$A46, tblAlibabaUnits[cv_2025]) + SUMIF(tblHuaweiUnits[Products],$A46, tblHuaweiUnits[cv_2025]) + SUMIF(tblTencentUnits[Products],$A46, tblTencentUnits[cv_2025]) + SUMIF(tblBaiduUnits[Products],$A46, tblBaiduUnits[cv_2025]) + SUMIF(tblByteDanceUnits[Products],$A46, tblByteDanceUnits[cv_2025]) + SUMIF(tblCloudAOUnits[Products],$A46, tblCloudAOUnits[cv_2025]) + SUMIF(tblTelecomUnits[Products],$A46, tblTelecomUnits[cv_2025]) + SUMIF(tblEnterpriseUnits[Products],$A46, tblEnterpriseUnits[cv_2025])</f>
        <v>0</v>
      </c>
      <c r="J46" s="8">
        <f xml:space="preserve"> SUMIF(tblGoogleUnits[Products],$A46, tblGoogleUnits[cv_2026]) + SUMIF(tblMetaUnits[Products],$A46, tblMetaUnits[cv_2026]) + SUMIF(tblAmazonUnits[Products],$A46, tblAmazonUnits[cv_2026]) + SUMIF(tblMicrosoftUnits[Products],$A46, tblMicrosoftUnits[cv_2026]) + SUMIF(tblAppleUnits[Products],$A46, tblAppleUnits[cv_2026]) + SUMIF(tblAlibabaUnits[Products],$A46, tblAlibabaUnits[cv_2026]) + SUMIF(tblHuaweiUnits[Products],$A46, tblHuaweiUnits[cv_2026]) + SUMIF(tblTencentUnits[Products],$A46, tblTencentUnits[cv_2026]) + SUMIF(tblBaiduUnits[Products],$A46, tblBaiduUnits[cv_2026]) + SUMIF(tblByteDanceUnits[Products],$A46, tblByteDanceUnits[cv_2026]) + SUMIF(tblCloudAOUnits[Products],$A46, tblCloudAOUnits[cv_2026]) + SUMIF(tblTelecomUnits[Products],$A46, tblTelecomUnits[cv_2026]) + SUMIF(tblEnterpriseUnits[Products],$A46, tblEnterpriseUnits[cv_2026])</f>
        <v>0</v>
      </c>
      <c r="K46" s="8">
        <f xml:space="preserve"> SUMIF(tblGoogleUnits[Products],$A46, tblGoogleUnits[cv_2027]) + SUMIF(tblMetaUnits[Products],$A46, tblMetaUnits[cv_2027]) + SUMIF(tblAmazonUnits[Products],$A46, tblAmazonUnits[cv_2027]) + SUMIF(tblMicrosoftUnits[Products],$A46, tblMicrosoftUnits[cv_2027]) + SUMIF(tblAppleUnits[Products],$A46, tblAppleUnits[cv_2027]) + SUMIF(tblAlibabaUnits[Products],$A46, tblAlibabaUnits[cv_2027]) + SUMIF(tblHuaweiUnits[Products],$A46, tblHuaweiUnits[cv_2027]) + SUMIF(tblTencentUnits[Products],$A46, tblTencentUnits[cv_2027]) + SUMIF(tblBaiduUnits[Products],$A46, tblBaiduUnits[cv_2027]) + SUMIF(tblByteDanceUnits[Products],$A46, tblByteDanceUnits[cv_2027]) + SUMIF(tblCloudAOUnits[Products],$A46, tblCloudAOUnits[cv_2027]) + SUMIF(tblTelecomUnits[Products],$A46, tblTelecomUnits[cv_2027]) + SUMIF(tblEnterpriseUnits[Products],$A46, tblEnterpriseUnits[cv_2027])</f>
        <v>0</v>
      </c>
      <c r="L46" s="8">
        <f xml:space="preserve"> SUMIF(tblGoogleUnits[Products],$A46, tblGoogleUnits[cv_2028]) + SUMIF(tblMetaUnits[Products],$A46, tblMetaUnits[cv_2028]) + SUMIF(tblAmazonUnits[Products],$A46, tblAmazonUnits[cv_2028]) + SUMIF(tblMicrosoftUnits[Products],$A46, tblMicrosoftUnits[cv_2028]) + SUMIF(tblAppleUnits[Products],$A46, tblAppleUnits[cv_2028]) + SUMIF(tblAlibabaUnits[Products],$A46, tblAlibabaUnits[cv_2028]) + SUMIF(tblHuaweiUnits[Products],$A46, tblHuaweiUnits[cv_2028]) + SUMIF(tblTencentUnits[Products],$A46, tblTencentUnits[cv_2028]) + SUMIF(tblBaiduUnits[Products],$A46, tblBaiduUnits[cv_2028]) + SUMIF(tblByteDanceUnits[Products],$A46, tblByteDanceUnits[cv_2028]) + SUMIF(tblCloudAOUnits[Products],$A46, tblCloudAOUnits[cv_2028]) + SUMIF(tblTelecomUnits[Products],$A46, tblTelecomUnits[cv_2028]) + SUMIF(tblEnterpriseUnits[Products],$A46, tblEnterpriseUnits[cv_2028])</f>
        <v>0</v>
      </c>
      <c r="M46" s="105" cm="1">
        <f t="array" ref="M46">INDEX(tblPrices[cv_2018], MATCH($A46,tblPrices[Products],0), 0)</f>
        <v>63.850920529241115</v>
      </c>
      <c r="N46" s="105" cm="1">
        <f t="array" ref="N46">INDEX(tblPrices[cv_2019], MATCH($A46,tblPrices[Products],0), 0)</f>
        <v>62.046561131281194</v>
      </c>
      <c r="O46" s="105" cm="1">
        <f t="array" ref="O46">INDEX(tblPrices[cv_2020], MATCH($A46,tblPrices[Products],0), 0)</f>
        <v>0</v>
      </c>
      <c r="P46" s="105" cm="1">
        <f t="array" ref="P46">INDEX(tblPrices[cv_2021], MATCH($A46,tblPrices[Products],0), 0)</f>
        <v>0</v>
      </c>
      <c r="Q46" s="105" cm="1">
        <f t="array" ref="Q46">INDEX(tblPrices[cv_2022], MATCH($A46,tblPrices[Products],0), 0)</f>
        <v>0</v>
      </c>
      <c r="R46" s="105" cm="1">
        <f t="array" ref="R46">INDEX(tblPrices[cv_2023], MATCH($A46,tblPrices[Products],0), 0)</f>
        <v>0</v>
      </c>
      <c r="S46" s="105" cm="1">
        <f t="array" ref="S46">INDEX(tblPrices[cv_2024], MATCH($A46,tblPrices[Products],0), 0)</f>
        <v>0</v>
      </c>
      <c r="T46" s="105" cm="1">
        <f t="array" ref="T46">INDEX(tblPrices[cv_2025], MATCH($A46,tblPrices[Products],0), 0)</f>
        <v>0</v>
      </c>
      <c r="U46" s="105" cm="1">
        <f t="array" ref="U46">INDEX(tblPrices[cv_2026], MATCH($A46,tblPrices[Products],0), 0)</f>
        <v>0</v>
      </c>
      <c r="V46" s="105" cm="1">
        <f t="array" ref="V46">INDEX(tblPrices[cv_2027], MATCH($A46,tblPrices[Products],0), 0)</f>
        <v>0</v>
      </c>
      <c r="W46" s="105" cm="1">
        <f t="array" ref="W46">INDEX(tblPrices[cv_2028], MATCH($A46,tblPrices[Products],0), 0)</f>
        <v>0</v>
      </c>
      <c r="X46" s="106" cm="1">
        <f t="array" ref="X46">INDEX(tblPrices[cv_2018], MATCH($A46,tblPrices[Products],0), 0)* tblForecast[[#This Row],[un_2018]]/10^6</f>
        <v>31.355079991532843</v>
      </c>
      <c r="Y46" s="106" cm="1">
        <f t="array" ref="Y46">INDEX(tblPrices[cv_2019], MATCH($A46,tblPrices[Products],0), 0)* tblForecast[[#This Row],[un_2019]]/10^6</f>
        <v>18.217738999999995</v>
      </c>
      <c r="Z46" s="106" cm="1">
        <f t="array" ref="Z46">INDEX(tblPrices[cv_2020], MATCH($A46,tblPrices[Products],0), 0)* tblForecast[[#This Row],[un_2020]]/10^6</f>
        <v>0</v>
      </c>
      <c r="AA46" s="106" cm="1">
        <f t="array" ref="AA46">INDEX(tblPrices[cv_2021], MATCH($A46,tblPrices[Products],0), 0)* tblForecast[[#This Row],[un_2021]]/10^6</f>
        <v>0</v>
      </c>
      <c r="AB46" s="106" cm="1">
        <f t="array" ref="AB46">INDEX(tblPrices[cv_2022], MATCH($A46,tblPrices[Products],0), 0)* tblForecast[[#This Row],[un_2022]]/10^6</f>
        <v>0</v>
      </c>
      <c r="AC46" s="106" cm="1">
        <f t="array" ref="AC46">INDEX(tblPrices[cv_2023], MATCH($A46,tblPrices[Products],0), 0)* tblForecast[[#This Row],[un_2023]]/10^6</f>
        <v>0</v>
      </c>
      <c r="AD46" s="106" cm="1">
        <f t="array" ref="AD46">INDEX(tblPrices[cv_2024], MATCH($A46,tblPrices[Products],0), 0)* tblForecast[[#This Row],[un_2024]]/10^6</f>
        <v>0</v>
      </c>
      <c r="AE46" s="106" cm="1">
        <f t="array" ref="AE46">INDEX(tblPrices[cv_2025], MATCH($A46,tblPrices[Products],0), 0)* tblForecast[[#This Row],[un_2025]]/10^6</f>
        <v>0</v>
      </c>
      <c r="AF46" s="106" cm="1">
        <f t="array" ref="AF46">INDEX(tblPrices[cv_2026], MATCH($A46,tblPrices[Products],0), 0)* tblForecast[[#This Row],[un_2026]]/10^6</f>
        <v>0</v>
      </c>
      <c r="AG46" s="106" cm="1">
        <f t="array" ref="AG46">INDEX(tblPrices[cv_2027], MATCH($A46,tblPrices[Products],0), 0)* tblForecast[[#This Row],[un_2027]]/10^6</f>
        <v>0</v>
      </c>
      <c r="AH46" s="106" cm="1">
        <f t="array" ref="AH46">INDEX(tblPrices[cv_2028], MATCH($A46,tblPrices[Products],0), 0)* tblForecast[[#This Row],[un_2028]]/10^6</f>
        <v>0</v>
      </c>
      <c r="AI46" s="60">
        <f>VLOOKUP(A46,Products!$A$11:$F$110,6,FALSE)</f>
        <v>40</v>
      </c>
    </row>
    <row r="47" spans="1:35">
      <c r="A47" s="12" t="s">
        <v>168</v>
      </c>
      <c r="B47" s="8">
        <f xml:space="preserve"> SUMIF(tblGoogleUnits[Products],$A47, tblGoogleUnits[cv_2018]) + SUMIF(tblMetaUnits[Products],$A47, tblMetaUnits[cv_2018]) + SUMIF(tblAmazonUnits[Products],$A47, tblAmazonUnits[cv_2018]) + SUMIF(tblMicrosoftUnits[Products],$A47, tblMicrosoftUnits[cv_2018]) + SUMIF(tblAppleUnits[Products],$A47, tblAppleUnits[cv_2018]) + SUMIF(tblAlibabaUnits[Products],$A47, tblAlibabaUnits[cv_2018]) + SUMIF(tblHuaweiUnits[Products],$A47, tblHuaweiUnits[cv_2018]) + SUMIF(tblTencentUnits[Products],$A47, tblTencentUnits[cv_2018]) + SUMIF(tblBaiduUnits[Products],$A47, tblBaiduUnits[cv_2018]) + SUMIF(tblByteDanceUnits[Products],$A47, tblByteDanceUnits[cv_2018]) + SUMIF(tblCloudAOUnits[Products],$A47, tblCloudAOUnits[cv_2018]) + SUMIF(tblTelecomUnits[Products],$A47, tblTelecomUnits[cv_2018]) + SUMIF(tblEnterpriseUnits[Products],$A47, tblEnterpriseUnits[cv_2018])</f>
        <v>502708</v>
      </c>
      <c r="C47" s="8">
        <f xml:space="preserve"> SUMIF(tblGoogleUnits[Products],$A47, tblGoogleUnits[cv_2019]) + SUMIF(tblMetaUnits[Products],$A47, tblMetaUnits[cv_2019]) + SUMIF(tblAmazonUnits[Products],$A47, tblAmazonUnits[cv_2019]) + SUMIF(tblMicrosoftUnits[Products],$A47, tblMicrosoftUnits[cv_2019]) + SUMIF(tblAppleUnits[Products],$A47, tblAppleUnits[cv_2019]) + SUMIF(tblAlibabaUnits[Products],$A47, tblAlibabaUnits[cv_2019]) + SUMIF(tblHuaweiUnits[Products],$A47, tblHuaweiUnits[cv_2019]) + SUMIF(tblTencentUnits[Products],$A47, tblTencentUnits[cv_2019]) + SUMIF(tblBaiduUnits[Products],$A47, tblBaiduUnits[cv_2019]) + SUMIF(tblByteDanceUnits[Products],$A47, tblByteDanceUnits[cv_2019]) + SUMIF(tblCloudAOUnits[Products],$A47, tblCloudAOUnits[cv_2019]) + SUMIF(tblTelecomUnits[Products],$A47, tblTelecomUnits[cv_2019]) + SUMIF(tblEnterpriseUnits[Products],$A47, tblEnterpriseUnits[cv_2019])</f>
        <v>496500</v>
      </c>
      <c r="D47" s="8">
        <f xml:space="preserve"> SUMIF(tblGoogleUnits[Products],$A47, tblGoogleUnits[cv_2020]) + SUMIF(tblMetaUnits[Products],$A47, tblMetaUnits[cv_2020]) + SUMIF(tblAmazonUnits[Products],$A47, tblAmazonUnits[cv_2020]) + SUMIF(tblMicrosoftUnits[Products],$A47, tblMicrosoftUnits[cv_2020]) + SUMIF(tblAppleUnits[Products],$A47, tblAppleUnits[cv_2020]) + SUMIF(tblAlibabaUnits[Products],$A47, tblAlibabaUnits[cv_2020]) + SUMIF(tblHuaweiUnits[Products],$A47, tblHuaweiUnits[cv_2020]) + SUMIF(tblTencentUnits[Products],$A47, tblTencentUnits[cv_2020]) + SUMIF(tblBaiduUnits[Products],$A47, tblBaiduUnits[cv_2020]) + SUMIF(tblByteDanceUnits[Products],$A47, tblByteDanceUnits[cv_2020]) + SUMIF(tblCloudAOUnits[Products],$A47, tblCloudAOUnits[cv_2020]) + SUMIF(tblTelecomUnits[Products],$A47, tblTelecomUnits[cv_2020]) + SUMIF(tblEnterpriseUnits[Products],$A47, tblEnterpriseUnits[cv_2020])</f>
        <v>0</v>
      </c>
      <c r="E47" s="8">
        <f xml:space="preserve"> SUMIF(tblGoogleUnits[Products],$A47, tblGoogleUnits[cv_2021]) + SUMIF(tblMetaUnits[Products],$A47, tblMetaUnits[cv_2021]) + SUMIF(tblAmazonUnits[Products],$A47, tblAmazonUnits[cv_2021]) + SUMIF(tblMicrosoftUnits[Products],$A47, tblMicrosoftUnits[cv_2021]) + SUMIF(tblAppleUnits[Products],$A47, tblAppleUnits[cv_2021]) + SUMIF(tblAlibabaUnits[Products],$A47, tblAlibabaUnits[cv_2021]) + SUMIF(tblHuaweiUnits[Products],$A47, tblHuaweiUnits[cv_2021]) + SUMIF(tblTencentUnits[Products],$A47, tblTencentUnits[cv_2021]) + SUMIF(tblBaiduUnits[Products],$A47, tblBaiduUnits[cv_2021]) + SUMIF(tblByteDanceUnits[Products],$A47, tblByteDanceUnits[cv_2021]) + SUMIF(tblCloudAOUnits[Products],$A47, tblCloudAOUnits[cv_2021]) + SUMIF(tblTelecomUnits[Products],$A47, tblTelecomUnits[cv_2021]) + SUMIF(tblEnterpriseUnits[Products],$A47, tblEnterpriseUnits[cv_2021])</f>
        <v>0</v>
      </c>
      <c r="F47" s="8">
        <f xml:space="preserve"> SUMIF(tblGoogleUnits[Products],$A47, tblGoogleUnits[cv_2022]) + SUMIF(tblMetaUnits[Products],$A47, tblMetaUnits[cv_2022]) + SUMIF(tblAmazonUnits[Products],$A47, tblAmazonUnits[cv_2022]) + SUMIF(tblMicrosoftUnits[Products],$A47, tblMicrosoftUnits[cv_2022]) + SUMIF(tblAppleUnits[Products],$A47, tblAppleUnits[cv_2022]) + SUMIF(tblAlibabaUnits[Products],$A47, tblAlibabaUnits[cv_2022]) + SUMIF(tblHuaweiUnits[Products],$A47, tblHuaweiUnits[cv_2022]) + SUMIF(tblTencentUnits[Products],$A47, tblTencentUnits[cv_2022]) + SUMIF(tblBaiduUnits[Products],$A47, tblBaiduUnits[cv_2022]) + SUMIF(tblByteDanceUnits[Products],$A47, tblByteDanceUnits[cv_2022]) + SUMIF(tblCloudAOUnits[Products],$A47, tblCloudAOUnits[cv_2022]) + SUMIF(tblTelecomUnits[Products],$A47, tblTelecomUnits[cv_2022]) + SUMIF(tblEnterpriseUnits[Products],$A47, tblEnterpriseUnits[cv_2022])</f>
        <v>0</v>
      </c>
      <c r="G47" s="8">
        <f xml:space="preserve"> SUMIF(tblGoogleUnits[Products],$A47, tblGoogleUnits[cv_2023]) + SUMIF(tblMetaUnits[Products],$A47, tblMetaUnits[cv_2023]) + SUMIF(tblAmazonUnits[Products],$A47, tblAmazonUnits[cv_2023]) + SUMIF(tblMicrosoftUnits[Products],$A47, tblMicrosoftUnits[cv_2023]) + SUMIF(tblAppleUnits[Products],$A47, tblAppleUnits[cv_2023]) + SUMIF(tblAlibabaUnits[Products],$A47, tblAlibabaUnits[cv_2023]) + SUMIF(tblHuaweiUnits[Products],$A47, tblHuaweiUnits[cv_2023]) + SUMIF(tblTencentUnits[Products],$A47, tblTencentUnits[cv_2023]) + SUMIF(tblBaiduUnits[Products],$A47, tblBaiduUnits[cv_2023]) + SUMIF(tblByteDanceUnits[Products],$A47, tblByteDanceUnits[cv_2023]) + SUMIF(tblCloudAOUnits[Products],$A47, tblCloudAOUnits[cv_2023]) + SUMIF(tblTelecomUnits[Products],$A47, tblTelecomUnits[cv_2023]) + SUMIF(tblEnterpriseUnits[Products],$A47, tblEnterpriseUnits[cv_2023])</f>
        <v>0</v>
      </c>
      <c r="H47" s="8">
        <f xml:space="preserve"> SUMIF(tblGoogleUnits[Products],$A47, tblGoogleUnits[cv_2024]) + SUMIF(tblMetaUnits[Products],$A47, tblMetaUnits[cv_2024]) + SUMIF(tblAmazonUnits[Products],$A47, tblAmazonUnits[cv_2024]) + SUMIF(tblMicrosoftUnits[Products],$A47, tblMicrosoftUnits[cv_2024]) + SUMIF(tblAppleUnits[Products],$A47, tblAppleUnits[cv_2024]) + SUMIF(tblAlibabaUnits[Products],$A47, tblAlibabaUnits[cv_2024]) + SUMIF(tblHuaweiUnits[Products],$A47, tblHuaweiUnits[cv_2024]) + SUMIF(tblTencentUnits[Products],$A47, tblTencentUnits[cv_2024]) + SUMIF(tblBaiduUnits[Products],$A47, tblBaiduUnits[cv_2024]) + SUMIF(tblByteDanceUnits[Products],$A47, tblByteDanceUnits[cv_2024]) + SUMIF(tblCloudAOUnits[Products],$A47, tblCloudAOUnits[cv_2024]) + SUMIF(tblTelecomUnits[Products],$A47, tblTelecomUnits[cv_2024]) + SUMIF(tblEnterpriseUnits[Products],$A47, tblEnterpriseUnits[cv_2024])</f>
        <v>0</v>
      </c>
      <c r="I47" s="8">
        <f xml:space="preserve"> SUMIF(tblGoogleUnits[Products],$A47, tblGoogleUnits[cv_2025]) + SUMIF(tblMetaUnits[Products],$A47, tblMetaUnits[cv_2025]) + SUMIF(tblAmazonUnits[Products],$A47, tblAmazonUnits[cv_2025]) + SUMIF(tblMicrosoftUnits[Products],$A47, tblMicrosoftUnits[cv_2025]) + SUMIF(tblAppleUnits[Products],$A47, tblAppleUnits[cv_2025]) + SUMIF(tblAlibabaUnits[Products],$A47, tblAlibabaUnits[cv_2025]) + SUMIF(tblHuaweiUnits[Products],$A47, tblHuaweiUnits[cv_2025]) + SUMIF(tblTencentUnits[Products],$A47, tblTencentUnits[cv_2025]) + SUMIF(tblBaiduUnits[Products],$A47, tblBaiduUnits[cv_2025]) + SUMIF(tblByteDanceUnits[Products],$A47, tblByteDanceUnits[cv_2025]) + SUMIF(tblCloudAOUnits[Products],$A47, tblCloudAOUnits[cv_2025]) + SUMIF(tblTelecomUnits[Products],$A47, tblTelecomUnits[cv_2025]) + SUMIF(tblEnterpriseUnits[Products],$A47, tblEnterpriseUnits[cv_2025])</f>
        <v>0</v>
      </c>
      <c r="J47" s="8">
        <f xml:space="preserve"> SUMIF(tblGoogleUnits[Products],$A47, tblGoogleUnits[cv_2026]) + SUMIF(tblMetaUnits[Products],$A47, tblMetaUnits[cv_2026]) + SUMIF(tblAmazonUnits[Products],$A47, tblAmazonUnits[cv_2026]) + SUMIF(tblMicrosoftUnits[Products],$A47, tblMicrosoftUnits[cv_2026]) + SUMIF(tblAppleUnits[Products],$A47, tblAppleUnits[cv_2026]) + SUMIF(tblAlibabaUnits[Products],$A47, tblAlibabaUnits[cv_2026]) + SUMIF(tblHuaweiUnits[Products],$A47, tblHuaweiUnits[cv_2026]) + SUMIF(tblTencentUnits[Products],$A47, tblTencentUnits[cv_2026]) + SUMIF(tblBaiduUnits[Products],$A47, tblBaiduUnits[cv_2026]) + SUMIF(tblByteDanceUnits[Products],$A47, tblByteDanceUnits[cv_2026]) + SUMIF(tblCloudAOUnits[Products],$A47, tblCloudAOUnits[cv_2026]) + SUMIF(tblTelecomUnits[Products],$A47, tblTelecomUnits[cv_2026]) + SUMIF(tblEnterpriseUnits[Products],$A47, tblEnterpriseUnits[cv_2026])</f>
        <v>0</v>
      </c>
      <c r="K47" s="8">
        <f xml:space="preserve"> SUMIF(tblGoogleUnits[Products],$A47, tblGoogleUnits[cv_2027]) + SUMIF(tblMetaUnits[Products],$A47, tblMetaUnits[cv_2027]) + SUMIF(tblAmazonUnits[Products],$A47, tblAmazonUnits[cv_2027]) + SUMIF(tblMicrosoftUnits[Products],$A47, tblMicrosoftUnits[cv_2027]) + SUMIF(tblAppleUnits[Products],$A47, tblAppleUnits[cv_2027]) + SUMIF(tblAlibabaUnits[Products],$A47, tblAlibabaUnits[cv_2027]) + SUMIF(tblHuaweiUnits[Products],$A47, tblHuaweiUnits[cv_2027]) + SUMIF(tblTencentUnits[Products],$A47, tblTencentUnits[cv_2027]) + SUMIF(tblBaiduUnits[Products],$A47, tblBaiduUnits[cv_2027]) + SUMIF(tblByteDanceUnits[Products],$A47, tblByteDanceUnits[cv_2027]) + SUMIF(tblCloudAOUnits[Products],$A47, tblCloudAOUnits[cv_2027]) + SUMIF(tblTelecomUnits[Products],$A47, tblTelecomUnits[cv_2027]) + SUMIF(tblEnterpriseUnits[Products],$A47, tblEnterpriseUnits[cv_2027])</f>
        <v>0</v>
      </c>
      <c r="L47" s="8">
        <f xml:space="preserve"> SUMIF(tblGoogleUnits[Products],$A47, tblGoogleUnits[cv_2028]) + SUMIF(tblMetaUnits[Products],$A47, tblMetaUnits[cv_2028]) + SUMIF(tblAmazonUnits[Products],$A47, tblAmazonUnits[cv_2028]) + SUMIF(tblMicrosoftUnits[Products],$A47, tblMicrosoftUnits[cv_2028]) + SUMIF(tblAppleUnits[Products],$A47, tblAppleUnits[cv_2028]) + SUMIF(tblAlibabaUnits[Products],$A47, tblAlibabaUnits[cv_2028]) + SUMIF(tblHuaweiUnits[Products],$A47, tblHuaweiUnits[cv_2028]) + SUMIF(tblTencentUnits[Products],$A47, tblTencentUnits[cv_2028]) + SUMIF(tblBaiduUnits[Products],$A47, tblBaiduUnits[cv_2028]) + SUMIF(tblByteDanceUnits[Products],$A47, tblByteDanceUnits[cv_2028]) + SUMIF(tblCloudAOUnits[Products],$A47, tblCloudAOUnits[cv_2028]) + SUMIF(tblTelecomUnits[Products],$A47, tblTelecomUnits[cv_2028]) + SUMIF(tblEnterpriseUnits[Products],$A47, tblEnterpriseUnits[cv_2028])</f>
        <v>0</v>
      </c>
      <c r="M47" s="105" cm="1">
        <f t="array" ref="M47">INDEX(tblPrices[cv_2018], MATCH($A47,tblPrices[Products],0), 0)</f>
        <v>251.75081757202989</v>
      </c>
      <c r="N47" s="105" cm="1">
        <f t="array" ref="N47">INDEX(tblPrices[cv_2019], MATCH($A47,tblPrices[Products],0), 0)</f>
        <v>229.09940986908356</v>
      </c>
      <c r="O47" s="105" cm="1">
        <f t="array" ref="O47">INDEX(tblPrices[cv_2020], MATCH($A47,tblPrices[Products],0), 0)</f>
        <v>0</v>
      </c>
      <c r="P47" s="105" cm="1">
        <f t="array" ref="P47">INDEX(tblPrices[cv_2021], MATCH($A47,tblPrices[Products],0), 0)</f>
        <v>0</v>
      </c>
      <c r="Q47" s="105" cm="1">
        <f t="array" ref="Q47">INDEX(tblPrices[cv_2022], MATCH($A47,tblPrices[Products],0), 0)</f>
        <v>0</v>
      </c>
      <c r="R47" s="105" cm="1">
        <f t="array" ref="R47">INDEX(tblPrices[cv_2023], MATCH($A47,tblPrices[Products],0), 0)</f>
        <v>0</v>
      </c>
      <c r="S47" s="105" cm="1">
        <f t="array" ref="S47">INDEX(tblPrices[cv_2024], MATCH($A47,tblPrices[Products],0), 0)</f>
        <v>0</v>
      </c>
      <c r="T47" s="105" cm="1">
        <f t="array" ref="T47">INDEX(tblPrices[cv_2025], MATCH($A47,tblPrices[Products],0), 0)</f>
        <v>0</v>
      </c>
      <c r="U47" s="105" cm="1">
        <f t="array" ref="U47">INDEX(tblPrices[cv_2026], MATCH($A47,tblPrices[Products],0), 0)</f>
        <v>0</v>
      </c>
      <c r="V47" s="105" cm="1">
        <f t="array" ref="V47">INDEX(tblPrices[cv_2027], MATCH($A47,tblPrices[Products],0), 0)</f>
        <v>0</v>
      </c>
      <c r="W47" s="105" cm="1">
        <f t="array" ref="W47">INDEX(tblPrices[cv_2028], MATCH($A47,tblPrices[Products],0), 0)</f>
        <v>0</v>
      </c>
      <c r="X47" s="106" cm="1">
        <f t="array" ref="X47">INDEX(tblPrices[cv_2018], MATCH($A47,tblPrices[Products],0), 0)* tblForecast[[#This Row],[un_2018]]/10^6</f>
        <v>126.55714999999999</v>
      </c>
      <c r="Y47" s="106" cm="1">
        <f t="array" ref="Y47">INDEX(tblPrices[cv_2019], MATCH($A47,tblPrices[Products],0), 0)* tblForecast[[#This Row],[un_2019]]/10^6</f>
        <v>113.74785699999998</v>
      </c>
      <c r="Z47" s="106" cm="1">
        <f t="array" ref="Z47">INDEX(tblPrices[cv_2020], MATCH($A47,tblPrices[Products],0), 0)* tblForecast[[#This Row],[un_2020]]/10^6</f>
        <v>0</v>
      </c>
      <c r="AA47" s="106" cm="1">
        <f t="array" ref="AA47">INDEX(tblPrices[cv_2021], MATCH($A47,tblPrices[Products],0), 0)* tblForecast[[#This Row],[un_2021]]/10^6</f>
        <v>0</v>
      </c>
      <c r="AB47" s="106" cm="1">
        <f t="array" ref="AB47">INDEX(tblPrices[cv_2022], MATCH($A47,tblPrices[Products],0), 0)* tblForecast[[#This Row],[un_2022]]/10^6</f>
        <v>0</v>
      </c>
      <c r="AC47" s="106" cm="1">
        <f t="array" ref="AC47">INDEX(tblPrices[cv_2023], MATCH($A47,tblPrices[Products],0), 0)* tblForecast[[#This Row],[un_2023]]/10^6</f>
        <v>0</v>
      </c>
      <c r="AD47" s="106" cm="1">
        <f t="array" ref="AD47">INDEX(tblPrices[cv_2024], MATCH($A47,tblPrices[Products],0), 0)* tblForecast[[#This Row],[un_2024]]/10^6</f>
        <v>0</v>
      </c>
      <c r="AE47" s="106" cm="1">
        <f t="array" ref="AE47">INDEX(tblPrices[cv_2025], MATCH($A47,tblPrices[Products],0), 0)* tblForecast[[#This Row],[un_2025]]/10^6</f>
        <v>0</v>
      </c>
      <c r="AF47" s="106" cm="1">
        <f t="array" ref="AF47">INDEX(tblPrices[cv_2026], MATCH($A47,tblPrices[Products],0), 0)* tblForecast[[#This Row],[un_2026]]/10^6</f>
        <v>0</v>
      </c>
      <c r="AG47" s="106" cm="1">
        <f t="array" ref="AG47">INDEX(tblPrices[cv_2027], MATCH($A47,tblPrices[Products],0), 0)* tblForecast[[#This Row],[un_2027]]/10^6</f>
        <v>0</v>
      </c>
      <c r="AH47" s="106" cm="1">
        <f t="array" ref="AH47">INDEX(tblPrices[cv_2028], MATCH($A47,tblPrices[Products],0), 0)* tblForecast[[#This Row],[un_2028]]/10^6</f>
        <v>0</v>
      </c>
      <c r="AI47" s="60">
        <f>VLOOKUP(A47,Products!$A$11:$F$110,6,FALSE)</f>
        <v>40</v>
      </c>
    </row>
    <row r="48" spans="1:35">
      <c r="A48" s="12" t="s">
        <v>169</v>
      </c>
      <c r="B48" s="8">
        <f xml:space="preserve"> SUMIF(tblGoogleUnits[Products],$A48, tblGoogleUnits[cv_2018]) + SUMIF(tblMetaUnits[Products],$A48, tblMetaUnits[cv_2018]) + SUMIF(tblAmazonUnits[Products],$A48, tblAmazonUnits[cv_2018]) + SUMIF(tblMicrosoftUnits[Products],$A48, tblMicrosoftUnits[cv_2018]) + SUMIF(tblAppleUnits[Products],$A48, tblAppleUnits[cv_2018]) + SUMIF(tblAlibabaUnits[Products],$A48, tblAlibabaUnits[cv_2018]) + SUMIF(tblHuaweiUnits[Products],$A48, tblHuaweiUnits[cv_2018]) + SUMIF(tblTencentUnits[Products],$A48, tblTencentUnits[cv_2018]) + SUMIF(tblBaiduUnits[Products],$A48, tblBaiduUnits[cv_2018]) + SUMIF(tblByteDanceUnits[Products],$A48, tblByteDanceUnits[cv_2018]) + SUMIF(tblCloudAOUnits[Products],$A48, tblCloudAOUnits[cv_2018]) + SUMIF(tblTelecomUnits[Products],$A48, tblTelecomUnits[cv_2018]) + SUMIF(tblEnterpriseUnits[Products],$A48, tblEnterpriseUnits[cv_2018])</f>
        <v>0</v>
      </c>
      <c r="C48" s="8">
        <f xml:space="preserve"> SUMIF(tblGoogleUnits[Products],$A48, tblGoogleUnits[cv_2019]) + SUMIF(tblMetaUnits[Products],$A48, tblMetaUnits[cv_2019]) + SUMIF(tblAmazonUnits[Products],$A48, tblAmazonUnits[cv_2019]) + SUMIF(tblMicrosoftUnits[Products],$A48, tblMicrosoftUnits[cv_2019]) + SUMIF(tblAppleUnits[Products],$A48, tblAppleUnits[cv_2019]) + SUMIF(tblAlibabaUnits[Products],$A48, tblAlibabaUnits[cv_2019]) + SUMIF(tblHuaweiUnits[Products],$A48, tblHuaweiUnits[cv_2019]) + SUMIF(tblTencentUnits[Products],$A48, tblTencentUnits[cv_2019]) + SUMIF(tblBaiduUnits[Products],$A48, tblBaiduUnits[cv_2019]) + SUMIF(tblByteDanceUnits[Products],$A48, tblByteDanceUnits[cv_2019]) + SUMIF(tblCloudAOUnits[Products],$A48, tblCloudAOUnits[cv_2019]) + SUMIF(tblTelecomUnits[Products],$A48, tblTelecomUnits[cv_2019]) + SUMIF(tblEnterpriseUnits[Products],$A48, tblEnterpriseUnits[cv_2019])</f>
        <v>0</v>
      </c>
      <c r="D48" s="8">
        <f xml:space="preserve"> SUMIF(tblGoogleUnits[Products],$A48, tblGoogleUnits[cv_2020]) + SUMIF(tblMetaUnits[Products],$A48, tblMetaUnits[cv_2020]) + SUMIF(tblAmazonUnits[Products],$A48, tblAmazonUnits[cv_2020]) + SUMIF(tblMicrosoftUnits[Products],$A48, tblMicrosoftUnits[cv_2020]) + SUMIF(tblAppleUnits[Products],$A48, tblAppleUnits[cv_2020]) + SUMIF(tblAlibabaUnits[Products],$A48, tblAlibabaUnits[cv_2020]) + SUMIF(tblHuaweiUnits[Products],$A48, tblHuaweiUnits[cv_2020]) + SUMIF(tblTencentUnits[Products],$A48, tblTencentUnits[cv_2020]) + SUMIF(tblBaiduUnits[Products],$A48, tblBaiduUnits[cv_2020]) + SUMIF(tblByteDanceUnits[Products],$A48, tblByteDanceUnits[cv_2020]) + SUMIF(tblCloudAOUnits[Products],$A48, tblCloudAOUnits[cv_2020]) + SUMIF(tblTelecomUnits[Products],$A48, tblTelecomUnits[cv_2020]) + SUMIF(tblEnterpriseUnits[Products],$A48, tblEnterpriseUnits[cv_2020])</f>
        <v>0</v>
      </c>
      <c r="E48" s="8">
        <f xml:space="preserve"> SUMIF(tblGoogleUnits[Products],$A48, tblGoogleUnits[cv_2021]) + SUMIF(tblMetaUnits[Products],$A48, tblMetaUnits[cv_2021]) + SUMIF(tblAmazonUnits[Products],$A48, tblAmazonUnits[cv_2021]) + SUMIF(tblMicrosoftUnits[Products],$A48, tblMicrosoftUnits[cv_2021]) + SUMIF(tblAppleUnits[Products],$A48, tblAppleUnits[cv_2021]) + SUMIF(tblAlibabaUnits[Products],$A48, tblAlibabaUnits[cv_2021]) + SUMIF(tblHuaweiUnits[Products],$A48, tblHuaweiUnits[cv_2021]) + SUMIF(tblTencentUnits[Products],$A48, tblTencentUnits[cv_2021]) + SUMIF(tblBaiduUnits[Products],$A48, tblBaiduUnits[cv_2021]) + SUMIF(tblByteDanceUnits[Products],$A48, tblByteDanceUnits[cv_2021]) + SUMIF(tblCloudAOUnits[Products],$A48, tblCloudAOUnits[cv_2021]) + SUMIF(tblTelecomUnits[Products],$A48, tblTelecomUnits[cv_2021]) + SUMIF(tblEnterpriseUnits[Products],$A48, tblEnterpriseUnits[cv_2021])</f>
        <v>0</v>
      </c>
      <c r="F48" s="8">
        <f xml:space="preserve"> SUMIF(tblGoogleUnits[Products],$A48, tblGoogleUnits[cv_2022]) + SUMIF(tblMetaUnits[Products],$A48, tblMetaUnits[cv_2022]) + SUMIF(tblAmazonUnits[Products],$A48, tblAmazonUnits[cv_2022]) + SUMIF(tblMicrosoftUnits[Products],$A48, tblMicrosoftUnits[cv_2022]) + SUMIF(tblAppleUnits[Products],$A48, tblAppleUnits[cv_2022]) + SUMIF(tblAlibabaUnits[Products],$A48, tblAlibabaUnits[cv_2022]) + SUMIF(tblHuaweiUnits[Products],$A48, tblHuaweiUnits[cv_2022]) + SUMIF(tblTencentUnits[Products],$A48, tblTencentUnits[cv_2022]) + SUMIF(tblBaiduUnits[Products],$A48, tblBaiduUnits[cv_2022]) + SUMIF(tblByteDanceUnits[Products],$A48, tblByteDanceUnits[cv_2022]) + SUMIF(tblCloudAOUnits[Products],$A48, tblCloudAOUnits[cv_2022]) + SUMIF(tblTelecomUnits[Products],$A48, tblTelecomUnits[cv_2022]) + SUMIF(tblEnterpriseUnits[Products],$A48, tblEnterpriseUnits[cv_2022])</f>
        <v>0</v>
      </c>
      <c r="G48" s="8">
        <f xml:space="preserve"> SUMIF(tblGoogleUnits[Products],$A48, tblGoogleUnits[cv_2023]) + SUMIF(tblMetaUnits[Products],$A48, tblMetaUnits[cv_2023]) + SUMIF(tblAmazonUnits[Products],$A48, tblAmazonUnits[cv_2023]) + SUMIF(tblMicrosoftUnits[Products],$A48, tblMicrosoftUnits[cv_2023]) + SUMIF(tblAppleUnits[Products],$A48, tblAppleUnits[cv_2023]) + SUMIF(tblAlibabaUnits[Products],$A48, tblAlibabaUnits[cv_2023]) + SUMIF(tblHuaweiUnits[Products],$A48, tblHuaweiUnits[cv_2023]) + SUMIF(tblTencentUnits[Products],$A48, tblTencentUnits[cv_2023]) + SUMIF(tblBaiduUnits[Products],$A48, tblBaiduUnits[cv_2023]) + SUMIF(tblByteDanceUnits[Products],$A48, tblByteDanceUnits[cv_2023]) + SUMIF(tblCloudAOUnits[Products],$A48, tblCloudAOUnits[cv_2023]) + SUMIF(tblTelecomUnits[Products],$A48, tblTelecomUnits[cv_2023]) + SUMIF(tblEnterpriseUnits[Products],$A48, tblEnterpriseUnits[cv_2023])</f>
        <v>0</v>
      </c>
      <c r="H48" s="8">
        <f xml:space="preserve"> SUMIF(tblGoogleUnits[Products],$A48, tblGoogleUnits[cv_2024]) + SUMIF(tblMetaUnits[Products],$A48, tblMetaUnits[cv_2024]) + SUMIF(tblAmazonUnits[Products],$A48, tblAmazonUnits[cv_2024]) + SUMIF(tblMicrosoftUnits[Products],$A48, tblMicrosoftUnits[cv_2024]) + SUMIF(tblAppleUnits[Products],$A48, tblAppleUnits[cv_2024]) + SUMIF(tblAlibabaUnits[Products],$A48, tblAlibabaUnits[cv_2024]) + SUMIF(tblHuaweiUnits[Products],$A48, tblHuaweiUnits[cv_2024]) + SUMIF(tblTencentUnits[Products],$A48, tblTencentUnits[cv_2024]) + SUMIF(tblBaiduUnits[Products],$A48, tblBaiduUnits[cv_2024]) + SUMIF(tblByteDanceUnits[Products],$A48, tblByteDanceUnits[cv_2024]) + SUMIF(tblCloudAOUnits[Products],$A48, tblCloudAOUnits[cv_2024]) + SUMIF(tblTelecomUnits[Products],$A48, tblTelecomUnits[cv_2024]) + SUMIF(tblEnterpriseUnits[Products],$A48, tblEnterpriseUnits[cv_2024])</f>
        <v>0</v>
      </c>
      <c r="I48" s="8">
        <f xml:space="preserve"> SUMIF(tblGoogleUnits[Products],$A48, tblGoogleUnits[cv_2025]) + SUMIF(tblMetaUnits[Products],$A48, tblMetaUnits[cv_2025]) + SUMIF(tblAmazonUnits[Products],$A48, tblAmazonUnits[cv_2025]) + SUMIF(tblMicrosoftUnits[Products],$A48, tblMicrosoftUnits[cv_2025]) + SUMIF(tblAppleUnits[Products],$A48, tblAppleUnits[cv_2025]) + SUMIF(tblAlibabaUnits[Products],$A48, tblAlibabaUnits[cv_2025]) + SUMIF(tblHuaweiUnits[Products],$A48, tblHuaweiUnits[cv_2025]) + SUMIF(tblTencentUnits[Products],$A48, tblTencentUnits[cv_2025]) + SUMIF(tblBaiduUnits[Products],$A48, tblBaiduUnits[cv_2025]) + SUMIF(tblByteDanceUnits[Products],$A48, tblByteDanceUnits[cv_2025]) + SUMIF(tblCloudAOUnits[Products],$A48, tblCloudAOUnits[cv_2025]) + SUMIF(tblTelecomUnits[Products],$A48, tblTelecomUnits[cv_2025]) + SUMIF(tblEnterpriseUnits[Products],$A48, tblEnterpriseUnits[cv_2025])</f>
        <v>0</v>
      </c>
      <c r="J48" s="8">
        <f xml:space="preserve"> SUMIF(tblGoogleUnits[Products],$A48, tblGoogleUnits[cv_2026]) + SUMIF(tblMetaUnits[Products],$A48, tblMetaUnits[cv_2026]) + SUMIF(tblAmazonUnits[Products],$A48, tblAmazonUnits[cv_2026]) + SUMIF(tblMicrosoftUnits[Products],$A48, tblMicrosoftUnits[cv_2026]) + SUMIF(tblAppleUnits[Products],$A48, tblAppleUnits[cv_2026]) + SUMIF(tblAlibabaUnits[Products],$A48, tblAlibabaUnits[cv_2026]) + SUMIF(tblHuaweiUnits[Products],$A48, tblHuaweiUnits[cv_2026]) + SUMIF(tblTencentUnits[Products],$A48, tblTencentUnits[cv_2026]) + SUMIF(tblBaiduUnits[Products],$A48, tblBaiduUnits[cv_2026]) + SUMIF(tblByteDanceUnits[Products],$A48, tblByteDanceUnits[cv_2026]) + SUMIF(tblCloudAOUnits[Products],$A48, tblCloudAOUnits[cv_2026]) + SUMIF(tblTelecomUnits[Products],$A48, tblTelecomUnits[cv_2026]) + SUMIF(tblEnterpriseUnits[Products],$A48, tblEnterpriseUnits[cv_2026])</f>
        <v>0</v>
      </c>
      <c r="K48" s="8">
        <f xml:space="preserve"> SUMIF(tblGoogleUnits[Products],$A48, tblGoogleUnits[cv_2027]) + SUMIF(tblMetaUnits[Products],$A48, tblMetaUnits[cv_2027]) + SUMIF(tblAmazonUnits[Products],$A48, tblAmazonUnits[cv_2027]) + SUMIF(tblMicrosoftUnits[Products],$A48, tblMicrosoftUnits[cv_2027]) + SUMIF(tblAppleUnits[Products],$A48, tblAppleUnits[cv_2027]) + SUMIF(tblAlibabaUnits[Products],$A48, tblAlibabaUnits[cv_2027]) + SUMIF(tblHuaweiUnits[Products],$A48, tblHuaweiUnits[cv_2027]) + SUMIF(tblTencentUnits[Products],$A48, tblTencentUnits[cv_2027]) + SUMIF(tblBaiduUnits[Products],$A48, tblBaiduUnits[cv_2027]) + SUMIF(tblByteDanceUnits[Products],$A48, tblByteDanceUnits[cv_2027]) + SUMIF(tblCloudAOUnits[Products],$A48, tblCloudAOUnits[cv_2027]) + SUMIF(tblTelecomUnits[Products],$A48, tblTelecomUnits[cv_2027]) + SUMIF(tblEnterpriseUnits[Products],$A48, tblEnterpriseUnits[cv_2027])</f>
        <v>0</v>
      </c>
      <c r="L48" s="8">
        <f xml:space="preserve"> SUMIF(tblGoogleUnits[Products],$A48, tblGoogleUnits[cv_2028]) + SUMIF(tblMetaUnits[Products],$A48, tblMetaUnits[cv_2028]) + SUMIF(tblAmazonUnits[Products],$A48, tblAmazonUnits[cv_2028]) + SUMIF(tblMicrosoftUnits[Products],$A48, tblMicrosoftUnits[cv_2028]) + SUMIF(tblAppleUnits[Products],$A48, tblAppleUnits[cv_2028]) + SUMIF(tblAlibabaUnits[Products],$A48, tblAlibabaUnits[cv_2028]) + SUMIF(tblHuaweiUnits[Products],$A48, tblHuaweiUnits[cv_2028]) + SUMIF(tblTencentUnits[Products],$A48, tblTencentUnits[cv_2028]) + SUMIF(tblBaiduUnits[Products],$A48, tblBaiduUnits[cv_2028]) + SUMIF(tblByteDanceUnits[Products],$A48, tblByteDanceUnits[cv_2028]) + SUMIF(tblCloudAOUnits[Products],$A48, tblCloudAOUnits[cv_2028]) + SUMIF(tblTelecomUnits[Products],$A48, tblTelecomUnits[cv_2028]) + SUMIF(tblEnterpriseUnits[Products],$A48, tblEnterpriseUnits[cv_2028])</f>
        <v>0</v>
      </c>
      <c r="M48" s="105" cm="1">
        <f t="array" ref="M48">INDEX(tblPrices[cv_2018], MATCH($A48,tblPrices[Products],0), 0)</f>
        <v>0</v>
      </c>
      <c r="N48" s="105" cm="1">
        <f t="array" ref="N48">INDEX(tblPrices[cv_2019], MATCH($A48,tblPrices[Products],0), 0)</f>
        <v>0</v>
      </c>
      <c r="O48" s="105" cm="1">
        <f t="array" ref="O48">INDEX(tblPrices[cv_2020], MATCH($A48,tblPrices[Products],0), 0)</f>
        <v>0</v>
      </c>
      <c r="P48" s="105" cm="1">
        <f t="array" ref="P48">INDEX(tblPrices[cv_2021], MATCH($A48,tblPrices[Products],0), 0)</f>
        <v>0</v>
      </c>
      <c r="Q48" s="105" cm="1">
        <f t="array" ref="Q48">INDEX(tblPrices[cv_2022], MATCH($A48,tblPrices[Products],0), 0)</f>
        <v>0</v>
      </c>
      <c r="R48" s="105" cm="1">
        <f t="array" ref="R48">INDEX(tblPrices[cv_2023], MATCH($A48,tblPrices[Products],0), 0)</f>
        <v>0</v>
      </c>
      <c r="S48" s="105" cm="1">
        <f t="array" ref="S48">INDEX(tblPrices[cv_2024], MATCH($A48,tblPrices[Products],0), 0)</f>
        <v>0</v>
      </c>
      <c r="T48" s="105" cm="1">
        <f t="array" ref="T48">INDEX(tblPrices[cv_2025], MATCH($A48,tblPrices[Products],0), 0)</f>
        <v>0</v>
      </c>
      <c r="U48" s="105" cm="1">
        <f t="array" ref="U48">INDEX(tblPrices[cv_2026], MATCH($A48,tblPrices[Products],0), 0)</f>
        <v>0</v>
      </c>
      <c r="V48" s="105" cm="1">
        <f t="array" ref="V48">INDEX(tblPrices[cv_2027], MATCH($A48,tblPrices[Products],0), 0)</f>
        <v>0</v>
      </c>
      <c r="W48" s="105" cm="1">
        <f t="array" ref="W48">INDEX(tblPrices[cv_2028], MATCH($A48,tblPrices[Products],0), 0)</f>
        <v>0</v>
      </c>
      <c r="X48" s="106" cm="1">
        <f t="array" ref="X48">INDEX(tblPrices[cv_2018], MATCH($A48,tblPrices[Products],0), 0)* tblForecast[[#This Row],[un_2018]]/10^6</f>
        <v>0</v>
      </c>
      <c r="Y48" s="106" cm="1">
        <f t="array" ref="Y48">INDEX(tblPrices[cv_2019], MATCH($A48,tblPrices[Products],0), 0)* tblForecast[[#This Row],[un_2019]]/10^6</f>
        <v>0</v>
      </c>
      <c r="Z48" s="106" cm="1">
        <f t="array" ref="Z48">INDEX(tblPrices[cv_2020], MATCH($A48,tblPrices[Products],0), 0)* tblForecast[[#This Row],[un_2020]]/10^6</f>
        <v>0</v>
      </c>
      <c r="AA48" s="106" cm="1">
        <f t="array" ref="AA48">INDEX(tblPrices[cv_2021], MATCH($A48,tblPrices[Products],0), 0)* tblForecast[[#This Row],[un_2021]]/10^6</f>
        <v>0</v>
      </c>
      <c r="AB48" s="106" cm="1">
        <f t="array" ref="AB48">INDEX(tblPrices[cv_2022], MATCH($A48,tblPrices[Products],0), 0)* tblForecast[[#This Row],[un_2022]]/10^6</f>
        <v>0</v>
      </c>
      <c r="AC48" s="106" cm="1">
        <f t="array" ref="AC48">INDEX(tblPrices[cv_2023], MATCH($A48,tblPrices[Products],0), 0)* tblForecast[[#This Row],[un_2023]]/10^6</f>
        <v>0</v>
      </c>
      <c r="AD48" s="106" cm="1">
        <f t="array" ref="AD48">INDEX(tblPrices[cv_2024], MATCH($A48,tblPrices[Products],0), 0)* tblForecast[[#This Row],[un_2024]]/10^6</f>
        <v>0</v>
      </c>
      <c r="AE48" s="106" cm="1">
        <f t="array" ref="AE48">INDEX(tblPrices[cv_2025], MATCH($A48,tblPrices[Products],0), 0)* tblForecast[[#This Row],[un_2025]]/10^6</f>
        <v>0</v>
      </c>
      <c r="AF48" s="106" cm="1">
        <f t="array" ref="AF48">INDEX(tblPrices[cv_2026], MATCH($A48,tblPrices[Products],0), 0)* tblForecast[[#This Row],[un_2026]]/10^6</f>
        <v>0</v>
      </c>
      <c r="AG48" s="106" cm="1">
        <f t="array" ref="AG48">INDEX(tblPrices[cv_2027], MATCH($A48,tblPrices[Products],0), 0)* tblForecast[[#This Row],[un_2027]]/10^6</f>
        <v>0</v>
      </c>
      <c r="AH48" s="106" cm="1">
        <f t="array" ref="AH48">INDEX(tblPrices[cv_2028], MATCH($A48,tblPrices[Products],0), 0)* tblForecast[[#This Row],[un_2028]]/10^6</f>
        <v>0</v>
      </c>
      <c r="AI48" s="60">
        <f>VLOOKUP(A48,Products!$A$11:$F$110,6,FALSE)</f>
        <v>40</v>
      </c>
    </row>
    <row r="49" spans="1:35">
      <c r="A49" s="12" t="s">
        <v>2</v>
      </c>
      <c r="B49" s="8">
        <f xml:space="preserve"> SUMIF(tblGoogleUnits[Products],$A49, tblGoogleUnits[cv_2018]) + SUMIF(tblMetaUnits[Products],$A49, tblMetaUnits[cv_2018]) + SUMIF(tblAmazonUnits[Products],$A49, tblAmazonUnits[cv_2018]) + SUMIF(tblMicrosoftUnits[Products],$A49, tblMicrosoftUnits[cv_2018]) + SUMIF(tblAppleUnits[Products],$A49, tblAppleUnits[cv_2018]) + SUMIF(tblAlibabaUnits[Products],$A49, tblAlibabaUnits[cv_2018]) + SUMIF(tblHuaweiUnits[Products],$A49, tblHuaweiUnits[cv_2018]) + SUMIF(tblTencentUnits[Products],$A49, tblTencentUnits[cv_2018]) + SUMIF(tblBaiduUnits[Products],$A49, tblBaiduUnits[cv_2018]) + SUMIF(tblByteDanceUnits[Products],$A49, tblByteDanceUnits[cv_2018]) + SUMIF(tblCloudAOUnits[Products],$A49, tblCloudAOUnits[cv_2018]) + SUMIF(tblTelecomUnits[Products],$A49, tblTelecomUnits[cv_2018]) + SUMIF(tblEnterpriseUnits[Products],$A49, tblEnterpriseUnits[cv_2018])</f>
        <v>271820.99999999994</v>
      </c>
      <c r="C49" s="8">
        <f xml:space="preserve"> SUMIF(tblGoogleUnits[Products],$A49, tblGoogleUnits[cv_2019]) + SUMIF(tblMetaUnits[Products],$A49, tblMetaUnits[cv_2019]) + SUMIF(tblAmazonUnits[Products],$A49, tblAmazonUnits[cv_2019]) + SUMIF(tblMicrosoftUnits[Products],$A49, tblMicrosoftUnits[cv_2019]) + SUMIF(tblAppleUnits[Products],$A49, tblAppleUnits[cv_2019]) + SUMIF(tblAlibabaUnits[Products],$A49, tblAlibabaUnits[cv_2019]) + SUMIF(tblHuaweiUnits[Products],$A49, tblHuaweiUnits[cv_2019]) + SUMIF(tblTencentUnits[Products],$A49, tblTencentUnits[cv_2019]) + SUMIF(tblBaiduUnits[Products],$A49, tblBaiduUnits[cv_2019]) + SUMIF(tblByteDanceUnits[Products],$A49, tblByteDanceUnits[cv_2019]) + SUMIF(tblCloudAOUnits[Products],$A49, tblCloudAOUnits[cv_2019]) + SUMIF(tblTelecomUnits[Products],$A49, tblTelecomUnits[cv_2019]) + SUMIF(tblEnterpriseUnits[Products],$A49, tblEnterpriseUnits[cv_2019])</f>
        <v>430790</v>
      </c>
      <c r="D49" s="8">
        <f xml:space="preserve"> SUMIF(tblGoogleUnits[Products],$A49, tblGoogleUnits[cv_2020]) + SUMIF(tblMetaUnits[Products],$A49, tblMetaUnits[cv_2020]) + SUMIF(tblAmazonUnits[Products],$A49, tblAmazonUnits[cv_2020]) + SUMIF(tblMicrosoftUnits[Products],$A49, tblMicrosoftUnits[cv_2020]) + SUMIF(tblAppleUnits[Products],$A49, tblAppleUnits[cv_2020]) + SUMIF(tblAlibabaUnits[Products],$A49, tblAlibabaUnits[cv_2020]) + SUMIF(tblHuaweiUnits[Products],$A49, tblHuaweiUnits[cv_2020]) + SUMIF(tblTencentUnits[Products],$A49, tblTencentUnits[cv_2020]) + SUMIF(tblBaiduUnits[Products],$A49, tblBaiduUnits[cv_2020]) + SUMIF(tblByteDanceUnits[Products],$A49, tblByteDanceUnits[cv_2020]) + SUMIF(tblCloudAOUnits[Products],$A49, tblCloudAOUnits[cv_2020]) + SUMIF(tblTelecomUnits[Products],$A49, tblTelecomUnits[cv_2020]) + SUMIF(tblEnterpriseUnits[Products],$A49, tblEnterpriseUnits[cv_2020])</f>
        <v>0</v>
      </c>
      <c r="E49" s="8">
        <f xml:space="preserve"> SUMIF(tblGoogleUnits[Products],$A49, tblGoogleUnits[cv_2021]) + SUMIF(tblMetaUnits[Products],$A49, tblMetaUnits[cv_2021]) + SUMIF(tblAmazonUnits[Products],$A49, tblAmazonUnits[cv_2021]) + SUMIF(tblMicrosoftUnits[Products],$A49, tblMicrosoftUnits[cv_2021]) + SUMIF(tblAppleUnits[Products],$A49, tblAppleUnits[cv_2021]) + SUMIF(tblAlibabaUnits[Products],$A49, tblAlibabaUnits[cv_2021]) + SUMIF(tblHuaweiUnits[Products],$A49, tblHuaweiUnits[cv_2021]) + SUMIF(tblTencentUnits[Products],$A49, tblTencentUnits[cv_2021]) + SUMIF(tblBaiduUnits[Products],$A49, tblBaiduUnits[cv_2021]) + SUMIF(tblByteDanceUnits[Products],$A49, tblByteDanceUnits[cv_2021]) + SUMIF(tblCloudAOUnits[Products],$A49, tblCloudAOUnits[cv_2021]) + SUMIF(tblTelecomUnits[Products],$A49, tblTelecomUnits[cv_2021]) + SUMIF(tblEnterpriseUnits[Products],$A49, tblEnterpriseUnits[cv_2021])</f>
        <v>0</v>
      </c>
      <c r="F49" s="8">
        <f xml:space="preserve"> SUMIF(tblGoogleUnits[Products],$A49, tblGoogleUnits[cv_2022]) + SUMIF(tblMetaUnits[Products],$A49, tblMetaUnits[cv_2022]) + SUMIF(tblAmazonUnits[Products],$A49, tblAmazonUnits[cv_2022]) + SUMIF(tblMicrosoftUnits[Products],$A49, tblMicrosoftUnits[cv_2022]) + SUMIF(tblAppleUnits[Products],$A49, tblAppleUnits[cv_2022]) + SUMIF(tblAlibabaUnits[Products],$A49, tblAlibabaUnits[cv_2022]) + SUMIF(tblHuaweiUnits[Products],$A49, tblHuaweiUnits[cv_2022]) + SUMIF(tblTencentUnits[Products],$A49, tblTencentUnits[cv_2022]) + SUMIF(tblBaiduUnits[Products],$A49, tblBaiduUnits[cv_2022]) + SUMIF(tblByteDanceUnits[Products],$A49, tblByteDanceUnits[cv_2022]) + SUMIF(tblCloudAOUnits[Products],$A49, tblCloudAOUnits[cv_2022]) + SUMIF(tblTelecomUnits[Products],$A49, tblTelecomUnits[cv_2022]) + SUMIF(tblEnterpriseUnits[Products],$A49, tblEnterpriseUnits[cv_2022])</f>
        <v>0</v>
      </c>
      <c r="G49" s="8">
        <f xml:space="preserve"> SUMIF(tblGoogleUnits[Products],$A49, tblGoogleUnits[cv_2023]) + SUMIF(tblMetaUnits[Products],$A49, tblMetaUnits[cv_2023]) + SUMIF(tblAmazonUnits[Products],$A49, tblAmazonUnits[cv_2023]) + SUMIF(tblMicrosoftUnits[Products],$A49, tblMicrosoftUnits[cv_2023]) + SUMIF(tblAppleUnits[Products],$A49, tblAppleUnits[cv_2023]) + SUMIF(tblAlibabaUnits[Products],$A49, tblAlibabaUnits[cv_2023]) + SUMIF(tblHuaweiUnits[Products],$A49, tblHuaweiUnits[cv_2023]) + SUMIF(tblTencentUnits[Products],$A49, tblTencentUnits[cv_2023]) + SUMIF(tblBaiduUnits[Products],$A49, tblBaiduUnits[cv_2023]) + SUMIF(tblByteDanceUnits[Products],$A49, tblByteDanceUnits[cv_2023]) + SUMIF(tblCloudAOUnits[Products],$A49, tblCloudAOUnits[cv_2023]) + SUMIF(tblTelecomUnits[Products],$A49, tblTelecomUnits[cv_2023]) + SUMIF(tblEnterpriseUnits[Products],$A49, tblEnterpriseUnits[cv_2023])</f>
        <v>0</v>
      </c>
      <c r="H49" s="8">
        <f xml:space="preserve"> SUMIF(tblGoogleUnits[Products],$A49, tblGoogleUnits[cv_2024]) + SUMIF(tblMetaUnits[Products],$A49, tblMetaUnits[cv_2024]) + SUMIF(tblAmazonUnits[Products],$A49, tblAmazonUnits[cv_2024]) + SUMIF(tblMicrosoftUnits[Products],$A49, tblMicrosoftUnits[cv_2024]) + SUMIF(tblAppleUnits[Products],$A49, tblAppleUnits[cv_2024]) + SUMIF(tblAlibabaUnits[Products],$A49, tblAlibabaUnits[cv_2024]) + SUMIF(tblHuaweiUnits[Products],$A49, tblHuaweiUnits[cv_2024]) + SUMIF(tblTencentUnits[Products],$A49, tblTencentUnits[cv_2024]) + SUMIF(tblBaiduUnits[Products],$A49, tblBaiduUnits[cv_2024]) + SUMIF(tblByteDanceUnits[Products],$A49, tblByteDanceUnits[cv_2024]) + SUMIF(tblCloudAOUnits[Products],$A49, tblCloudAOUnits[cv_2024]) + SUMIF(tblTelecomUnits[Products],$A49, tblTelecomUnits[cv_2024]) + SUMIF(tblEnterpriseUnits[Products],$A49, tblEnterpriseUnits[cv_2024])</f>
        <v>0</v>
      </c>
      <c r="I49" s="8">
        <f xml:space="preserve"> SUMIF(tblGoogleUnits[Products],$A49, tblGoogleUnits[cv_2025]) + SUMIF(tblMetaUnits[Products],$A49, tblMetaUnits[cv_2025]) + SUMIF(tblAmazonUnits[Products],$A49, tblAmazonUnits[cv_2025]) + SUMIF(tblMicrosoftUnits[Products],$A49, tblMicrosoftUnits[cv_2025]) + SUMIF(tblAppleUnits[Products],$A49, tblAppleUnits[cv_2025]) + SUMIF(tblAlibabaUnits[Products],$A49, tblAlibabaUnits[cv_2025]) + SUMIF(tblHuaweiUnits[Products],$A49, tblHuaweiUnits[cv_2025]) + SUMIF(tblTencentUnits[Products],$A49, tblTencentUnits[cv_2025]) + SUMIF(tblBaiduUnits[Products],$A49, tblBaiduUnits[cv_2025]) + SUMIF(tblByteDanceUnits[Products],$A49, tblByteDanceUnits[cv_2025]) + SUMIF(tblCloudAOUnits[Products],$A49, tblCloudAOUnits[cv_2025]) + SUMIF(tblTelecomUnits[Products],$A49, tblTelecomUnits[cv_2025]) + SUMIF(tblEnterpriseUnits[Products],$A49, tblEnterpriseUnits[cv_2025])</f>
        <v>0</v>
      </c>
      <c r="J49" s="8">
        <f xml:space="preserve"> SUMIF(tblGoogleUnits[Products],$A49, tblGoogleUnits[cv_2026]) + SUMIF(tblMetaUnits[Products],$A49, tblMetaUnits[cv_2026]) + SUMIF(tblAmazonUnits[Products],$A49, tblAmazonUnits[cv_2026]) + SUMIF(tblMicrosoftUnits[Products],$A49, tblMicrosoftUnits[cv_2026]) + SUMIF(tblAppleUnits[Products],$A49, tblAppleUnits[cv_2026]) + SUMIF(tblAlibabaUnits[Products],$A49, tblAlibabaUnits[cv_2026]) + SUMIF(tblHuaweiUnits[Products],$A49, tblHuaweiUnits[cv_2026]) + SUMIF(tblTencentUnits[Products],$A49, tblTencentUnits[cv_2026]) + SUMIF(tblBaiduUnits[Products],$A49, tblBaiduUnits[cv_2026]) + SUMIF(tblByteDanceUnits[Products],$A49, tblByteDanceUnits[cv_2026]) + SUMIF(tblCloudAOUnits[Products],$A49, tblCloudAOUnits[cv_2026]) + SUMIF(tblTelecomUnits[Products],$A49, tblTelecomUnits[cv_2026]) + SUMIF(tblEnterpriseUnits[Products],$A49, tblEnterpriseUnits[cv_2026])</f>
        <v>0</v>
      </c>
      <c r="K49" s="8">
        <f xml:space="preserve"> SUMIF(tblGoogleUnits[Products],$A49, tblGoogleUnits[cv_2027]) + SUMIF(tblMetaUnits[Products],$A49, tblMetaUnits[cv_2027]) + SUMIF(tblAmazonUnits[Products],$A49, tblAmazonUnits[cv_2027]) + SUMIF(tblMicrosoftUnits[Products],$A49, tblMicrosoftUnits[cv_2027]) + SUMIF(tblAppleUnits[Products],$A49, tblAppleUnits[cv_2027]) + SUMIF(tblAlibabaUnits[Products],$A49, tblAlibabaUnits[cv_2027]) + SUMIF(tblHuaweiUnits[Products],$A49, tblHuaweiUnits[cv_2027]) + SUMIF(tblTencentUnits[Products],$A49, tblTencentUnits[cv_2027]) + SUMIF(tblBaiduUnits[Products],$A49, tblBaiduUnits[cv_2027]) + SUMIF(tblByteDanceUnits[Products],$A49, tblByteDanceUnits[cv_2027]) + SUMIF(tblCloudAOUnits[Products],$A49, tblCloudAOUnits[cv_2027]) + SUMIF(tblTelecomUnits[Products],$A49, tblTelecomUnits[cv_2027]) + SUMIF(tblEnterpriseUnits[Products],$A49, tblEnterpriseUnits[cv_2027])</f>
        <v>0</v>
      </c>
      <c r="L49" s="8">
        <f xml:space="preserve"> SUMIF(tblGoogleUnits[Products],$A49, tblGoogleUnits[cv_2028]) + SUMIF(tblMetaUnits[Products],$A49, tblMetaUnits[cv_2028]) + SUMIF(tblAmazonUnits[Products],$A49, tblAmazonUnits[cv_2028]) + SUMIF(tblMicrosoftUnits[Products],$A49, tblMicrosoftUnits[cv_2028]) + SUMIF(tblAppleUnits[Products],$A49, tblAppleUnits[cv_2028]) + SUMIF(tblAlibabaUnits[Products],$A49, tblAlibabaUnits[cv_2028]) + SUMIF(tblHuaweiUnits[Products],$A49, tblHuaweiUnits[cv_2028]) + SUMIF(tblTencentUnits[Products],$A49, tblTencentUnits[cv_2028]) + SUMIF(tblBaiduUnits[Products],$A49, tblBaiduUnits[cv_2028]) + SUMIF(tblByteDanceUnits[Products],$A49, tblByteDanceUnits[cv_2028]) + SUMIF(tblCloudAOUnits[Products],$A49, tblCloudAOUnits[cv_2028]) + SUMIF(tblTelecomUnits[Products],$A49, tblTelecomUnits[cv_2028]) + SUMIF(tblEnterpriseUnits[Products],$A49, tblEnterpriseUnits[cv_2028])</f>
        <v>0</v>
      </c>
      <c r="M49" s="105" cm="1">
        <f t="array" ref="M49">INDEX(tblPrices[cv_2018], MATCH($A49,tblPrices[Products],0), 0)</f>
        <v>303.68617678545809</v>
      </c>
      <c r="N49" s="105" cm="1">
        <f t="array" ref="N49">INDEX(tblPrices[cv_2019], MATCH($A49,tblPrices[Products],0), 0)</f>
        <v>253.43147678888388</v>
      </c>
      <c r="O49" s="105" cm="1">
        <f t="array" ref="O49">INDEX(tblPrices[cv_2020], MATCH($A49,tblPrices[Products],0), 0)</f>
        <v>0</v>
      </c>
      <c r="P49" s="105" cm="1">
        <f t="array" ref="P49">INDEX(tblPrices[cv_2021], MATCH($A49,tblPrices[Products],0), 0)</f>
        <v>0</v>
      </c>
      <c r="Q49" s="105" cm="1">
        <f t="array" ref="Q49">INDEX(tblPrices[cv_2022], MATCH($A49,tblPrices[Products],0), 0)</f>
        <v>0</v>
      </c>
      <c r="R49" s="105" cm="1">
        <f t="array" ref="R49">INDEX(tblPrices[cv_2023], MATCH($A49,tblPrices[Products],0), 0)</f>
        <v>0</v>
      </c>
      <c r="S49" s="105" cm="1">
        <f t="array" ref="S49">INDEX(tblPrices[cv_2024], MATCH($A49,tblPrices[Products],0), 0)</f>
        <v>0</v>
      </c>
      <c r="T49" s="105" cm="1">
        <f t="array" ref="T49">INDEX(tblPrices[cv_2025], MATCH($A49,tblPrices[Products],0), 0)</f>
        <v>0</v>
      </c>
      <c r="U49" s="105" cm="1">
        <f t="array" ref="U49">INDEX(tblPrices[cv_2026], MATCH($A49,tblPrices[Products],0), 0)</f>
        <v>0</v>
      </c>
      <c r="V49" s="105" cm="1">
        <f t="array" ref="V49">INDEX(tblPrices[cv_2027], MATCH($A49,tblPrices[Products],0), 0)</f>
        <v>0</v>
      </c>
      <c r="W49" s="105" cm="1">
        <f t="array" ref="W49">INDEX(tblPrices[cv_2028], MATCH($A49,tblPrices[Products],0), 0)</f>
        <v>0</v>
      </c>
      <c r="X49" s="106" cm="1">
        <f t="array" ref="X49">INDEX(tblPrices[cv_2018], MATCH($A49,tblPrices[Products],0), 0)* tblForecast[[#This Row],[un_2018]]/10^6</f>
        <v>82.548280259999984</v>
      </c>
      <c r="Y49" s="106" cm="1">
        <f t="array" ref="Y49">INDEX(tblPrices[cv_2019], MATCH($A49,tblPrices[Products],0), 0)* tblForecast[[#This Row],[un_2019]]/10^6</f>
        <v>109.17574588588329</v>
      </c>
      <c r="Z49" s="106" cm="1">
        <f t="array" ref="Z49">INDEX(tblPrices[cv_2020], MATCH($A49,tblPrices[Products],0), 0)* tblForecast[[#This Row],[un_2020]]/10^6</f>
        <v>0</v>
      </c>
      <c r="AA49" s="106" cm="1">
        <f t="array" ref="AA49">INDEX(tblPrices[cv_2021], MATCH($A49,tblPrices[Products],0), 0)* tblForecast[[#This Row],[un_2021]]/10^6</f>
        <v>0</v>
      </c>
      <c r="AB49" s="106" cm="1">
        <f t="array" ref="AB49">INDEX(tblPrices[cv_2022], MATCH($A49,tblPrices[Products],0), 0)* tblForecast[[#This Row],[un_2022]]/10^6</f>
        <v>0</v>
      </c>
      <c r="AC49" s="106" cm="1">
        <f t="array" ref="AC49">INDEX(tblPrices[cv_2023], MATCH($A49,tblPrices[Products],0), 0)* tblForecast[[#This Row],[un_2023]]/10^6</f>
        <v>0</v>
      </c>
      <c r="AD49" s="106" cm="1">
        <f t="array" ref="AD49">INDEX(tblPrices[cv_2024], MATCH($A49,tblPrices[Products],0), 0)* tblForecast[[#This Row],[un_2024]]/10^6</f>
        <v>0</v>
      </c>
      <c r="AE49" s="106" cm="1">
        <f t="array" ref="AE49">INDEX(tblPrices[cv_2025], MATCH($A49,tblPrices[Products],0), 0)* tblForecast[[#This Row],[un_2025]]/10^6</f>
        <v>0</v>
      </c>
      <c r="AF49" s="106" cm="1">
        <f t="array" ref="AF49">INDEX(tblPrices[cv_2026], MATCH($A49,tblPrices[Products],0), 0)* tblForecast[[#This Row],[un_2026]]/10^6</f>
        <v>0</v>
      </c>
      <c r="AG49" s="106" cm="1">
        <f t="array" ref="AG49">INDEX(tblPrices[cv_2027], MATCH($A49,tblPrices[Products],0), 0)* tblForecast[[#This Row],[un_2027]]/10^6</f>
        <v>0</v>
      </c>
      <c r="AH49" s="106" cm="1">
        <f t="array" ref="AH49">INDEX(tblPrices[cv_2028], MATCH($A49,tblPrices[Products],0), 0)* tblForecast[[#This Row],[un_2028]]/10^6</f>
        <v>0</v>
      </c>
      <c r="AI49" s="60">
        <f>VLOOKUP(A49,Products!$A$11:$F$110,6,FALSE)</f>
        <v>40</v>
      </c>
    </row>
    <row r="50" spans="1:35">
      <c r="A50" s="12" t="s">
        <v>170</v>
      </c>
      <c r="B50" s="8">
        <f xml:space="preserve"> SUMIF(tblGoogleUnits[Products],$A50, tblGoogleUnits[cv_2018]) + SUMIF(tblMetaUnits[Products],$A50, tblMetaUnits[cv_2018]) + SUMIF(tblAmazonUnits[Products],$A50, tblAmazonUnits[cv_2018]) + SUMIF(tblMicrosoftUnits[Products],$A50, tblMicrosoftUnits[cv_2018]) + SUMIF(tblAppleUnits[Products],$A50, tblAppleUnits[cv_2018]) + SUMIF(tblAlibabaUnits[Products],$A50, tblAlibabaUnits[cv_2018]) + SUMIF(tblHuaweiUnits[Products],$A50, tblHuaweiUnits[cv_2018]) + SUMIF(tblTencentUnits[Products],$A50, tblTencentUnits[cv_2018]) + SUMIF(tblBaiduUnits[Products],$A50, tblBaiduUnits[cv_2018]) + SUMIF(tblByteDanceUnits[Products],$A50, tblByteDanceUnits[cv_2018]) + SUMIF(tblCloudAOUnits[Products],$A50, tblCloudAOUnits[cv_2018]) + SUMIF(tblTelecomUnits[Products],$A50, tblTelecomUnits[cv_2018]) + SUMIF(tblEnterpriseUnits[Products],$A50, tblEnterpriseUnits[cv_2018])</f>
        <v>0</v>
      </c>
      <c r="C50" s="8">
        <f xml:space="preserve"> SUMIF(tblGoogleUnits[Products],$A50, tblGoogleUnits[cv_2019]) + SUMIF(tblMetaUnits[Products],$A50, tblMetaUnits[cv_2019]) + SUMIF(tblAmazonUnits[Products],$A50, tblAmazonUnits[cv_2019]) + SUMIF(tblMicrosoftUnits[Products],$A50, tblMicrosoftUnits[cv_2019]) + SUMIF(tblAppleUnits[Products],$A50, tblAppleUnits[cv_2019]) + SUMIF(tblAlibabaUnits[Products],$A50, tblAlibabaUnits[cv_2019]) + SUMIF(tblHuaweiUnits[Products],$A50, tblHuaweiUnits[cv_2019]) + SUMIF(tblTencentUnits[Products],$A50, tblTencentUnits[cv_2019]) + SUMIF(tblBaiduUnits[Products],$A50, tblBaiduUnits[cv_2019]) + SUMIF(tblByteDanceUnits[Products],$A50, tblByteDanceUnits[cv_2019]) + SUMIF(tblCloudAOUnits[Products],$A50, tblCloudAOUnits[cv_2019]) + SUMIF(tblTelecomUnits[Products],$A50, tblTelecomUnits[cv_2019]) + SUMIF(tblEnterpriseUnits[Products],$A50, tblEnterpriseUnits[cv_2019])</f>
        <v>0</v>
      </c>
      <c r="D50" s="8">
        <f xml:space="preserve"> SUMIF(tblGoogleUnits[Products],$A50, tblGoogleUnits[cv_2020]) + SUMIF(tblMetaUnits[Products],$A50, tblMetaUnits[cv_2020]) + SUMIF(tblAmazonUnits[Products],$A50, tblAmazonUnits[cv_2020]) + SUMIF(tblMicrosoftUnits[Products],$A50, tblMicrosoftUnits[cv_2020]) + SUMIF(tblAppleUnits[Products],$A50, tblAppleUnits[cv_2020]) + SUMIF(tblAlibabaUnits[Products],$A50, tblAlibabaUnits[cv_2020]) + SUMIF(tblHuaweiUnits[Products],$A50, tblHuaweiUnits[cv_2020]) + SUMIF(tblTencentUnits[Products],$A50, tblTencentUnits[cv_2020]) + SUMIF(tblBaiduUnits[Products],$A50, tblBaiduUnits[cv_2020]) + SUMIF(tblByteDanceUnits[Products],$A50, tblByteDanceUnits[cv_2020]) + SUMIF(tblCloudAOUnits[Products],$A50, tblCloudAOUnits[cv_2020]) + SUMIF(tblTelecomUnits[Products],$A50, tblTelecomUnits[cv_2020]) + SUMIF(tblEnterpriseUnits[Products],$A50, tblEnterpriseUnits[cv_2020])</f>
        <v>0</v>
      </c>
      <c r="E50" s="8">
        <f xml:space="preserve"> SUMIF(tblGoogleUnits[Products],$A50, tblGoogleUnits[cv_2021]) + SUMIF(tblMetaUnits[Products],$A50, tblMetaUnits[cv_2021]) + SUMIF(tblAmazonUnits[Products],$A50, tblAmazonUnits[cv_2021]) + SUMIF(tblMicrosoftUnits[Products],$A50, tblMicrosoftUnits[cv_2021]) + SUMIF(tblAppleUnits[Products],$A50, tblAppleUnits[cv_2021]) + SUMIF(tblAlibabaUnits[Products],$A50, tblAlibabaUnits[cv_2021]) + SUMIF(tblHuaweiUnits[Products],$A50, tblHuaweiUnits[cv_2021]) + SUMIF(tblTencentUnits[Products],$A50, tblTencentUnits[cv_2021]) + SUMIF(tblBaiduUnits[Products],$A50, tblBaiduUnits[cv_2021]) + SUMIF(tblByteDanceUnits[Products],$A50, tblByteDanceUnits[cv_2021]) + SUMIF(tblCloudAOUnits[Products],$A50, tblCloudAOUnits[cv_2021]) + SUMIF(tblTelecomUnits[Products],$A50, tblTelecomUnits[cv_2021]) + SUMIF(tblEnterpriseUnits[Products],$A50, tblEnterpriseUnits[cv_2021])</f>
        <v>0</v>
      </c>
      <c r="F50" s="8">
        <f xml:space="preserve"> SUMIF(tblGoogleUnits[Products],$A50, tblGoogleUnits[cv_2022]) + SUMIF(tblMetaUnits[Products],$A50, tblMetaUnits[cv_2022]) + SUMIF(tblAmazonUnits[Products],$A50, tblAmazonUnits[cv_2022]) + SUMIF(tblMicrosoftUnits[Products],$A50, tblMicrosoftUnits[cv_2022]) + SUMIF(tblAppleUnits[Products],$A50, tblAppleUnits[cv_2022]) + SUMIF(tblAlibabaUnits[Products],$A50, tblAlibabaUnits[cv_2022]) + SUMIF(tblHuaweiUnits[Products],$A50, tblHuaweiUnits[cv_2022]) + SUMIF(tblTencentUnits[Products],$A50, tblTencentUnits[cv_2022]) + SUMIF(tblBaiduUnits[Products],$A50, tblBaiduUnits[cv_2022]) + SUMIF(tblByteDanceUnits[Products],$A50, tblByteDanceUnits[cv_2022]) + SUMIF(tblCloudAOUnits[Products],$A50, tblCloudAOUnits[cv_2022]) + SUMIF(tblTelecomUnits[Products],$A50, tblTelecomUnits[cv_2022]) + SUMIF(tblEnterpriseUnits[Products],$A50, tblEnterpriseUnits[cv_2022])</f>
        <v>0</v>
      </c>
      <c r="G50" s="8">
        <f xml:space="preserve"> SUMIF(tblGoogleUnits[Products],$A50, tblGoogleUnits[cv_2023]) + SUMIF(tblMetaUnits[Products],$A50, tblMetaUnits[cv_2023]) + SUMIF(tblAmazonUnits[Products],$A50, tblAmazonUnits[cv_2023]) + SUMIF(tblMicrosoftUnits[Products],$A50, tblMicrosoftUnits[cv_2023]) + SUMIF(tblAppleUnits[Products],$A50, tblAppleUnits[cv_2023]) + SUMIF(tblAlibabaUnits[Products],$A50, tblAlibabaUnits[cv_2023]) + SUMIF(tblHuaweiUnits[Products],$A50, tblHuaweiUnits[cv_2023]) + SUMIF(tblTencentUnits[Products],$A50, tblTencentUnits[cv_2023]) + SUMIF(tblBaiduUnits[Products],$A50, tblBaiduUnits[cv_2023]) + SUMIF(tblByteDanceUnits[Products],$A50, tblByteDanceUnits[cv_2023]) + SUMIF(tblCloudAOUnits[Products],$A50, tblCloudAOUnits[cv_2023]) + SUMIF(tblTelecomUnits[Products],$A50, tblTelecomUnits[cv_2023]) + SUMIF(tblEnterpriseUnits[Products],$A50, tblEnterpriseUnits[cv_2023])</f>
        <v>0</v>
      </c>
      <c r="H50" s="8">
        <f xml:space="preserve"> SUMIF(tblGoogleUnits[Products],$A50, tblGoogleUnits[cv_2024]) + SUMIF(tblMetaUnits[Products],$A50, tblMetaUnits[cv_2024]) + SUMIF(tblAmazonUnits[Products],$A50, tblAmazonUnits[cv_2024]) + SUMIF(tblMicrosoftUnits[Products],$A50, tblMicrosoftUnits[cv_2024]) + SUMIF(tblAppleUnits[Products],$A50, tblAppleUnits[cv_2024]) + SUMIF(tblAlibabaUnits[Products],$A50, tblAlibabaUnits[cv_2024]) + SUMIF(tblHuaweiUnits[Products],$A50, tblHuaweiUnits[cv_2024]) + SUMIF(tblTencentUnits[Products],$A50, tblTencentUnits[cv_2024]) + SUMIF(tblBaiduUnits[Products],$A50, tblBaiduUnits[cv_2024]) + SUMIF(tblByteDanceUnits[Products],$A50, tblByteDanceUnits[cv_2024]) + SUMIF(tblCloudAOUnits[Products],$A50, tblCloudAOUnits[cv_2024]) + SUMIF(tblTelecomUnits[Products],$A50, tblTelecomUnits[cv_2024]) + SUMIF(tblEnterpriseUnits[Products],$A50, tblEnterpriseUnits[cv_2024])</f>
        <v>0</v>
      </c>
      <c r="I50" s="8">
        <f xml:space="preserve"> SUMIF(tblGoogleUnits[Products],$A50, tblGoogleUnits[cv_2025]) + SUMIF(tblMetaUnits[Products],$A50, tblMetaUnits[cv_2025]) + SUMIF(tblAmazonUnits[Products],$A50, tblAmazonUnits[cv_2025]) + SUMIF(tblMicrosoftUnits[Products],$A50, tblMicrosoftUnits[cv_2025]) + SUMIF(tblAppleUnits[Products],$A50, tblAppleUnits[cv_2025]) + SUMIF(tblAlibabaUnits[Products],$A50, tblAlibabaUnits[cv_2025]) + SUMIF(tblHuaweiUnits[Products],$A50, tblHuaweiUnits[cv_2025]) + SUMIF(tblTencentUnits[Products],$A50, tblTencentUnits[cv_2025]) + SUMIF(tblBaiduUnits[Products],$A50, tblBaiduUnits[cv_2025]) + SUMIF(tblByteDanceUnits[Products],$A50, tblByteDanceUnits[cv_2025]) + SUMIF(tblCloudAOUnits[Products],$A50, tblCloudAOUnits[cv_2025]) + SUMIF(tblTelecomUnits[Products],$A50, tblTelecomUnits[cv_2025]) + SUMIF(tblEnterpriseUnits[Products],$A50, tblEnterpriseUnits[cv_2025])</f>
        <v>0</v>
      </c>
      <c r="J50" s="8">
        <f xml:space="preserve"> SUMIF(tblGoogleUnits[Products],$A50, tblGoogleUnits[cv_2026]) + SUMIF(tblMetaUnits[Products],$A50, tblMetaUnits[cv_2026]) + SUMIF(tblAmazonUnits[Products],$A50, tblAmazonUnits[cv_2026]) + SUMIF(tblMicrosoftUnits[Products],$A50, tblMicrosoftUnits[cv_2026]) + SUMIF(tblAppleUnits[Products],$A50, tblAppleUnits[cv_2026]) + SUMIF(tblAlibabaUnits[Products],$A50, tblAlibabaUnits[cv_2026]) + SUMIF(tblHuaweiUnits[Products],$A50, tblHuaweiUnits[cv_2026]) + SUMIF(tblTencentUnits[Products],$A50, tblTencentUnits[cv_2026]) + SUMIF(tblBaiduUnits[Products],$A50, tblBaiduUnits[cv_2026]) + SUMIF(tblByteDanceUnits[Products],$A50, tblByteDanceUnits[cv_2026]) + SUMIF(tblCloudAOUnits[Products],$A50, tblCloudAOUnits[cv_2026]) + SUMIF(tblTelecomUnits[Products],$A50, tblTelecomUnits[cv_2026]) + SUMIF(tblEnterpriseUnits[Products],$A50, tblEnterpriseUnits[cv_2026])</f>
        <v>0</v>
      </c>
      <c r="K50" s="8">
        <f xml:space="preserve"> SUMIF(tblGoogleUnits[Products],$A50, tblGoogleUnits[cv_2027]) + SUMIF(tblMetaUnits[Products],$A50, tblMetaUnits[cv_2027]) + SUMIF(tblAmazonUnits[Products],$A50, tblAmazonUnits[cv_2027]) + SUMIF(tblMicrosoftUnits[Products],$A50, tblMicrosoftUnits[cv_2027]) + SUMIF(tblAppleUnits[Products],$A50, tblAppleUnits[cv_2027]) + SUMIF(tblAlibabaUnits[Products],$A50, tblAlibabaUnits[cv_2027]) + SUMIF(tblHuaweiUnits[Products],$A50, tblHuaweiUnits[cv_2027]) + SUMIF(tblTencentUnits[Products],$A50, tblTencentUnits[cv_2027]) + SUMIF(tblBaiduUnits[Products],$A50, tblBaiduUnits[cv_2027]) + SUMIF(tblByteDanceUnits[Products],$A50, tblByteDanceUnits[cv_2027]) + SUMIF(tblCloudAOUnits[Products],$A50, tblCloudAOUnits[cv_2027]) + SUMIF(tblTelecomUnits[Products],$A50, tblTelecomUnits[cv_2027]) + SUMIF(tblEnterpriseUnits[Products],$A50, tblEnterpriseUnits[cv_2027])</f>
        <v>0</v>
      </c>
      <c r="L50" s="8">
        <f xml:space="preserve"> SUMIF(tblGoogleUnits[Products],$A50, tblGoogleUnits[cv_2028]) + SUMIF(tblMetaUnits[Products],$A50, tblMetaUnits[cv_2028]) + SUMIF(tblAmazonUnits[Products],$A50, tblAmazonUnits[cv_2028]) + SUMIF(tblMicrosoftUnits[Products],$A50, tblMicrosoftUnits[cv_2028]) + SUMIF(tblAppleUnits[Products],$A50, tblAppleUnits[cv_2028]) + SUMIF(tblAlibabaUnits[Products],$A50, tblAlibabaUnits[cv_2028]) + SUMIF(tblHuaweiUnits[Products],$A50, tblHuaweiUnits[cv_2028]) + SUMIF(tblTencentUnits[Products],$A50, tblTencentUnits[cv_2028]) + SUMIF(tblBaiduUnits[Products],$A50, tblBaiduUnits[cv_2028]) + SUMIF(tblByteDanceUnits[Products],$A50, tblByteDanceUnits[cv_2028]) + SUMIF(tblCloudAOUnits[Products],$A50, tblCloudAOUnits[cv_2028]) + SUMIF(tblTelecomUnits[Products],$A50, tblTelecomUnits[cv_2028]) + SUMIF(tblEnterpriseUnits[Products],$A50, tblEnterpriseUnits[cv_2028])</f>
        <v>0</v>
      </c>
      <c r="M50" s="105" cm="1">
        <f t="array" ref="M50">INDEX(tblPrices[cv_2018], MATCH($A50,tblPrices[Products],0), 0)</f>
        <v>0</v>
      </c>
      <c r="N50" s="105" cm="1">
        <f t="array" ref="N50">INDEX(tblPrices[cv_2019], MATCH($A50,tblPrices[Products],0), 0)</f>
        <v>0</v>
      </c>
      <c r="O50" s="105" cm="1">
        <f t="array" ref="O50">INDEX(tblPrices[cv_2020], MATCH($A50,tblPrices[Products],0), 0)</f>
        <v>0</v>
      </c>
      <c r="P50" s="105" cm="1">
        <f t="array" ref="P50">INDEX(tblPrices[cv_2021], MATCH($A50,tblPrices[Products],0), 0)</f>
        <v>0</v>
      </c>
      <c r="Q50" s="105" cm="1">
        <f t="array" ref="Q50">INDEX(tblPrices[cv_2022], MATCH($A50,tblPrices[Products],0), 0)</f>
        <v>0</v>
      </c>
      <c r="R50" s="105" cm="1">
        <f t="array" ref="R50">INDEX(tblPrices[cv_2023], MATCH($A50,tblPrices[Products],0), 0)</f>
        <v>0</v>
      </c>
      <c r="S50" s="105" cm="1">
        <f t="array" ref="S50">INDEX(tblPrices[cv_2024], MATCH($A50,tblPrices[Products],0), 0)</f>
        <v>0</v>
      </c>
      <c r="T50" s="105" cm="1">
        <f t="array" ref="T50">INDEX(tblPrices[cv_2025], MATCH($A50,tblPrices[Products],0), 0)</f>
        <v>0</v>
      </c>
      <c r="U50" s="105" cm="1">
        <f t="array" ref="U50">INDEX(tblPrices[cv_2026], MATCH($A50,tblPrices[Products],0), 0)</f>
        <v>0</v>
      </c>
      <c r="V50" s="105" cm="1">
        <f t="array" ref="V50">INDEX(tblPrices[cv_2027], MATCH($A50,tblPrices[Products],0), 0)</f>
        <v>0</v>
      </c>
      <c r="W50" s="105" cm="1">
        <f t="array" ref="W50">INDEX(tblPrices[cv_2028], MATCH($A50,tblPrices[Products],0), 0)</f>
        <v>0</v>
      </c>
      <c r="X50" s="106" cm="1">
        <f t="array" ref="X50">INDEX(tblPrices[cv_2018], MATCH($A50,tblPrices[Products],0), 0)* tblForecast[[#This Row],[un_2018]]/10^6</f>
        <v>0</v>
      </c>
      <c r="Y50" s="106" cm="1">
        <f t="array" ref="Y50">INDEX(tblPrices[cv_2019], MATCH($A50,tblPrices[Products],0), 0)* tblForecast[[#This Row],[un_2019]]/10^6</f>
        <v>0</v>
      </c>
      <c r="Z50" s="106" cm="1">
        <f t="array" ref="Z50">INDEX(tblPrices[cv_2020], MATCH($A50,tblPrices[Products],0), 0)* tblForecast[[#This Row],[un_2020]]/10^6</f>
        <v>0</v>
      </c>
      <c r="AA50" s="106" cm="1">
        <f t="array" ref="AA50">INDEX(tblPrices[cv_2021], MATCH($A50,tblPrices[Products],0), 0)* tblForecast[[#This Row],[un_2021]]/10^6</f>
        <v>0</v>
      </c>
      <c r="AB50" s="106" cm="1">
        <f t="array" ref="AB50">INDEX(tblPrices[cv_2022], MATCH($A50,tblPrices[Products],0), 0)* tblForecast[[#This Row],[un_2022]]/10^6</f>
        <v>0</v>
      </c>
      <c r="AC50" s="106" cm="1">
        <f t="array" ref="AC50">INDEX(tblPrices[cv_2023], MATCH($A50,tblPrices[Products],0), 0)* tblForecast[[#This Row],[un_2023]]/10^6</f>
        <v>0</v>
      </c>
      <c r="AD50" s="106" cm="1">
        <f t="array" ref="AD50">INDEX(tblPrices[cv_2024], MATCH($A50,tblPrices[Products],0), 0)* tblForecast[[#This Row],[un_2024]]/10^6</f>
        <v>0</v>
      </c>
      <c r="AE50" s="106" cm="1">
        <f t="array" ref="AE50">INDEX(tblPrices[cv_2025], MATCH($A50,tblPrices[Products],0), 0)* tblForecast[[#This Row],[un_2025]]/10^6</f>
        <v>0</v>
      </c>
      <c r="AF50" s="106" cm="1">
        <f t="array" ref="AF50">INDEX(tblPrices[cv_2026], MATCH($A50,tblPrices[Products],0), 0)* tblForecast[[#This Row],[un_2026]]/10^6</f>
        <v>0</v>
      </c>
      <c r="AG50" s="106" cm="1">
        <f t="array" ref="AG50">INDEX(tblPrices[cv_2027], MATCH($A50,tblPrices[Products],0), 0)* tblForecast[[#This Row],[un_2027]]/10^6</f>
        <v>0</v>
      </c>
      <c r="AH50" s="106" cm="1">
        <f t="array" ref="AH50">INDEX(tblPrices[cv_2028], MATCH($A50,tblPrices[Products],0), 0)* tblForecast[[#This Row],[un_2028]]/10^6</f>
        <v>0</v>
      </c>
      <c r="AI50" s="60">
        <f>VLOOKUP(A50,Products!$A$11:$F$110,6,FALSE)</f>
        <v>40</v>
      </c>
    </row>
    <row r="51" spans="1:35">
      <c r="A51" s="12" t="s">
        <v>171</v>
      </c>
      <c r="B51" s="8">
        <f xml:space="preserve"> SUMIF(tblGoogleUnits[Products],$A51, tblGoogleUnits[cv_2018]) + SUMIF(tblMetaUnits[Products],$A51, tblMetaUnits[cv_2018]) + SUMIF(tblAmazonUnits[Products],$A51, tblAmazonUnits[cv_2018]) + SUMIF(tblMicrosoftUnits[Products],$A51, tblMicrosoftUnits[cv_2018]) + SUMIF(tblAppleUnits[Products],$A51, tblAppleUnits[cv_2018]) + SUMIF(tblAlibabaUnits[Products],$A51, tblAlibabaUnits[cv_2018]) + SUMIF(tblHuaweiUnits[Products],$A51, tblHuaweiUnits[cv_2018]) + SUMIF(tblTencentUnits[Products],$A51, tblTencentUnits[cv_2018]) + SUMIF(tblBaiduUnits[Products],$A51, tblBaiduUnits[cv_2018]) + SUMIF(tblByteDanceUnits[Products],$A51, tblByteDanceUnits[cv_2018]) + SUMIF(tblCloudAOUnits[Products],$A51, tblCloudAOUnits[cv_2018]) + SUMIF(tblTelecomUnits[Products],$A51, tblTelecomUnits[cv_2018]) + SUMIF(tblEnterpriseUnits[Products],$A51, tblEnterpriseUnits[cv_2018])</f>
        <v>269337</v>
      </c>
      <c r="C51" s="8">
        <f xml:space="preserve"> SUMIF(tblGoogleUnits[Products],$A51, tblGoogleUnits[cv_2019]) + SUMIF(tblMetaUnits[Products],$A51, tblMetaUnits[cv_2019]) + SUMIF(tblAmazonUnits[Products],$A51, tblAmazonUnits[cv_2019]) + SUMIF(tblMicrosoftUnits[Products],$A51, tblMicrosoftUnits[cv_2019]) + SUMIF(tblAppleUnits[Products],$A51, tblAppleUnits[cv_2019]) + SUMIF(tblAlibabaUnits[Products],$A51, tblAlibabaUnits[cv_2019]) + SUMIF(tblHuaweiUnits[Products],$A51, tblHuaweiUnits[cv_2019]) + SUMIF(tblTencentUnits[Products],$A51, tblTencentUnits[cv_2019]) + SUMIF(tblBaiduUnits[Products],$A51, tblBaiduUnits[cv_2019]) + SUMIF(tblByteDanceUnits[Products],$A51, tblByteDanceUnits[cv_2019]) + SUMIF(tblCloudAOUnits[Products],$A51, tblCloudAOUnits[cv_2019]) + SUMIF(tblTelecomUnits[Products],$A51, tblTelecomUnits[cv_2019]) + SUMIF(tblEnterpriseUnits[Products],$A51, tblEnterpriseUnits[cv_2019])</f>
        <v>345066</v>
      </c>
      <c r="D51" s="8">
        <f xml:space="preserve"> SUMIF(tblGoogleUnits[Products],$A51, tblGoogleUnits[cv_2020]) + SUMIF(tblMetaUnits[Products],$A51, tblMetaUnits[cv_2020]) + SUMIF(tblAmazonUnits[Products],$A51, tblAmazonUnits[cv_2020]) + SUMIF(tblMicrosoftUnits[Products],$A51, tblMicrosoftUnits[cv_2020]) + SUMIF(tblAppleUnits[Products],$A51, tblAppleUnits[cv_2020]) + SUMIF(tblAlibabaUnits[Products],$A51, tblAlibabaUnits[cv_2020]) + SUMIF(tblHuaweiUnits[Products],$A51, tblHuaweiUnits[cv_2020]) + SUMIF(tblTencentUnits[Products],$A51, tblTencentUnits[cv_2020]) + SUMIF(tblBaiduUnits[Products],$A51, tblBaiduUnits[cv_2020]) + SUMIF(tblByteDanceUnits[Products],$A51, tblByteDanceUnits[cv_2020]) + SUMIF(tblCloudAOUnits[Products],$A51, tblCloudAOUnits[cv_2020]) + SUMIF(tblTelecomUnits[Products],$A51, tblTelecomUnits[cv_2020]) + SUMIF(tblEnterpriseUnits[Products],$A51, tblEnterpriseUnits[cv_2020])</f>
        <v>0</v>
      </c>
      <c r="E51" s="8">
        <f xml:space="preserve"> SUMIF(tblGoogleUnits[Products],$A51, tblGoogleUnits[cv_2021]) + SUMIF(tblMetaUnits[Products],$A51, tblMetaUnits[cv_2021]) + SUMIF(tblAmazonUnits[Products],$A51, tblAmazonUnits[cv_2021]) + SUMIF(tblMicrosoftUnits[Products],$A51, tblMicrosoftUnits[cv_2021]) + SUMIF(tblAppleUnits[Products],$A51, tblAppleUnits[cv_2021]) + SUMIF(tblAlibabaUnits[Products],$A51, tblAlibabaUnits[cv_2021]) + SUMIF(tblHuaweiUnits[Products],$A51, tblHuaweiUnits[cv_2021]) + SUMIF(tblTencentUnits[Products],$A51, tblTencentUnits[cv_2021]) + SUMIF(tblBaiduUnits[Products],$A51, tblBaiduUnits[cv_2021]) + SUMIF(tblByteDanceUnits[Products],$A51, tblByteDanceUnits[cv_2021]) + SUMIF(tblCloudAOUnits[Products],$A51, tblCloudAOUnits[cv_2021]) + SUMIF(tblTelecomUnits[Products],$A51, tblTelecomUnits[cv_2021]) + SUMIF(tblEnterpriseUnits[Products],$A51, tblEnterpriseUnits[cv_2021])</f>
        <v>0</v>
      </c>
      <c r="F51" s="8">
        <f xml:space="preserve"> SUMIF(tblGoogleUnits[Products],$A51, tblGoogleUnits[cv_2022]) + SUMIF(tblMetaUnits[Products],$A51, tblMetaUnits[cv_2022]) + SUMIF(tblAmazonUnits[Products],$A51, tblAmazonUnits[cv_2022]) + SUMIF(tblMicrosoftUnits[Products],$A51, tblMicrosoftUnits[cv_2022]) + SUMIF(tblAppleUnits[Products],$A51, tblAppleUnits[cv_2022]) + SUMIF(tblAlibabaUnits[Products],$A51, tblAlibabaUnits[cv_2022]) + SUMIF(tblHuaweiUnits[Products],$A51, tblHuaweiUnits[cv_2022]) + SUMIF(tblTencentUnits[Products],$A51, tblTencentUnits[cv_2022]) + SUMIF(tblBaiduUnits[Products],$A51, tblBaiduUnits[cv_2022]) + SUMIF(tblByteDanceUnits[Products],$A51, tblByteDanceUnits[cv_2022]) + SUMIF(tblCloudAOUnits[Products],$A51, tblCloudAOUnits[cv_2022]) + SUMIF(tblTelecomUnits[Products],$A51, tblTelecomUnits[cv_2022]) + SUMIF(tblEnterpriseUnits[Products],$A51, tblEnterpriseUnits[cv_2022])</f>
        <v>0</v>
      </c>
      <c r="G51" s="8">
        <f xml:space="preserve"> SUMIF(tblGoogleUnits[Products],$A51, tblGoogleUnits[cv_2023]) + SUMIF(tblMetaUnits[Products],$A51, tblMetaUnits[cv_2023]) + SUMIF(tblAmazonUnits[Products],$A51, tblAmazonUnits[cv_2023]) + SUMIF(tblMicrosoftUnits[Products],$A51, tblMicrosoftUnits[cv_2023]) + SUMIF(tblAppleUnits[Products],$A51, tblAppleUnits[cv_2023]) + SUMIF(tblAlibabaUnits[Products],$A51, tblAlibabaUnits[cv_2023]) + SUMIF(tblHuaweiUnits[Products],$A51, tblHuaweiUnits[cv_2023]) + SUMIF(tblTencentUnits[Products],$A51, tblTencentUnits[cv_2023]) + SUMIF(tblBaiduUnits[Products],$A51, tblBaiduUnits[cv_2023]) + SUMIF(tblByteDanceUnits[Products],$A51, tblByteDanceUnits[cv_2023]) + SUMIF(tblCloudAOUnits[Products],$A51, tblCloudAOUnits[cv_2023]) + SUMIF(tblTelecomUnits[Products],$A51, tblTelecomUnits[cv_2023]) + SUMIF(tblEnterpriseUnits[Products],$A51, tblEnterpriseUnits[cv_2023])</f>
        <v>0</v>
      </c>
      <c r="H51" s="8">
        <f xml:space="preserve"> SUMIF(tblGoogleUnits[Products],$A51, tblGoogleUnits[cv_2024]) + SUMIF(tblMetaUnits[Products],$A51, tblMetaUnits[cv_2024]) + SUMIF(tblAmazonUnits[Products],$A51, tblAmazonUnits[cv_2024]) + SUMIF(tblMicrosoftUnits[Products],$A51, tblMicrosoftUnits[cv_2024]) + SUMIF(tblAppleUnits[Products],$A51, tblAppleUnits[cv_2024]) + SUMIF(tblAlibabaUnits[Products],$A51, tblAlibabaUnits[cv_2024]) + SUMIF(tblHuaweiUnits[Products],$A51, tblHuaweiUnits[cv_2024]) + SUMIF(tblTencentUnits[Products],$A51, tblTencentUnits[cv_2024]) + SUMIF(tblBaiduUnits[Products],$A51, tblBaiduUnits[cv_2024]) + SUMIF(tblByteDanceUnits[Products],$A51, tblByteDanceUnits[cv_2024]) + SUMIF(tblCloudAOUnits[Products],$A51, tblCloudAOUnits[cv_2024]) + SUMIF(tblTelecomUnits[Products],$A51, tblTelecomUnits[cv_2024]) + SUMIF(tblEnterpriseUnits[Products],$A51, tblEnterpriseUnits[cv_2024])</f>
        <v>0</v>
      </c>
      <c r="I51" s="8">
        <f xml:space="preserve"> SUMIF(tblGoogleUnits[Products],$A51, tblGoogleUnits[cv_2025]) + SUMIF(tblMetaUnits[Products],$A51, tblMetaUnits[cv_2025]) + SUMIF(tblAmazonUnits[Products],$A51, tblAmazonUnits[cv_2025]) + SUMIF(tblMicrosoftUnits[Products],$A51, tblMicrosoftUnits[cv_2025]) + SUMIF(tblAppleUnits[Products],$A51, tblAppleUnits[cv_2025]) + SUMIF(tblAlibabaUnits[Products],$A51, tblAlibabaUnits[cv_2025]) + SUMIF(tblHuaweiUnits[Products],$A51, tblHuaweiUnits[cv_2025]) + SUMIF(tblTencentUnits[Products],$A51, tblTencentUnits[cv_2025]) + SUMIF(tblBaiduUnits[Products],$A51, tblBaiduUnits[cv_2025]) + SUMIF(tblByteDanceUnits[Products],$A51, tblByteDanceUnits[cv_2025]) + SUMIF(tblCloudAOUnits[Products],$A51, tblCloudAOUnits[cv_2025]) + SUMIF(tblTelecomUnits[Products],$A51, tblTelecomUnits[cv_2025]) + SUMIF(tblEnterpriseUnits[Products],$A51, tblEnterpriseUnits[cv_2025])</f>
        <v>0</v>
      </c>
      <c r="J51" s="8">
        <f xml:space="preserve"> SUMIF(tblGoogleUnits[Products],$A51, tblGoogleUnits[cv_2026]) + SUMIF(tblMetaUnits[Products],$A51, tblMetaUnits[cv_2026]) + SUMIF(tblAmazonUnits[Products],$A51, tblAmazonUnits[cv_2026]) + SUMIF(tblMicrosoftUnits[Products],$A51, tblMicrosoftUnits[cv_2026]) + SUMIF(tblAppleUnits[Products],$A51, tblAppleUnits[cv_2026]) + SUMIF(tblAlibabaUnits[Products],$A51, tblAlibabaUnits[cv_2026]) + SUMIF(tblHuaweiUnits[Products],$A51, tblHuaweiUnits[cv_2026]) + SUMIF(tblTencentUnits[Products],$A51, tblTencentUnits[cv_2026]) + SUMIF(tblBaiduUnits[Products],$A51, tblBaiduUnits[cv_2026]) + SUMIF(tblByteDanceUnits[Products],$A51, tblByteDanceUnits[cv_2026]) + SUMIF(tblCloudAOUnits[Products],$A51, tblCloudAOUnits[cv_2026]) + SUMIF(tblTelecomUnits[Products],$A51, tblTelecomUnits[cv_2026]) + SUMIF(tblEnterpriseUnits[Products],$A51, tblEnterpriseUnits[cv_2026])</f>
        <v>0</v>
      </c>
      <c r="K51" s="8">
        <f xml:space="preserve"> SUMIF(tblGoogleUnits[Products],$A51, tblGoogleUnits[cv_2027]) + SUMIF(tblMetaUnits[Products],$A51, tblMetaUnits[cv_2027]) + SUMIF(tblAmazonUnits[Products],$A51, tblAmazonUnits[cv_2027]) + SUMIF(tblMicrosoftUnits[Products],$A51, tblMicrosoftUnits[cv_2027]) + SUMIF(tblAppleUnits[Products],$A51, tblAppleUnits[cv_2027]) + SUMIF(tblAlibabaUnits[Products],$A51, tblAlibabaUnits[cv_2027]) + SUMIF(tblHuaweiUnits[Products],$A51, tblHuaweiUnits[cv_2027]) + SUMIF(tblTencentUnits[Products],$A51, tblTencentUnits[cv_2027]) + SUMIF(tblBaiduUnits[Products],$A51, tblBaiduUnits[cv_2027]) + SUMIF(tblByteDanceUnits[Products],$A51, tblByteDanceUnits[cv_2027]) + SUMIF(tblCloudAOUnits[Products],$A51, tblCloudAOUnits[cv_2027]) + SUMIF(tblTelecomUnits[Products],$A51, tblTelecomUnits[cv_2027]) + SUMIF(tblEnterpriseUnits[Products],$A51, tblEnterpriseUnits[cv_2027])</f>
        <v>0</v>
      </c>
      <c r="L51" s="8">
        <f xml:space="preserve"> SUMIF(tblGoogleUnits[Products],$A51, tblGoogleUnits[cv_2028]) + SUMIF(tblMetaUnits[Products],$A51, tblMetaUnits[cv_2028]) + SUMIF(tblAmazonUnits[Products],$A51, tblAmazonUnits[cv_2028]) + SUMIF(tblMicrosoftUnits[Products],$A51, tblMicrosoftUnits[cv_2028]) + SUMIF(tblAppleUnits[Products],$A51, tblAppleUnits[cv_2028]) + SUMIF(tblAlibabaUnits[Products],$A51, tblAlibabaUnits[cv_2028]) + SUMIF(tblHuaweiUnits[Products],$A51, tblHuaweiUnits[cv_2028]) + SUMIF(tblTencentUnits[Products],$A51, tblTencentUnits[cv_2028]) + SUMIF(tblBaiduUnits[Products],$A51, tblBaiduUnits[cv_2028]) + SUMIF(tblByteDanceUnits[Products],$A51, tblByteDanceUnits[cv_2028]) + SUMIF(tblCloudAOUnits[Products],$A51, tblCloudAOUnits[cv_2028]) + SUMIF(tblTelecomUnits[Products],$A51, tblTelecomUnits[cv_2028]) + SUMIF(tblEnterpriseUnits[Products],$A51, tblEnterpriseUnits[cv_2028])</f>
        <v>0</v>
      </c>
      <c r="M51" s="105" cm="1">
        <f t="array" ref="M51">INDEX(tblPrices[cv_2018], MATCH($A51,tblPrices[Products],0), 0)</f>
        <v>361.77095787062291</v>
      </c>
      <c r="N51" s="105" cm="1">
        <f t="array" ref="N51">INDEX(tblPrices[cv_2019], MATCH($A51,tblPrices[Products],0), 0)</f>
        <v>248.30643495824251</v>
      </c>
      <c r="O51" s="105" cm="1">
        <f t="array" ref="O51">INDEX(tblPrices[cv_2020], MATCH($A51,tblPrices[Products],0), 0)</f>
        <v>0</v>
      </c>
      <c r="P51" s="105" cm="1">
        <f t="array" ref="P51">INDEX(tblPrices[cv_2021], MATCH($A51,tblPrices[Products],0), 0)</f>
        <v>0</v>
      </c>
      <c r="Q51" s="105" cm="1">
        <f t="array" ref="Q51">INDEX(tblPrices[cv_2022], MATCH($A51,tblPrices[Products],0), 0)</f>
        <v>0</v>
      </c>
      <c r="R51" s="105" cm="1">
        <f t="array" ref="R51">INDEX(tblPrices[cv_2023], MATCH($A51,tblPrices[Products],0), 0)</f>
        <v>0</v>
      </c>
      <c r="S51" s="105" cm="1">
        <f t="array" ref="S51">INDEX(tblPrices[cv_2024], MATCH($A51,tblPrices[Products],0), 0)</f>
        <v>0</v>
      </c>
      <c r="T51" s="105" cm="1">
        <f t="array" ref="T51">INDEX(tblPrices[cv_2025], MATCH($A51,tblPrices[Products],0), 0)</f>
        <v>0</v>
      </c>
      <c r="U51" s="105" cm="1">
        <f t="array" ref="U51">INDEX(tblPrices[cv_2026], MATCH($A51,tblPrices[Products],0), 0)</f>
        <v>0</v>
      </c>
      <c r="V51" s="105" cm="1">
        <f t="array" ref="V51">INDEX(tblPrices[cv_2027], MATCH($A51,tblPrices[Products],0), 0)</f>
        <v>0</v>
      </c>
      <c r="W51" s="105" cm="1">
        <f t="array" ref="W51">INDEX(tblPrices[cv_2028], MATCH($A51,tblPrices[Products],0), 0)</f>
        <v>0</v>
      </c>
      <c r="X51" s="106" cm="1">
        <f t="array" ref="X51">INDEX(tblPrices[cv_2018], MATCH($A51,tblPrices[Products],0), 0)* tblForecast[[#This Row],[un_2018]]/10^6</f>
        <v>97.438304479999957</v>
      </c>
      <c r="Y51" s="106" cm="1">
        <f t="array" ref="Y51">INDEX(tblPrices[cv_2019], MATCH($A51,tblPrices[Products],0), 0)* tblForecast[[#This Row],[un_2019]]/10^6</f>
        <v>85.682108285300913</v>
      </c>
      <c r="Z51" s="106" cm="1">
        <f t="array" ref="Z51">INDEX(tblPrices[cv_2020], MATCH($A51,tblPrices[Products],0), 0)* tblForecast[[#This Row],[un_2020]]/10^6</f>
        <v>0</v>
      </c>
      <c r="AA51" s="106" cm="1">
        <f t="array" ref="AA51">INDEX(tblPrices[cv_2021], MATCH($A51,tblPrices[Products],0), 0)* tblForecast[[#This Row],[un_2021]]/10^6</f>
        <v>0</v>
      </c>
      <c r="AB51" s="106" cm="1">
        <f t="array" ref="AB51">INDEX(tblPrices[cv_2022], MATCH($A51,tblPrices[Products],0), 0)* tblForecast[[#This Row],[un_2022]]/10^6</f>
        <v>0</v>
      </c>
      <c r="AC51" s="106" cm="1">
        <f t="array" ref="AC51">INDEX(tblPrices[cv_2023], MATCH($A51,tblPrices[Products],0), 0)* tblForecast[[#This Row],[un_2023]]/10^6</f>
        <v>0</v>
      </c>
      <c r="AD51" s="106" cm="1">
        <f t="array" ref="AD51">INDEX(tblPrices[cv_2024], MATCH($A51,tblPrices[Products],0), 0)* tblForecast[[#This Row],[un_2024]]/10^6</f>
        <v>0</v>
      </c>
      <c r="AE51" s="106" cm="1">
        <f t="array" ref="AE51">INDEX(tblPrices[cv_2025], MATCH($A51,tblPrices[Products],0), 0)* tblForecast[[#This Row],[un_2025]]/10^6</f>
        <v>0</v>
      </c>
      <c r="AF51" s="106" cm="1">
        <f t="array" ref="AF51">INDEX(tblPrices[cv_2026], MATCH($A51,tblPrices[Products],0), 0)* tblForecast[[#This Row],[un_2026]]/10^6</f>
        <v>0</v>
      </c>
      <c r="AG51" s="106" cm="1">
        <f t="array" ref="AG51">INDEX(tblPrices[cv_2027], MATCH($A51,tblPrices[Products],0), 0)* tblForecast[[#This Row],[un_2027]]/10^6</f>
        <v>0</v>
      </c>
      <c r="AH51" s="106" cm="1">
        <f t="array" ref="AH51">INDEX(tblPrices[cv_2028], MATCH($A51,tblPrices[Products],0), 0)* tblForecast[[#This Row],[un_2028]]/10^6</f>
        <v>0</v>
      </c>
      <c r="AI51" s="60">
        <f>VLOOKUP(A51,Products!$A$11:$F$110,6,FALSE)</f>
        <v>40</v>
      </c>
    </row>
    <row r="52" spans="1:35">
      <c r="A52" s="12" t="s">
        <v>172</v>
      </c>
      <c r="B52" s="8">
        <f xml:space="preserve"> SUMIF(tblGoogleUnits[Products],$A52, tblGoogleUnits[cv_2018]) + SUMIF(tblMetaUnits[Products],$A52, tblMetaUnits[cv_2018]) + SUMIF(tblAmazonUnits[Products],$A52, tblAmazonUnits[cv_2018]) + SUMIF(tblMicrosoftUnits[Products],$A52, tblMicrosoftUnits[cv_2018]) + SUMIF(tblAppleUnits[Products],$A52, tblAppleUnits[cv_2018]) + SUMIF(tblAlibabaUnits[Products],$A52, tblAlibabaUnits[cv_2018]) + SUMIF(tblHuaweiUnits[Products],$A52, tblHuaweiUnits[cv_2018]) + SUMIF(tblTencentUnits[Products],$A52, tblTencentUnits[cv_2018]) + SUMIF(tblBaiduUnits[Products],$A52, tblBaiduUnits[cv_2018]) + SUMIF(tblByteDanceUnits[Products],$A52, tblByteDanceUnits[cv_2018]) + SUMIF(tblCloudAOUnits[Products],$A52, tblCloudAOUnits[cv_2018]) + SUMIF(tblTelecomUnits[Products],$A52, tblTelecomUnits[cv_2018]) + SUMIF(tblEnterpriseUnits[Products],$A52, tblEnterpriseUnits[cv_2018])</f>
        <v>8224</v>
      </c>
      <c r="C52" s="8">
        <f xml:space="preserve"> SUMIF(tblGoogleUnits[Products],$A52, tblGoogleUnits[cv_2019]) + SUMIF(tblMetaUnits[Products],$A52, tblMetaUnits[cv_2019]) + SUMIF(tblAmazonUnits[Products],$A52, tblAmazonUnits[cv_2019]) + SUMIF(tblMicrosoftUnits[Products],$A52, tblMicrosoftUnits[cv_2019]) + SUMIF(tblAppleUnits[Products],$A52, tblAppleUnits[cv_2019]) + SUMIF(tblAlibabaUnits[Products],$A52, tblAlibabaUnits[cv_2019]) + SUMIF(tblHuaweiUnits[Products],$A52, tblHuaweiUnits[cv_2019]) + SUMIF(tblTencentUnits[Products],$A52, tblTencentUnits[cv_2019]) + SUMIF(tblBaiduUnits[Products],$A52, tblBaiduUnits[cv_2019]) + SUMIF(tblByteDanceUnits[Products],$A52, tblByteDanceUnits[cv_2019]) + SUMIF(tblCloudAOUnits[Products],$A52, tblCloudAOUnits[cv_2019]) + SUMIF(tblTelecomUnits[Products],$A52, tblTelecomUnits[cv_2019]) + SUMIF(tblEnterpriseUnits[Products],$A52, tblEnterpriseUnits[cv_2019])</f>
        <v>4475</v>
      </c>
      <c r="D52" s="8">
        <f xml:space="preserve"> SUMIF(tblGoogleUnits[Products],$A52, tblGoogleUnits[cv_2020]) + SUMIF(tblMetaUnits[Products],$A52, tblMetaUnits[cv_2020]) + SUMIF(tblAmazonUnits[Products],$A52, tblAmazonUnits[cv_2020]) + SUMIF(tblMicrosoftUnits[Products],$A52, tblMicrosoftUnits[cv_2020]) + SUMIF(tblAppleUnits[Products],$A52, tblAppleUnits[cv_2020]) + SUMIF(tblAlibabaUnits[Products],$A52, tblAlibabaUnits[cv_2020]) + SUMIF(tblHuaweiUnits[Products],$A52, tblHuaweiUnits[cv_2020]) + SUMIF(tblTencentUnits[Products],$A52, tblTencentUnits[cv_2020]) + SUMIF(tblBaiduUnits[Products],$A52, tblBaiduUnits[cv_2020]) + SUMIF(tblByteDanceUnits[Products],$A52, tblByteDanceUnits[cv_2020]) + SUMIF(tblCloudAOUnits[Products],$A52, tblCloudAOUnits[cv_2020]) + SUMIF(tblTelecomUnits[Products],$A52, tblTelecomUnits[cv_2020]) + SUMIF(tblEnterpriseUnits[Products],$A52, tblEnterpriseUnits[cv_2020])</f>
        <v>0</v>
      </c>
      <c r="E52" s="8">
        <f xml:space="preserve"> SUMIF(tblGoogleUnits[Products],$A52, tblGoogleUnits[cv_2021]) + SUMIF(tblMetaUnits[Products],$A52, tblMetaUnits[cv_2021]) + SUMIF(tblAmazonUnits[Products],$A52, tblAmazonUnits[cv_2021]) + SUMIF(tblMicrosoftUnits[Products],$A52, tblMicrosoftUnits[cv_2021]) + SUMIF(tblAppleUnits[Products],$A52, tblAppleUnits[cv_2021]) + SUMIF(tblAlibabaUnits[Products],$A52, tblAlibabaUnits[cv_2021]) + SUMIF(tblHuaweiUnits[Products],$A52, tblHuaweiUnits[cv_2021]) + SUMIF(tblTencentUnits[Products],$A52, tblTencentUnits[cv_2021]) + SUMIF(tblBaiduUnits[Products],$A52, tblBaiduUnits[cv_2021]) + SUMIF(tblByteDanceUnits[Products],$A52, tblByteDanceUnits[cv_2021]) + SUMIF(tblCloudAOUnits[Products],$A52, tblCloudAOUnits[cv_2021]) + SUMIF(tblTelecomUnits[Products],$A52, tblTelecomUnits[cv_2021]) + SUMIF(tblEnterpriseUnits[Products],$A52, tblEnterpriseUnits[cv_2021])</f>
        <v>0</v>
      </c>
      <c r="F52" s="8">
        <f xml:space="preserve"> SUMIF(tblGoogleUnits[Products],$A52, tblGoogleUnits[cv_2022]) + SUMIF(tblMetaUnits[Products],$A52, tblMetaUnits[cv_2022]) + SUMIF(tblAmazonUnits[Products],$A52, tblAmazonUnits[cv_2022]) + SUMIF(tblMicrosoftUnits[Products],$A52, tblMicrosoftUnits[cv_2022]) + SUMIF(tblAppleUnits[Products],$A52, tblAppleUnits[cv_2022]) + SUMIF(tblAlibabaUnits[Products],$A52, tblAlibabaUnits[cv_2022]) + SUMIF(tblHuaweiUnits[Products],$A52, tblHuaweiUnits[cv_2022]) + SUMIF(tblTencentUnits[Products],$A52, tblTencentUnits[cv_2022]) + SUMIF(tblBaiduUnits[Products],$A52, tblBaiduUnits[cv_2022]) + SUMIF(tblByteDanceUnits[Products],$A52, tblByteDanceUnits[cv_2022]) + SUMIF(tblCloudAOUnits[Products],$A52, tblCloudAOUnits[cv_2022]) + SUMIF(tblTelecomUnits[Products],$A52, tblTelecomUnits[cv_2022]) + SUMIF(tblEnterpriseUnits[Products],$A52, tblEnterpriseUnits[cv_2022])</f>
        <v>0</v>
      </c>
      <c r="G52" s="8">
        <f xml:space="preserve"> SUMIF(tblGoogleUnits[Products],$A52, tblGoogleUnits[cv_2023]) + SUMIF(tblMetaUnits[Products],$A52, tblMetaUnits[cv_2023]) + SUMIF(tblAmazonUnits[Products],$A52, tblAmazonUnits[cv_2023]) + SUMIF(tblMicrosoftUnits[Products],$A52, tblMicrosoftUnits[cv_2023]) + SUMIF(tblAppleUnits[Products],$A52, tblAppleUnits[cv_2023]) + SUMIF(tblAlibabaUnits[Products],$A52, tblAlibabaUnits[cv_2023]) + SUMIF(tblHuaweiUnits[Products],$A52, tblHuaweiUnits[cv_2023]) + SUMIF(tblTencentUnits[Products],$A52, tblTencentUnits[cv_2023]) + SUMIF(tblBaiduUnits[Products],$A52, tblBaiduUnits[cv_2023]) + SUMIF(tblByteDanceUnits[Products],$A52, tblByteDanceUnits[cv_2023]) + SUMIF(tblCloudAOUnits[Products],$A52, tblCloudAOUnits[cv_2023]) + SUMIF(tblTelecomUnits[Products],$A52, tblTelecomUnits[cv_2023]) + SUMIF(tblEnterpriseUnits[Products],$A52, tblEnterpriseUnits[cv_2023])</f>
        <v>0</v>
      </c>
      <c r="H52" s="8">
        <f xml:space="preserve"> SUMIF(tblGoogleUnits[Products],$A52, tblGoogleUnits[cv_2024]) + SUMIF(tblMetaUnits[Products],$A52, tblMetaUnits[cv_2024]) + SUMIF(tblAmazonUnits[Products],$A52, tblAmazonUnits[cv_2024]) + SUMIF(tblMicrosoftUnits[Products],$A52, tblMicrosoftUnits[cv_2024]) + SUMIF(tblAppleUnits[Products],$A52, tblAppleUnits[cv_2024]) + SUMIF(tblAlibabaUnits[Products],$A52, tblAlibabaUnits[cv_2024]) + SUMIF(tblHuaweiUnits[Products],$A52, tblHuaweiUnits[cv_2024]) + SUMIF(tblTencentUnits[Products],$A52, tblTencentUnits[cv_2024]) + SUMIF(tblBaiduUnits[Products],$A52, tblBaiduUnits[cv_2024]) + SUMIF(tblByteDanceUnits[Products],$A52, tblByteDanceUnits[cv_2024]) + SUMIF(tblCloudAOUnits[Products],$A52, tblCloudAOUnits[cv_2024]) + SUMIF(tblTelecomUnits[Products],$A52, tblTelecomUnits[cv_2024]) + SUMIF(tblEnterpriseUnits[Products],$A52, tblEnterpriseUnits[cv_2024])</f>
        <v>0</v>
      </c>
      <c r="I52" s="8">
        <f xml:space="preserve"> SUMIF(tblGoogleUnits[Products],$A52, tblGoogleUnits[cv_2025]) + SUMIF(tblMetaUnits[Products],$A52, tblMetaUnits[cv_2025]) + SUMIF(tblAmazonUnits[Products],$A52, tblAmazonUnits[cv_2025]) + SUMIF(tblMicrosoftUnits[Products],$A52, tblMicrosoftUnits[cv_2025]) + SUMIF(tblAppleUnits[Products],$A52, tblAppleUnits[cv_2025]) + SUMIF(tblAlibabaUnits[Products],$A52, tblAlibabaUnits[cv_2025]) + SUMIF(tblHuaweiUnits[Products],$A52, tblHuaweiUnits[cv_2025]) + SUMIF(tblTencentUnits[Products],$A52, tblTencentUnits[cv_2025]) + SUMIF(tblBaiduUnits[Products],$A52, tblBaiduUnits[cv_2025]) + SUMIF(tblByteDanceUnits[Products],$A52, tblByteDanceUnits[cv_2025]) + SUMIF(tblCloudAOUnits[Products],$A52, tblCloudAOUnits[cv_2025]) + SUMIF(tblTelecomUnits[Products],$A52, tblTelecomUnits[cv_2025]) + SUMIF(tblEnterpriseUnits[Products],$A52, tblEnterpriseUnits[cv_2025])</f>
        <v>0</v>
      </c>
      <c r="J52" s="8">
        <f xml:space="preserve"> SUMIF(tblGoogleUnits[Products],$A52, tblGoogleUnits[cv_2026]) + SUMIF(tblMetaUnits[Products],$A52, tblMetaUnits[cv_2026]) + SUMIF(tblAmazonUnits[Products],$A52, tblAmazonUnits[cv_2026]) + SUMIF(tblMicrosoftUnits[Products],$A52, tblMicrosoftUnits[cv_2026]) + SUMIF(tblAppleUnits[Products],$A52, tblAppleUnits[cv_2026]) + SUMIF(tblAlibabaUnits[Products],$A52, tblAlibabaUnits[cv_2026]) + SUMIF(tblHuaweiUnits[Products],$A52, tblHuaweiUnits[cv_2026]) + SUMIF(tblTencentUnits[Products],$A52, tblTencentUnits[cv_2026]) + SUMIF(tblBaiduUnits[Products],$A52, tblBaiduUnits[cv_2026]) + SUMIF(tblByteDanceUnits[Products],$A52, tblByteDanceUnits[cv_2026]) + SUMIF(tblCloudAOUnits[Products],$A52, tblCloudAOUnits[cv_2026]) + SUMIF(tblTelecomUnits[Products],$A52, tblTelecomUnits[cv_2026]) + SUMIF(tblEnterpriseUnits[Products],$A52, tblEnterpriseUnits[cv_2026])</f>
        <v>0</v>
      </c>
      <c r="K52" s="8">
        <f xml:space="preserve"> SUMIF(tblGoogleUnits[Products],$A52, tblGoogleUnits[cv_2027]) + SUMIF(tblMetaUnits[Products],$A52, tblMetaUnits[cv_2027]) + SUMIF(tblAmazonUnits[Products],$A52, tblAmazonUnits[cv_2027]) + SUMIF(tblMicrosoftUnits[Products],$A52, tblMicrosoftUnits[cv_2027]) + SUMIF(tblAppleUnits[Products],$A52, tblAppleUnits[cv_2027]) + SUMIF(tblAlibabaUnits[Products],$A52, tblAlibabaUnits[cv_2027]) + SUMIF(tblHuaweiUnits[Products],$A52, tblHuaweiUnits[cv_2027]) + SUMIF(tblTencentUnits[Products],$A52, tblTencentUnits[cv_2027]) + SUMIF(tblBaiduUnits[Products],$A52, tblBaiduUnits[cv_2027]) + SUMIF(tblByteDanceUnits[Products],$A52, tblByteDanceUnits[cv_2027]) + SUMIF(tblCloudAOUnits[Products],$A52, tblCloudAOUnits[cv_2027]) + SUMIF(tblTelecomUnits[Products],$A52, tblTelecomUnits[cv_2027]) + SUMIF(tblEnterpriseUnits[Products],$A52, tblEnterpriseUnits[cv_2027])</f>
        <v>0</v>
      </c>
      <c r="L52" s="8">
        <f xml:space="preserve"> SUMIF(tblGoogleUnits[Products],$A52, tblGoogleUnits[cv_2028]) + SUMIF(tblMetaUnits[Products],$A52, tblMetaUnits[cv_2028]) + SUMIF(tblAmazonUnits[Products],$A52, tblAmazonUnits[cv_2028]) + SUMIF(tblMicrosoftUnits[Products],$A52, tblMicrosoftUnits[cv_2028]) + SUMIF(tblAppleUnits[Products],$A52, tblAppleUnits[cv_2028]) + SUMIF(tblAlibabaUnits[Products],$A52, tblAlibabaUnits[cv_2028]) + SUMIF(tblHuaweiUnits[Products],$A52, tblHuaweiUnits[cv_2028]) + SUMIF(tblTencentUnits[Products],$A52, tblTencentUnits[cv_2028]) + SUMIF(tblBaiduUnits[Products],$A52, tblBaiduUnits[cv_2028]) + SUMIF(tblByteDanceUnits[Products],$A52, tblByteDanceUnits[cv_2028]) + SUMIF(tblCloudAOUnits[Products],$A52, tblCloudAOUnits[cv_2028]) + SUMIF(tblTelecomUnits[Products],$A52, tblTelecomUnits[cv_2028]) + SUMIF(tblEnterpriseUnits[Products],$A52, tblEnterpriseUnits[cv_2028])</f>
        <v>0</v>
      </c>
      <c r="M52" s="105" cm="1">
        <f t="array" ref="M52">INDEX(tblPrices[cv_2018], MATCH($A52,tblPrices[Products],0), 0)</f>
        <v>1255.0508268482483</v>
      </c>
      <c r="N52" s="105" cm="1">
        <f t="array" ref="N52">INDEX(tblPrices[cv_2019], MATCH($A52,tblPrices[Products],0), 0)</f>
        <v>894.2956424581015</v>
      </c>
      <c r="O52" s="105" cm="1">
        <f t="array" ref="O52">INDEX(tblPrices[cv_2020], MATCH($A52,tblPrices[Products],0), 0)</f>
        <v>0</v>
      </c>
      <c r="P52" s="105" cm="1">
        <f t="array" ref="P52">INDEX(tblPrices[cv_2021], MATCH($A52,tblPrices[Products],0), 0)</f>
        <v>0</v>
      </c>
      <c r="Q52" s="105" cm="1">
        <f t="array" ref="Q52">INDEX(tblPrices[cv_2022], MATCH($A52,tblPrices[Products],0), 0)</f>
        <v>0</v>
      </c>
      <c r="R52" s="105" cm="1">
        <f t="array" ref="R52">INDEX(tblPrices[cv_2023], MATCH($A52,tblPrices[Products],0), 0)</f>
        <v>0</v>
      </c>
      <c r="S52" s="105" cm="1">
        <f t="array" ref="S52">INDEX(tblPrices[cv_2024], MATCH($A52,tblPrices[Products],0), 0)</f>
        <v>0</v>
      </c>
      <c r="T52" s="105" cm="1">
        <f t="array" ref="T52">INDEX(tblPrices[cv_2025], MATCH($A52,tblPrices[Products],0), 0)</f>
        <v>0</v>
      </c>
      <c r="U52" s="105" cm="1">
        <f t="array" ref="U52">INDEX(tblPrices[cv_2026], MATCH($A52,tblPrices[Products],0), 0)</f>
        <v>0</v>
      </c>
      <c r="V52" s="105" cm="1">
        <f t="array" ref="V52">INDEX(tblPrices[cv_2027], MATCH($A52,tblPrices[Products],0), 0)</f>
        <v>0</v>
      </c>
      <c r="W52" s="105" cm="1">
        <f t="array" ref="W52">INDEX(tblPrices[cv_2028], MATCH($A52,tblPrices[Products],0), 0)</f>
        <v>0</v>
      </c>
      <c r="X52" s="106" cm="1">
        <f t="array" ref="X52">INDEX(tblPrices[cv_2018], MATCH($A52,tblPrices[Products],0), 0)* tblForecast[[#This Row],[un_2018]]/10^6</f>
        <v>10.321537999999995</v>
      </c>
      <c r="Y52" s="106" cm="1">
        <f t="array" ref="Y52">INDEX(tblPrices[cv_2019], MATCH($A52,tblPrices[Products],0), 0)* tblForecast[[#This Row],[un_2019]]/10^6</f>
        <v>4.001973000000004</v>
      </c>
      <c r="Z52" s="106" cm="1">
        <f t="array" ref="Z52">INDEX(tblPrices[cv_2020], MATCH($A52,tblPrices[Products],0), 0)* tblForecast[[#This Row],[un_2020]]/10^6</f>
        <v>0</v>
      </c>
      <c r="AA52" s="106" cm="1">
        <f t="array" ref="AA52">INDEX(tblPrices[cv_2021], MATCH($A52,tblPrices[Products],0), 0)* tblForecast[[#This Row],[un_2021]]/10^6</f>
        <v>0</v>
      </c>
      <c r="AB52" s="106" cm="1">
        <f t="array" ref="AB52">INDEX(tblPrices[cv_2022], MATCH($A52,tblPrices[Products],0), 0)* tblForecast[[#This Row],[un_2022]]/10^6</f>
        <v>0</v>
      </c>
      <c r="AC52" s="106" cm="1">
        <f t="array" ref="AC52">INDEX(tblPrices[cv_2023], MATCH($A52,tblPrices[Products],0), 0)* tblForecast[[#This Row],[un_2023]]/10^6</f>
        <v>0</v>
      </c>
      <c r="AD52" s="106" cm="1">
        <f t="array" ref="AD52">INDEX(tblPrices[cv_2024], MATCH($A52,tblPrices[Products],0), 0)* tblForecast[[#This Row],[un_2024]]/10^6</f>
        <v>0</v>
      </c>
      <c r="AE52" s="106" cm="1">
        <f t="array" ref="AE52">INDEX(tblPrices[cv_2025], MATCH($A52,tblPrices[Products],0), 0)* tblForecast[[#This Row],[un_2025]]/10^6</f>
        <v>0</v>
      </c>
      <c r="AF52" s="106" cm="1">
        <f t="array" ref="AF52">INDEX(tblPrices[cv_2026], MATCH($A52,tblPrices[Products],0), 0)* tblForecast[[#This Row],[un_2026]]/10^6</f>
        <v>0</v>
      </c>
      <c r="AG52" s="106" cm="1">
        <f t="array" ref="AG52">INDEX(tblPrices[cv_2027], MATCH($A52,tblPrices[Products],0), 0)* tblForecast[[#This Row],[un_2027]]/10^6</f>
        <v>0</v>
      </c>
      <c r="AH52" s="106" cm="1">
        <f t="array" ref="AH52">INDEX(tblPrices[cv_2028], MATCH($A52,tblPrices[Products],0), 0)* tblForecast[[#This Row],[un_2028]]/10^6</f>
        <v>0</v>
      </c>
      <c r="AI52" s="60">
        <f>VLOOKUP(A52,Products!$A$11:$F$110,6,FALSE)</f>
        <v>40</v>
      </c>
    </row>
    <row r="53" spans="1:35">
      <c r="A53" s="12" t="s">
        <v>173</v>
      </c>
      <c r="B53" s="8">
        <f xml:space="preserve"> SUMIF(tblGoogleUnits[Products],$A53, tblGoogleUnits[cv_2018]) + SUMIF(tblMetaUnits[Products],$A53, tblMetaUnits[cv_2018]) + SUMIF(tblAmazonUnits[Products],$A53, tblAmazonUnits[cv_2018]) + SUMIF(tblMicrosoftUnits[Products],$A53, tblMicrosoftUnits[cv_2018]) + SUMIF(tblAppleUnits[Products],$A53, tblAppleUnits[cv_2018]) + SUMIF(tblAlibabaUnits[Products],$A53, tblAlibabaUnits[cv_2018]) + SUMIF(tblHuaweiUnits[Products],$A53, tblHuaweiUnits[cv_2018]) + SUMIF(tblTencentUnits[Products],$A53, tblTencentUnits[cv_2018]) + SUMIF(tblBaiduUnits[Products],$A53, tblBaiduUnits[cv_2018]) + SUMIF(tblByteDanceUnits[Products],$A53, tblByteDanceUnits[cv_2018]) + SUMIF(tblCloudAOUnits[Products],$A53, tblCloudAOUnits[cv_2018]) + SUMIF(tblTelecomUnits[Products],$A53, tblTelecomUnits[cv_2018]) + SUMIF(tblEnterpriseUnits[Products],$A53, tblEnterpriseUnits[cv_2018])</f>
        <v>0</v>
      </c>
      <c r="C53" s="8">
        <f xml:space="preserve"> SUMIF(tblGoogleUnits[Products],$A53, tblGoogleUnits[cv_2019]) + SUMIF(tblMetaUnits[Products],$A53, tblMetaUnits[cv_2019]) + SUMIF(tblAmazonUnits[Products],$A53, tblAmazonUnits[cv_2019]) + SUMIF(tblMicrosoftUnits[Products],$A53, tblMicrosoftUnits[cv_2019]) + SUMIF(tblAppleUnits[Products],$A53, tblAppleUnits[cv_2019]) + SUMIF(tblAlibabaUnits[Products],$A53, tblAlibabaUnits[cv_2019]) + SUMIF(tblHuaweiUnits[Products],$A53, tblHuaweiUnits[cv_2019]) + SUMIF(tblTencentUnits[Products],$A53, tblTencentUnits[cv_2019]) + SUMIF(tblBaiduUnits[Products],$A53, tblBaiduUnits[cv_2019]) + SUMIF(tblByteDanceUnits[Products],$A53, tblByteDanceUnits[cv_2019]) + SUMIF(tblCloudAOUnits[Products],$A53, tblCloudAOUnits[cv_2019]) + SUMIF(tblTelecomUnits[Products],$A53, tblTelecomUnits[cv_2019]) + SUMIF(tblEnterpriseUnits[Products],$A53, tblEnterpriseUnits[cv_2019])</f>
        <v>0</v>
      </c>
      <c r="D53" s="8">
        <f xml:space="preserve"> SUMIF(tblGoogleUnits[Products],$A53, tblGoogleUnits[cv_2020]) + SUMIF(tblMetaUnits[Products],$A53, tblMetaUnits[cv_2020]) + SUMIF(tblAmazonUnits[Products],$A53, tblAmazonUnits[cv_2020]) + SUMIF(tblMicrosoftUnits[Products],$A53, tblMicrosoftUnits[cv_2020]) + SUMIF(tblAppleUnits[Products],$A53, tblAppleUnits[cv_2020]) + SUMIF(tblAlibabaUnits[Products],$A53, tblAlibabaUnits[cv_2020]) + SUMIF(tblHuaweiUnits[Products],$A53, tblHuaweiUnits[cv_2020]) + SUMIF(tblTencentUnits[Products],$A53, tblTencentUnits[cv_2020]) + SUMIF(tblBaiduUnits[Products],$A53, tblBaiduUnits[cv_2020]) + SUMIF(tblByteDanceUnits[Products],$A53, tblByteDanceUnits[cv_2020]) + SUMIF(tblCloudAOUnits[Products],$A53, tblCloudAOUnits[cv_2020]) + SUMIF(tblTelecomUnits[Products],$A53, tblTelecomUnits[cv_2020]) + SUMIF(tblEnterpriseUnits[Products],$A53, tblEnterpriseUnits[cv_2020])</f>
        <v>0</v>
      </c>
      <c r="E53" s="8">
        <f xml:space="preserve"> SUMIF(tblGoogleUnits[Products],$A53, tblGoogleUnits[cv_2021]) + SUMIF(tblMetaUnits[Products],$A53, tblMetaUnits[cv_2021]) + SUMIF(tblAmazonUnits[Products],$A53, tblAmazonUnits[cv_2021]) + SUMIF(tblMicrosoftUnits[Products],$A53, tblMicrosoftUnits[cv_2021]) + SUMIF(tblAppleUnits[Products],$A53, tblAppleUnits[cv_2021]) + SUMIF(tblAlibabaUnits[Products],$A53, tblAlibabaUnits[cv_2021]) + SUMIF(tblHuaweiUnits[Products],$A53, tblHuaweiUnits[cv_2021]) + SUMIF(tblTencentUnits[Products],$A53, tblTencentUnits[cv_2021]) + SUMIF(tblBaiduUnits[Products],$A53, tblBaiduUnits[cv_2021]) + SUMIF(tblByteDanceUnits[Products],$A53, tblByteDanceUnits[cv_2021]) + SUMIF(tblCloudAOUnits[Products],$A53, tblCloudAOUnits[cv_2021]) + SUMIF(tblTelecomUnits[Products],$A53, tblTelecomUnits[cv_2021]) + SUMIF(tblEnterpriseUnits[Products],$A53, tblEnterpriseUnits[cv_2021])</f>
        <v>0</v>
      </c>
      <c r="F53" s="8">
        <f xml:space="preserve"> SUMIF(tblGoogleUnits[Products],$A53, tblGoogleUnits[cv_2022]) + SUMIF(tblMetaUnits[Products],$A53, tblMetaUnits[cv_2022]) + SUMIF(tblAmazonUnits[Products],$A53, tblAmazonUnits[cv_2022]) + SUMIF(tblMicrosoftUnits[Products],$A53, tblMicrosoftUnits[cv_2022]) + SUMIF(tblAppleUnits[Products],$A53, tblAppleUnits[cv_2022]) + SUMIF(tblAlibabaUnits[Products],$A53, tblAlibabaUnits[cv_2022]) + SUMIF(tblHuaweiUnits[Products],$A53, tblHuaweiUnits[cv_2022]) + SUMIF(tblTencentUnits[Products],$A53, tblTencentUnits[cv_2022]) + SUMIF(tblBaiduUnits[Products],$A53, tblBaiduUnits[cv_2022]) + SUMIF(tblByteDanceUnits[Products],$A53, tblByteDanceUnits[cv_2022]) + SUMIF(tblCloudAOUnits[Products],$A53, tblCloudAOUnits[cv_2022]) + SUMIF(tblTelecomUnits[Products],$A53, tblTelecomUnits[cv_2022]) + SUMIF(tblEnterpriseUnits[Products],$A53, tblEnterpriseUnits[cv_2022])</f>
        <v>0</v>
      </c>
      <c r="G53" s="8">
        <f xml:space="preserve"> SUMIF(tblGoogleUnits[Products],$A53, tblGoogleUnits[cv_2023]) + SUMIF(tblMetaUnits[Products],$A53, tblMetaUnits[cv_2023]) + SUMIF(tblAmazonUnits[Products],$A53, tblAmazonUnits[cv_2023]) + SUMIF(tblMicrosoftUnits[Products],$A53, tblMicrosoftUnits[cv_2023]) + SUMIF(tblAppleUnits[Products],$A53, tblAppleUnits[cv_2023]) + SUMIF(tblAlibabaUnits[Products],$A53, tblAlibabaUnits[cv_2023]) + SUMIF(tblHuaweiUnits[Products],$A53, tblHuaweiUnits[cv_2023]) + SUMIF(tblTencentUnits[Products],$A53, tblTencentUnits[cv_2023]) + SUMIF(tblBaiduUnits[Products],$A53, tblBaiduUnits[cv_2023]) + SUMIF(tblByteDanceUnits[Products],$A53, tblByteDanceUnits[cv_2023]) + SUMIF(tblCloudAOUnits[Products],$A53, tblCloudAOUnits[cv_2023]) + SUMIF(tblTelecomUnits[Products],$A53, tblTelecomUnits[cv_2023]) + SUMIF(tblEnterpriseUnits[Products],$A53, tblEnterpriseUnits[cv_2023])</f>
        <v>0</v>
      </c>
      <c r="H53" s="8">
        <f xml:space="preserve"> SUMIF(tblGoogleUnits[Products],$A53, tblGoogleUnits[cv_2024]) + SUMIF(tblMetaUnits[Products],$A53, tblMetaUnits[cv_2024]) + SUMIF(tblAmazonUnits[Products],$A53, tblAmazonUnits[cv_2024]) + SUMIF(tblMicrosoftUnits[Products],$A53, tblMicrosoftUnits[cv_2024]) + SUMIF(tblAppleUnits[Products],$A53, tblAppleUnits[cv_2024]) + SUMIF(tblAlibabaUnits[Products],$A53, tblAlibabaUnits[cv_2024]) + SUMIF(tblHuaweiUnits[Products],$A53, tblHuaweiUnits[cv_2024]) + SUMIF(tblTencentUnits[Products],$A53, tblTencentUnits[cv_2024]) + SUMIF(tblBaiduUnits[Products],$A53, tblBaiduUnits[cv_2024]) + SUMIF(tblByteDanceUnits[Products],$A53, tblByteDanceUnits[cv_2024]) + SUMIF(tblCloudAOUnits[Products],$A53, tblCloudAOUnits[cv_2024]) + SUMIF(tblTelecomUnits[Products],$A53, tblTelecomUnits[cv_2024]) + SUMIF(tblEnterpriseUnits[Products],$A53, tblEnterpriseUnits[cv_2024])</f>
        <v>0</v>
      </c>
      <c r="I53" s="8">
        <f xml:space="preserve"> SUMIF(tblGoogleUnits[Products],$A53, tblGoogleUnits[cv_2025]) + SUMIF(tblMetaUnits[Products],$A53, tblMetaUnits[cv_2025]) + SUMIF(tblAmazonUnits[Products],$A53, tblAmazonUnits[cv_2025]) + SUMIF(tblMicrosoftUnits[Products],$A53, tblMicrosoftUnits[cv_2025]) + SUMIF(tblAppleUnits[Products],$A53, tblAppleUnits[cv_2025]) + SUMIF(tblAlibabaUnits[Products],$A53, tblAlibabaUnits[cv_2025]) + SUMIF(tblHuaweiUnits[Products],$A53, tblHuaweiUnits[cv_2025]) + SUMIF(tblTencentUnits[Products],$A53, tblTencentUnits[cv_2025]) + SUMIF(tblBaiduUnits[Products],$A53, tblBaiduUnits[cv_2025]) + SUMIF(tblByteDanceUnits[Products],$A53, tblByteDanceUnits[cv_2025]) + SUMIF(tblCloudAOUnits[Products],$A53, tblCloudAOUnits[cv_2025]) + SUMIF(tblTelecomUnits[Products],$A53, tblTelecomUnits[cv_2025]) + SUMIF(tblEnterpriseUnits[Products],$A53, tblEnterpriseUnits[cv_2025])</f>
        <v>0</v>
      </c>
      <c r="J53" s="8">
        <f xml:space="preserve"> SUMIF(tblGoogleUnits[Products],$A53, tblGoogleUnits[cv_2026]) + SUMIF(tblMetaUnits[Products],$A53, tblMetaUnits[cv_2026]) + SUMIF(tblAmazonUnits[Products],$A53, tblAmazonUnits[cv_2026]) + SUMIF(tblMicrosoftUnits[Products],$A53, tblMicrosoftUnits[cv_2026]) + SUMIF(tblAppleUnits[Products],$A53, tblAppleUnits[cv_2026]) + SUMIF(tblAlibabaUnits[Products],$A53, tblAlibabaUnits[cv_2026]) + SUMIF(tblHuaweiUnits[Products],$A53, tblHuaweiUnits[cv_2026]) + SUMIF(tblTencentUnits[Products],$A53, tblTencentUnits[cv_2026]) + SUMIF(tblBaiduUnits[Products],$A53, tblBaiduUnits[cv_2026]) + SUMIF(tblByteDanceUnits[Products],$A53, tblByteDanceUnits[cv_2026]) + SUMIF(tblCloudAOUnits[Products],$A53, tblCloudAOUnits[cv_2026]) + SUMIF(tblTelecomUnits[Products],$A53, tblTelecomUnits[cv_2026]) + SUMIF(tblEnterpriseUnits[Products],$A53, tblEnterpriseUnits[cv_2026])</f>
        <v>0</v>
      </c>
      <c r="K53" s="8">
        <f xml:space="preserve"> SUMIF(tblGoogleUnits[Products],$A53, tblGoogleUnits[cv_2027]) + SUMIF(tblMetaUnits[Products],$A53, tblMetaUnits[cv_2027]) + SUMIF(tblAmazonUnits[Products],$A53, tblAmazonUnits[cv_2027]) + SUMIF(tblMicrosoftUnits[Products],$A53, tblMicrosoftUnits[cv_2027]) + SUMIF(tblAppleUnits[Products],$A53, tblAppleUnits[cv_2027]) + SUMIF(tblAlibabaUnits[Products],$A53, tblAlibabaUnits[cv_2027]) + SUMIF(tblHuaweiUnits[Products],$A53, tblHuaweiUnits[cv_2027]) + SUMIF(tblTencentUnits[Products],$A53, tblTencentUnits[cv_2027]) + SUMIF(tblBaiduUnits[Products],$A53, tblBaiduUnits[cv_2027]) + SUMIF(tblByteDanceUnits[Products],$A53, tblByteDanceUnits[cv_2027]) + SUMIF(tblCloudAOUnits[Products],$A53, tblCloudAOUnits[cv_2027]) + SUMIF(tblTelecomUnits[Products],$A53, tblTelecomUnits[cv_2027]) + SUMIF(tblEnterpriseUnits[Products],$A53, tblEnterpriseUnits[cv_2027])</f>
        <v>0</v>
      </c>
      <c r="L53" s="8">
        <f xml:space="preserve"> SUMIF(tblGoogleUnits[Products],$A53, tblGoogleUnits[cv_2028]) + SUMIF(tblMetaUnits[Products],$A53, tblMetaUnits[cv_2028]) + SUMIF(tblAmazonUnits[Products],$A53, tblAmazonUnits[cv_2028]) + SUMIF(tblMicrosoftUnits[Products],$A53, tblMicrosoftUnits[cv_2028]) + SUMIF(tblAppleUnits[Products],$A53, tblAppleUnits[cv_2028]) + SUMIF(tblAlibabaUnits[Products],$A53, tblAlibabaUnits[cv_2028]) + SUMIF(tblHuaweiUnits[Products],$A53, tblHuaweiUnits[cv_2028]) + SUMIF(tblTencentUnits[Products],$A53, tblTencentUnits[cv_2028]) + SUMIF(tblBaiduUnits[Products],$A53, tblBaiduUnits[cv_2028]) + SUMIF(tblByteDanceUnits[Products],$A53, tblByteDanceUnits[cv_2028]) + SUMIF(tblCloudAOUnits[Products],$A53, tblCloudAOUnits[cv_2028]) + SUMIF(tblTelecomUnits[Products],$A53, tblTelecomUnits[cv_2028]) + SUMIF(tblEnterpriseUnits[Products],$A53, tblEnterpriseUnits[cv_2028])</f>
        <v>0</v>
      </c>
      <c r="M53" s="105" cm="1">
        <f t="array" ref="M53">INDEX(tblPrices[cv_2018], MATCH($A53,tblPrices[Products],0), 0)</f>
        <v>0</v>
      </c>
      <c r="N53" s="105" cm="1">
        <f t="array" ref="N53">INDEX(tblPrices[cv_2019], MATCH($A53,tblPrices[Products],0), 0)</f>
        <v>0</v>
      </c>
      <c r="O53" s="105" cm="1">
        <f t="array" ref="O53">INDEX(tblPrices[cv_2020], MATCH($A53,tblPrices[Products],0), 0)</f>
        <v>0</v>
      </c>
      <c r="P53" s="105" cm="1">
        <f t="array" ref="P53">INDEX(tblPrices[cv_2021], MATCH($A53,tblPrices[Products],0), 0)</f>
        <v>0</v>
      </c>
      <c r="Q53" s="105" cm="1">
        <f t="array" ref="Q53">INDEX(tblPrices[cv_2022], MATCH($A53,tblPrices[Products],0), 0)</f>
        <v>0</v>
      </c>
      <c r="R53" s="105" cm="1">
        <f t="array" ref="R53">INDEX(tblPrices[cv_2023], MATCH($A53,tblPrices[Products],0), 0)</f>
        <v>0</v>
      </c>
      <c r="S53" s="105" cm="1">
        <f t="array" ref="S53">INDEX(tblPrices[cv_2024], MATCH($A53,tblPrices[Products],0), 0)</f>
        <v>0</v>
      </c>
      <c r="T53" s="105" cm="1">
        <f t="array" ref="T53">INDEX(tblPrices[cv_2025], MATCH($A53,tblPrices[Products],0), 0)</f>
        <v>0</v>
      </c>
      <c r="U53" s="105" cm="1">
        <f t="array" ref="U53">INDEX(tblPrices[cv_2026], MATCH($A53,tblPrices[Products],0), 0)</f>
        <v>0</v>
      </c>
      <c r="V53" s="105" cm="1">
        <f t="array" ref="V53">INDEX(tblPrices[cv_2027], MATCH($A53,tblPrices[Products],0), 0)</f>
        <v>0</v>
      </c>
      <c r="W53" s="105" cm="1">
        <f t="array" ref="W53">INDEX(tblPrices[cv_2028], MATCH($A53,tblPrices[Products],0), 0)</f>
        <v>0</v>
      </c>
      <c r="X53" s="106" cm="1">
        <f t="array" ref="X53">INDEX(tblPrices[cv_2018], MATCH($A53,tblPrices[Products],0), 0)* tblForecast[[#This Row],[un_2018]]/10^6</f>
        <v>0</v>
      </c>
      <c r="Y53" s="106" cm="1">
        <f t="array" ref="Y53">INDEX(tblPrices[cv_2019], MATCH($A53,tblPrices[Products],0), 0)* tblForecast[[#This Row],[un_2019]]/10^6</f>
        <v>0</v>
      </c>
      <c r="Z53" s="106" cm="1">
        <f t="array" ref="Z53">INDEX(tblPrices[cv_2020], MATCH($A53,tblPrices[Products],0), 0)* tblForecast[[#This Row],[un_2020]]/10^6</f>
        <v>0</v>
      </c>
      <c r="AA53" s="106" cm="1">
        <f t="array" ref="AA53">INDEX(tblPrices[cv_2021], MATCH($A53,tblPrices[Products],0), 0)* tblForecast[[#This Row],[un_2021]]/10^6</f>
        <v>0</v>
      </c>
      <c r="AB53" s="106" cm="1">
        <f t="array" ref="AB53">INDEX(tblPrices[cv_2022], MATCH($A53,tblPrices[Products],0), 0)* tblForecast[[#This Row],[un_2022]]/10^6</f>
        <v>0</v>
      </c>
      <c r="AC53" s="106" cm="1">
        <f t="array" ref="AC53">INDEX(tblPrices[cv_2023], MATCH($A53,tblPrices[Products],0), 0)* tblForecast[[#This Row],[un_2023]]/10^6</f>
        <v>0</v>
      </c>
      <c r="AD53" s="106" cm="1">
        <f t="array" ref="AD53">INDEX(tblPrices[cv_2024], MATCH($A53,tblPrices[Products],0), 0)* tblForecast[[#This Row],[un_2024]]/10^6</f>
        <v>0</v>
      </c>
      <c r="AE53" s="106" cm="1">
        <f t="array" ref="AE53">INDEX(tblPrices[cv_2025], MATCH($A53,tblPrices[Products],0), 0)* tblForecast[[#This Row],[un_2025]]/10^6</f>
        <v>0</v>
      </c>
      <c r="AF53" s="106" cm="1">
        <f t="array" ref="AF53">INDEX(tblPrices[cv_2026], MATCH($A53,tblPrices[Products],0), 0)* tblForecast[[#This Row],[un_2026]]/10^6</f>
        <v>0</v>
      </c>
      <c r="AG53" s="106" cm="1">
        <f t="array" ref="AG53">INDEX(tblPrices[cv_2027], MATCH($A53,tblPrices[Products],0), 0)* tblForecast[[#This Row],[un_2027]]/10^6</f>
        <v>0</v>
      </c>
      <c r="AH53" s="106" cm="1">
        <f t="array" ref="AH53">INDEX(tblPrices[cv_2028], MATCH($A53,tblPrices[Products],0), 0)* tblForecast[[#This Row],[un_2028]]/10^6</f>
        <v>0</v>
      </c>
      <c r="AI53" s="60">
        <f>VLOOKUP(A53,Products!$A$11:$F$110,6,FALSE)</f>
        <v>50</v>
      </c>
    </row>
    <row r="54" spans="1:35">
      <c r="A54" s="12" t="s">
        <v>174</v>
      </c>
      <c r="B54" s="8">
        <f xml:space="preserve"> SUMIF(tblGoogleUnits[Products],$A54, tblGoogleUnits[cv_2018]) + SUMIF(tblMetaUnits[Products],$A54, tblMetaUnits[cv_2018]) + SUMIF(tblAmazonUnits[Products],$A54, tblAmazonUnits[cv_2018]) + SUMIF(tblMicrosoftUnits[Products],$A54, tblMicrosoftUnits[cv_2018]) + SUMIF(tblAppleUnits[Products],$A54, tblAppleUnits[cv_2018]) + SUMIF(tblAlibabaUnits[Products],$A54, tblAlibabaUnits[cv_2018]) + SUMIF(tblHuaweiUnits[Products],$A54, tblHuaweiUnits[cv_2018]) + SUMIF(tblTencentUnits[Products],$A54, tblTencentUnits[cv_2018]) + SUMIF(tblBaiduUnits[Products],$A54, tblBaiduUnits[cv_2018]) + SUMIF(tblByteDanceUnits[Products],$A54, tblByteDanceUnits[cv_2018]) + SUMIF(tblCloudAOUnits[Products],$A54, tblCloudAOUnits[cv_2018]) + SUMIF(tblTelecomUnits[Products],$A54, tblTelecomUnits[cv_2018]) + SUMIF(tblEnterpriseUnits[Products],$A54, tblEnterpriseUnits[cv_2018])</f>
        <v>0</v>
      </c>
      <c r="C54" s="8">
        <f xml:space="preserve"> SUMIF(tblGoogleUnits[Products],$A54, tblGoogleUnits[cv_2019]) + SUMIF(tblMetaUnits[Products],$A54, tblMetaUnits[cv_2019]) + SUMIF(tblAmazonUnits[Products],$A54, tblAmazonUnits[cv_2019]) + SUMIF(tblMicrosoftUnits[Products],$A54, tblMicrosoftUnits[cv_2019]) + SUMIF(tblAppleUnits[Products],$A54, tblAppleUnits[cv_2019]) + SUMIF(tblAlibabaUnits[Products],$A54, tblAlibabaUnits[cv_2019]) + SUMIF(tblHuaweiUnits[Products],$A54, tblHuaweiUnits[cv_2019]) + SUMIF(tblTencentUnits[Products],$A54, tblTencentUnits[cv_2019]) + SUMIF(tblBaiduUnits[Products],$A54, tblBaiduUnits[cv_2019]) + SUMIF(tblByteDanceUnits[Products],$A54, tblByteDanceUnits[cv_2019]) + SUMIF(tblCloudAOUnits[Products],$A54, tblCloudAOUnits[cv_2019]) + SUMIF(tblTelecomUnits[Products],$A54, tblTelecomUnits[cv_2019]) + SUMIF(tblEnterpriseUnits[Products],$A54, tblEnterpriseUnits[cv_2019])</f>
        <v>0</v>
      </c>
      <c r="D54" s="8">
        <f xml:space="preserve"> SUMIF(tblGoogleUnits[Products],$A54, tblGoogleUnits[cv_2020]) + SUMIF(tblMetaUnits[Products],$A54, tblMetaUnits[cv_2020]) + SUMIF(tblAmazonUnits[Products],$A54, tblAmazonUnits[cv_2020]) + SUMIF(tblMicrosoftUnits[Products],$A54, tblMicrosoftUnits[cv_2020]) + SUMIF(tblAppleUnits[Products],$A54, tblAppleUnits[cv_2020]) + SUMIF(tblAlibabaUnits[Products],$A54, tblAlibabaUnits[cv_2020]) + SUMIF(tblHuaweiUnits[Products],$A54, tblHuaweiUnits[cv_2020]) + SUMIF(tblTencentUnits[Products],$A54, tblTencentUnits[cv_2020]) + SUMIF(tblBaiduUnits[Products],$A54, tblBaiduUnits[cv_2020]) + SUMIF(tblByteDanceUnits[Products],$A54, tblByteDanceUnits[cv_2020]) + SUMIF(tblCloudAOUnits[Products],$A54, tblCloudAOUnits[cv_2020]) + SUMIF(tblTelecomUnits[Products],$A54, tblTelecomUnits[cv_2020]) + SUMIF(tblEnterpriseUnits[Products],$A54, tblEnterpriseUnits[cv_2020])</f>
        <v>0</v>
      </c>
      <c r="E54" s="8">
        <f xml:space="preserve"> SUMIF(tblGoogleUnits[Products],$A54, tblGoogleUnits[cv_2021]) + SUMIF(tblMetaUnits[Products],$A54, tblMetaUnits[cv_2021]) + SUMIF(tblAmazonUnits[Products],$A54, tblAmazonUnits[cv_2021]) + SUMIF(tblMicrosoftUnits[Products],$A54, tblMicrosoftUnits[cv_2021]) + SUMIF(tblAppleUnits[Products],$A54, tblAppleUnits[cv_2021]) + SUMIF(tblAlibabaUnits[Products],$A54, tblAlibabaUnits[cv_2021]) + SUMIF(tblHuaweiUnits[Products],$A54, tblHuaweiUnits[cv_2021]) + SUMIF(tblTencentUnits[Products],$A54, tblTencentUnits[cv_2021]) + SUMIF(tblBaiduUnits[Products],$A54, tblBaiduUnits[cv_2021]) + SUMIF(tblByteDanceUnits[Products],$A54, tblByteDanceUnits[cv_2021]) + SUMIF(tblCloudAOUnits[Products],$A54, tblCloudAOUnits[cv_2021]) + SUMIF(tblTelecomUnits[Products],$A54, tblTelecomUnits[cv_2021]) + SUMIF(tblEnterpriseUnits[Products],$A54, tblEnterpriseUnits[cv_2021])</f>
        <v>0</v>
      </c>
      <c r="F54" s="8">
        <f xml:space="preserve"> SUMIF(tblGoogleUnits[Products],$A54, tblGoogleUnits[cv_2022]) + SUMIF(tblMetaUnits[Products],$A54, tblMetaUnits[cv_2022]) + SUMIF(tblAmazonUnits[Products],$A54, tblAmazonUnits[cv_2022]) + SUMIF(tblMicrosoftUnits[Products],$A54, tblMicrosoftUnits[cv_2022]) + SUMIF(tblAppleUnits[Products],$A54, tblAppleUnits[cv_2022]) + SUMIF(tblAlibabaUnits[Products],$A54, tblAlibabaUnits[cv_2022]) + SUMIF(tblHuaweiUnits[Products],$A54, tblHuaweiUnits[cv_2022]) + SUMIF(tblTencentUnits[Products],$A54, tblTencentUnits[cv_2022]) + SUMIF(tblBaiduUnits[Products],$A54, tblBaiduUnits[cv_2022]) + SUMIF(tblByteDanceUnits[Products],$A54, tblByteDanceUnits[cv_2022]) + SUMIF(tblCloudAOUnits[Products],$A54, tblCloudAOUnits[cv_2022]) + SUMIF(tblTelecomUnits[Products],$A54, tblTelecomUnits[cv_2022]) + SUMIF(tblEnterpriseUnits[Products],$A54, tblEnterpriseUnits[cv_2022])</f>
        <v>0</v>
      </c>
      <c r="G54" s="8">
        <f xml:space="preserve"> SUMIF(tblGoogleUnits[Products],$A54, tblGoogleUnits[cv_2023]) + SUMIF(tblMetaUnits[Products],$A54, tblMetaUnits[cv_2023]) + SUMIF(tblAmazonUnits[Products],$A54, tblAmazonUnits[cv_2023]) + SUMIF(tblMicrosoftUnits[Products],$A54, tblMicrosoftUnits[cv_2023]) + SUMIF(tblAppleUnits[Products],$A54, tblAppleUnits[cv_2023]) + SUMIF(tblAlibabaUnits[Products],$A54, tblAlibabaUnits[cv_2023]) + SUMIF(tblHuaweiUnits[Products],$A54, tblHuaweiUnits[cv_2023]) + SUMIF(tblTencentUnits[Products],$A54, tblTencentUnits[cv_2023]) + SUMIF(tblBaiduUnits[Products],$A54, tblBaiduUnits[cv_2023]) + SUMIF(tblByteDanceUnits[Products],$A54, tblByteDanceUnits[cv_2023]) + SUMIF(tblCloudAOUnits[Products],$A54, tblCloudAOUnits[cv_2023]) + SUMIF(tblTelecomUnits[Products],$A54, tblTelecomUnits[cv_2023]) + SUMIF(tblEnterpriseUnits[Products],$A54, tblEnterpriseUnits[cv_2023])</f>
        <v>0</v>
      </c>
      <c r="H54" s="8">
        <f xml:space="preserve"> SUMIF(tblGoogleUnits[Products],$A54, tblGoogleUnits[cv_2024]) + SUMIF(tblMetaUnits[Products],$A54, tblMetaUnits[cv_2024]) + SUMIF(tblAmazonUnits[Products],$A54, tblAmazonUnits[cv_2024]) + SUMIF(tblMicrosoftUnits[Products],$A54, tblMicrosoftUnits[cv_2024]) + SUMIF(tblAppleUnits[Products],$A54, tblAppleUnits[cv_2024]) + SUMIF(tblAlibabaUnits[Products],$A54, tblAlibabaUnits[cv_2024]) + SUMIF(tblHuaweiUnits[Products],$A54, tblHuaweiUnits[cv_2024]) + SUMIF(tblTencentUnits[Products],$A54, tblTencentUnits[cv_2024]) + SUMIF(tblBaiduUnits[Products],$A54, tblBaiduUnits[cv_2024]) + SUMIF(tblByteDanceUnits[Products],$A54, tblByteDanceUnits[cv_2024]) + SUMIF(tblCloudAOUnits[Products],$A54, tblCloudAOUnits[cv_2024]) + SUMIF(tblTelecomUnits[Products],$A54, tblTelecomUnits[cv_2024]) + SUMIF(tblEnterpriseUnits[Products],$A54, tblEnterpriseUnits[cv_2024])</f>
        <v>0</v>
      </c>
      <c r="I54" s="8">
        <f xml:space="preserve"> SUMIF(tblGoogleUnits[Products],$A54, tblGoogleUnits[cv_2025]) + SUMIF(tblMetaUnits[Products],$A54, tblMetaUnits[cv_2025]) + SUMIF(tblAmazonUnits[Products],$A54, tblAmazonUnits[cv_2025]) + SUMIF(tblMicrosoftUnits[Products],$A54, tblMicrosoftUnits[cv_2025]) + SUMIF(tblAppleUnits[Products],$A54, tblAppleUnits[cv_2025]) + SUMIF(tblAlibabaUnits[Products],$A54, tblAlibabaUnits[cv_2025]) + SUMIF(tblHuaweiUnits[Products],$A54, tblHuaweiUnits[cv_2025]) + SUMIF(tblTencentUnits[Products],$A54, tblTencentUnits[cv_2025]) + SUMIF(tblBaiduUnits[Products],$A54, tblBaiduUnits[cv_2025]) + SUMIF(tblByteDanceUnits[Products],$A54, tblByteDanceUnits[cv_2025]) + SUMIF(tblCloudAOUnits[Products],$A54, tblCloudAOUnits[cv_2025]) + SUMIF(tblTelecomUnits[Products],$A54, tblTelecomUnits[cv_2025]) + SUMIF(tblEnterpriseUnits[Products],$A54, tblEnterpriseUnits[cv_2025])</f>
        <v>0</v>
      </c>
      <c r="J54" s="8">
        <f xml:space="preserve"> SUMIF(tblGoogleUnits[Products],$A54, tblGoogleUnits[cv_2026]) + SUMIF(tblMetaUnits[Products],$A54, tblMetaUnits[cv_2026]) + SUMIF(tblAmazonUnits[Products],$A54, tblAmazonUnits[cv_2026]) + SUMIF(tblMicrosoftUnits[Products],$A54, tblMicrosoftUnits[cv_2026]) + SUMIF(tblAppleUnits[Products],$A54, tblAppleUnits[cv_2026]) + SUMIF(tblAlibabaUnits[Products],$A54, tblAlibabaUnits[cv_2026]) + SUMIF(tblHuaweiUnits[Products],$A54, tblHuaweiUnits[cv_2026]) + SUMIF(tblTencentUnits[Products],$A54, tblTencentUnits[cv_2026]) + SUMIF(tblBaiduUnits[Products],$A54, tblBaiduUnits[cv_2026]) + SUMIF(tblByteDanceUnits[Products],$A54, tblByteDanceUnits[cv_2026]) + SUMIF(tblCloudAOUnits[Products],$A54, tblCloudAOUnits[cv_2026]) + SUMIF(tblTelecomUnits[Products],$A54, tblTelecomUnits[cv_2026]) + SUMIF(tblEnterpriseUnits[Products],$A54, tblEnterpriseUnits[cv_2026])</f>
        <v>0</v>
      </c>
      <c r="K54" s="8">
        <f xml:space="preserve"> SUMIF(tblGoogleUnits[Products],$A54, tblGoogleUnits[cv_2027]) + SUMIF(tblMetaUnits[Products],$A54, tblMetaUnits[cv_2027]) + SUMIF(tblAmazonUnits[Products],$A54, tblAmazonUnits[cv_2027]) + SUMIF(tblMicrosoftUnits[Products],$A54, tblMicrosoftUnits[cv_2027]) + SUMIF(tblAppleUnits[Products],$A54, tblAppleUnits[cv_2027]) + SUMIF(tblAlibabaUnits[Products],$A54, tblAlibabaUnits[cv_2027]) + SUMIF(tblHuaweiUnits[Products],$A54, tblHuaweiUnits[cv_2027]) + SUMIF(tblTencentUnits[Products],$A54, tblTencentUnits[cv_2027]) + SUMIF(tblBaiduUnits[Products],$A54, tblBaiduUnits[cv_2027]) + SUMIF(tblByteDanceUnits[Products],$A54, tblByteDanceUnits[cv_2027]) + SUMIF(tblCloudAOUnits[Products],$A54, tblCloudAOUnits[cv_2027]) + SUMIF(tblTelecomUnits[Products],$A54, tblTelecomUnits[cv_2027]) + SUMIF(tblEnterpriseUnits[Products],$A54, tblEnterpriseUnits[cv_2027])</f>
        <v>0</v>
      </c>
      <c r="L54" s="8">
        <f xml:space="preserve"> SUMIF(tblGoogleUnits[Products],$A54, tblGoogleUnits[cv_2028]) + SUMIF(tblMetaUnits[Products],$A54, tblMetaUnits[cv_2028]) + SUMIF(tblAmazonUnits[Products],$A54, tblAmazonUnits[cv_2028]) + SUMIF(tblMicrosoftUnits[Products],$A54, tblMicrosoftUnits[cv_2028]) + SUMIF(tblAppleUnits[Products],$A54, tblAppleUnits[cv_2028]) + SUMIF(tblAlibabaUnits[Products],$A54, tblAlibabaUnits[cv_2028]) + SUMIF(tblHuaweiUnits[Products],$A54, tblHuaweiUnits[cv_2028]) + SUMIF(tblTencentUnits[Products],$A54, tblTencentUnits[cv_2028]) + SUMIF(tblBaiduUnits[Products],$A54, tblBaiduUnits[cv_2028]) + SUMIF(tblByteDanceUnits[Products],$A54, tblByteDanceUnits[cv_2028]) + SUMIF(tblCloudAOUnits[Products],$A54, tblCloudAOUnits[cv_2028]) + SUMIF(tblTelecomUnits[Products],$A54, tblTelecomUnits[cv_2028]) + SUMIF(tblEnterpriseUnits[Products],$A54, tblEnterpriseUnits[cv_2028])</f>
        <v>0</v>
      </c>
      <c r="M54" s="105" cm="1">
        <f t="array" ref="M54">INDEX(tblPrices[cv_2018], MATCH($A54,tblPrices[Products],0), 0)</f>
        <v>0</v>
      </c>
      <c r="N54" s="105" cm="1">
        <f t="array" ref="N54">INDEX(tblPrices[cv_2019], MATCH($A54,tblPrices[Products],0), 0)</f>
        <v>0</v>
      </c>
      <c r="O54" s="105" cm="1">
        <f t="array" ref="O54">INDEX(tblPrices[cv_2020], MATCH($A54,tblPrices[Products],0), 0)</f>
        <v>0</v>
      </c>
      <c r="P54" s="105" cm="1">
        <f t="array" ref="P54">INDEX(tblPrices[cv_2021], MATCH($A54,tblPrices[Products],0), 0)</f>
        <v>0</v>
      </c>
      <c r="Q54" s="105" cm="1">
        <f t="array" ref="Q54">INDEX(tblPrices[cv_2022], MATCH($A54,tblPrices[Products],0), 0)</f>
        <v>0</v>
      </c>
      <c r="R54" s="105" cm="1">
        <f t="array" ref="R54">INDEX(tblPrices[cv_2023], MATCH($A54,tblPrices[Products],0), 0)</f>
        <v>0</v>
      </c>
      <c r="S54" s="105" cm="1">
        <f t="array" ref="S54">INDEX(tblPrices[cv_2024], MATCH($A54,tblPrices[Products],0), 0)</f>
        <v>0</v>
      </c>
      <c r="T54" s="105" cm="1">
        <f t="array" ref="T54">INDEX(tblPrices[cv_2025], MATCH($A54,tblPrices[Products],0), 0)</f>
        <v>0</v>
      </c>
      <c r="U54" s="105" cm="1">
        <f t="array" ref="U54">INDEX(tblPrices[cv_2026], MATCH($A54,tblPrices[Products],0), 0)</f>
        <v>0</v>
      </c>
      <c r="V54" s="105" cm="1">
        <f t="array" ref="V54">INDEX(tblPrices[cv_2027], MATCH($A54,tblPrices[Products],0), 0)</f>
        <v>0</v>
      </c>
      <c r="W54" s="105" cm="1">
        <f t="array" ref="W54">INDEX(tblPrices[cv_2028], MATCH($A54,tblPrices[Products],0), 0)</f>
        <v>0</v>
      </c>
      <c r="X54" s="106" cm="1">
        <f t="array" ref="X54">INDEX(tblPrices[cv_2018], MATCH($A54,tblPrices[Products],0), 0)* tblForecast[[#This Row],[un_2018]]/10^6</f>
        <v>0</v>
      </c>
      <c r="Y54" s="106" cm="1">
        <f t="array" ref="Y54">INDEX(tblPrices[cv_2019], MATCH($A54,tblPrices[Products],0), 0)* tblForecast[[#This Row],[un_2019]]/10^6</f>
        <v>0</v>
      </c>
      <c r="Z54" s="106" cm="1">
        <f t="array" ref="Z54">INDEX(tblPrices[cv_2020], MATCH($A54,tblPrices[Products],0), 0)* tblForecast[[#This Row],[un_2020]]/10^6</f>
        <v>0</v>
      </c>
      <c r="AA54" s="106" cm="1">
        <f t="array" ref="AA54">INDEX(tblPrices[cv_2021], MATCH($A54,tblPrices[Products],0), 0)* tblForecast[[#This Row],[un_2021]]/10^6</f>
        <v>0</v>
      </c>
      <c r="AB54" s="106" cm="1">
        <f t="array" ref="AB54">INDEX(tblPrices[cv_2022], MATCH($A54,tblPrices[Products],0), 0)* tblForecast[[#This Row],[un_2022]]/10^6</f>
        <v>0</v>
      </c>
      <c r="AC54" s="106" cm="1">
        <f t="array" ref="AC54">INDEX(tblPrices[cv_2023], MATCH($A54,tblPrices[Products],0), 0)* tblForecast[[#This Row],[un_2023]]/10^6</f>
        <v>0</v>
      </c>
      <c r="AD54" s="106" cm="1">
        <f t="array" ref="AD54">INDEX(tblPrices[cv_2024], MATCH($A54,tblPrices[Products],0), 0)* tblForecast[[#This Row],[un_2024]]/10^6</f>
        <v>0</v>
      </c>
      <c r="AE54" s="106" cm="1">
        <f t="array" ref="AE54">INDEX(tblPrices[cv_2025], MATCH($A54,tblPrices[Products],0), 0)* tblForecast[[#This Row],[un_2025]]/10^6</f>
        <v>0</v>
      </c>
      <c r="AF54" s="106" cm="1">
        <f t="array" ref="AF54">INDEX(tblPrices[cv_2026], MATCH($A54,tblPrices[Products],0), 0)* tblForecast[[#This Row],[un_2026]]/10^6</f>
        <v>0</v>
      </c>
      <c r="AG54" s="106" cm="1">
        <f t="array" ref="AG54">INDEX(tblPrices[cv_2027], MATCH($A54,tblPrices[Products],0), 0)* tblForecast[[#This Row],[un_2027]]/10^6</f>
        <v>0</v>
      </c>
      <c r="AH54" s="106" cm="1">
        <f t="array" ref="AH54">INDEX(tblPrices[cv_2028], MATCH($A54,tblPrices[Products],0), 0)* tblForecast[[#This Row],[un_2028]]/10^6</f>
        <v>0</v>
      </c>
      <c r="AI54" s="60">
        <f>VLOOKUP(A54,Products!$A$11:$F$110,6,FALSE)</f>
        <v>50</v>
      </c>
    </row>
    <row r="55" spans="1:35">
      <c r="A55" s="12" t="s">
        <v>175</v>
      </c>
      <c r="B55" s="8">
        <f xml:space="preserve"> SUMIF(tblGoogleUnits[Products],$A55, tblGoogleUnits[cv_2018]) + SUMIF(tblMetaUnits[Products],$A55, tblMetaUnits[cv_2018]) + SUMIF(tblAmazonUnits[Products],$A55, tblAmazonUnits[cv_2018]) + SUMIF(tblMicrosoftUnits[Products],$A55, tblMicrosoftUnits[cv_2018]) + SUMIF(tblAppleUnits[Products],$A55, tblAppleUnits[cv_2018]) + SUMIF(tblAlibabaUnits[Products],$A55, tblAlibabaUnits[cv_2018]) + SUMIF(tblHuaweiUnits[Products],$A55, tblHuaweiUnits[cv_2018]) + SUMIF(tblTencentUnits[Products],$A55, tblTencentUnits[cv_2018]) + SUMIF(tblBaiduUnits[Products],$A55, tblBaiduUnits[cv_2018]) + SUMIF(tblByteDanceUnits[Products],$A55, tblByteDanceUnits[cv_2018]) + SUMIF(tblCloudAOUnits[Products],$A55, tblCloudAOUnits[cv_2018]) + SUMIF(tblTelecomUnits[Products],$A55, tblTelecomUnits[cv_2018]) + SUMIF(tblEnterpriseUnits[Products],$A55, tblEnterpriseUnits[cv_2018])</f>
        <v>0</v>
      </c>
      <c r="C55" s="8">
        <f xml:space="preserve"> SUMIF(tblGoogleUnits[Products],$A55, tblGoogleUnits[cv_2019]) + SUMIF(tblMetaUnits[Products],$A55, tblMetaUnits[cv_2019]) + SUMIF(tblAmazonUnits[Products],$A55, tblAmazonUnits[cv_2019]) + SUMIF(tblMicrosoftUnits[Products],$A55, tblMicrosoftUnits[cv_2019]) + SUMIF(tblAppleUnits[Products],$A55, tblAppleUnits[cv_2019]) + SUMIF(tblAlibabaUnits[Products],$A55, tblAlibabaUnits[cv_2019]) + SUMIF(tblHuaweiUnits[Products],$A55, tblHuaweiUnits[cv_2019]) + SUMIF(tblTencentUnits[Products],$A55, tblTencentUnits[cv_2019]) + SUMIF(tblBaiduUnits[Products],$A55, tblBaiduUnits[cv_2019]) + SUMIF(tblByteDanceUnits[Products],$A55, tblByteDanceUnits[cv_2019]) + SUMIF(tblCloudAOUnits[Products],$A55, tblCloudAOUnits[cv_2019]) + SUMIF(tblTelecomUnits[Products],$A55, tblTelecomUnits[cv_2019]) + SUMIF(tblEnterpriseUnits[Products],$A55, tblEnterpriseUnits[cv_2019])</f>
        <v>0</v>
      </c>
      <c r="D55" s="8">
        <f xml:space="preserve"> SUMIF(tblGoogleUnits[Products],$A55, tblGoogleUnits[cv_2020]) + SUMIF(tblMetaUnits[Products],$A55, tblMetaUnits[cv_2020]) + SUMIF(tblAmazonUnits[Products],$A55, tblAmazonUnits[cv_2020]) + SUMIF(tblMicrosoftUnits[Products],$A55, tblMicrosoftUnits[cv_2020]) + SUMIF(tblAppleUnits[Products],$A55, tblAppleUnits[cv_2020]) + SUMIF(tblAlibabaUnits[Products],$A55, tblAlibabaUnits[cv_2020]) + SUMIF(tblHuaweiUnits[Products],$A55, tblHuaweiUnits[cv_2020]) + SUMIF(tblTencentUnits[Products],$A55, tblTencentUnits[cv_2020]) + SUMIF(tblBaiduUnits[Products],$A55, tblBaiduUnits[cv_2020]) + SUMIF(tblByteDanceUnits[Products],$A55, tblByteDanceUnits[cv_2020]) + SUMIF(tblCloudAOUnits[Products],$A55, tblCloudAOUnits[cv_2020]) + SUMIF(tblTelecomUnits[Products],$A55, tblTelecomUnits[cv_2020]) + SUMIF(tblEnterpriseUnits[Products],$A55, tblEnterpriseUnits[cv_2020])</f>
        <v>0</v>
      </c>
      <c r="E55" s="8">
        <f xml:space="preserve"> SUMIF(tblGoogleUnits[Products],$A55, tblGoogleUnits[cv_2021]) + SUMIF(tblMetaUnits[Products],$A55, tblMetaUnits[cv_2021]) + SUMIF(tblAmazonUnits[Products],$A55, tblAmazonUnits[cv_2021]) + SUMIF(tblMicrosoftUnits[Products],$A55, tblMicrosoftUnits[cv_2021]) + SUMIF(tblAppleUnits[Products],$A55, tblAppleUnits[cv_2021]) + SUMIF(tblAlibabaUnits[Products],$A55, tblAlibabaUnits[cv_2021]) + SUMIF(tblHuaweiUnits[Products],$A55, tblHuaweiUnits[cv_2021]) + SUMIF(tblTencentUnits[Products],$A55, tblTencentUnits[cv_2021]) + SUMIF(tblBaiduUnits[Products],$A55, tblBaiduUnits[cv_2021]) + SUMIF(tblByteDanceUnits[Products],$A55, tblByteDanceUnits[cv_2021]) + SUMIF(tblCloudAOUnits[Products],$A55, tblCloudAOUnits[cv_2021]) + SUMIF(tblTelecomUnits[Products],$A55, tblTelecomUnits[cv_2021]) + SUMIF(tblEnterpriseUnits[Products],$A55, tblEnterpriseUnits[cv_2021])</f>
        <v>0</v>
      </c>
      <c r="F55" s="8">
        <f xml:space="preserve"> SUMIF(tblGoogleUnits[Products],$A55, tblGoogleUnits[cv_2022]) + SUMIF(tblMetaUnits[Products],$A55, tblMetaUnits[cv_2022]) + SUMIF(tblAmazonUnits[Products],$A55, tblAmazonUnits[cv_2022]) + SUMIF(tblMicrosoftUnits[Products],$A55, tblMicrosoftUnits[cv_2022]) + SUMIF(tblAppleUnits[Products],$A55, tblAppleUnits[cv_2022]) + SUMIF(tblAlibabaUnits[Products],$A55, tblAlibabaUnits[cv_2022]) + SUMIF(tblHuaweiUnits[Products],$A55, tblHuaweiUnits[cv_2022]) + SUMIF(tblTencentUnits[Products],$A55, tblTencentUnits[cv_2022]) + SUMIF(tblBaiduUnits[Products],$A55, tblBaiduUnits[cv_2022]) + SUMIF(tblByteDanceUnits[Products],$A55, tblByteDanceUnits[cv_2022]) + SUMIF(tblCloudAOUnits[Products],$A55, tblCloudAOUnits[cv_2022]) + SUMIF(tblTelecomUnits[Products],$A55, tblTelecomUnits[cv_2022]) + SUMIF(tblEnterpriseUnits[Products],$A55, tblEnterpriseUnits[cv_2022])</f>
        <v>0</v>
      </c>
      <c r="G55" s="8">
        <f xml:space="preserve"> SUMIF(tblGoogleUnits[Products],$A55, tblGoogleUnits[cv_2023]) + SUMIF(tblMetaUnits[Products],$A55, tblMetaUnits[cv_2023]) + SUMIF(tblAmazonUnits[Products],$A55, tblAmazonUnits[cv_2023]) + SUMIF(tblMicrosoftUnits[Products],$A55, tblMicrosoftUnits[cv_2023]) + SUMIF(tblAppleUnits[Products],$A55, tblAppleUnits[cv_2023]) + SUMIF(tblAlibabaUnits[Products],$A55, tblAlibabaUnits[cv_2023]) + SUMIF(tblHuaweiUnits[Products],$A55, tblHuaweiUnits[cv_2023]) + SUMIF(tblTencentUnits[Products],$A55, tblTencentUnits[cv_2023]) + SUMIF(tblBaiduUnits[Products],$A55, tblBaiduUnits[cv_2023]) + SUMIF(tblByteDanceUnits[Products],$A55, tblByteDanceUnits[cv_2023]) + SUMIF(tblCloudAOUnits[Products],$A55, tblCloudAOUnits[cv_2023]) + SUMIF(tblTelecomUnits[Products],$A55, tblTelecomUnits[cv_2023]) + SUMIF(tblEnterpriseUnits[Products],$A55, tblEnterpriseUnits[cv_2023])</f>
        <v>0</v>
      </c>
      <c r="H55" s="8">
        <f xml:space="preserve"> SUMIF(tblGoogleUnits[Products],$A55, tblGoogleUnits[cv_2024]) + SUMIF(tblMetaUnits[Products],$A55, tblMetaUnits[cv_2024]) + SUMIF(tblAmazonUnits[Products],$A55, tblAmazonUnits[cv_2024]) + SUMIF(tblMicrosoftUnits[Products],$A55, tblMicrosoftUnits[cv_2024]) + SUMIF(tblAppleUnits[Products],$A55, tblAppleUnits[cv_2024]) + SUMIF(tblAlibabaUnits[Products],$A55, tblAlibabaUnits[cv_2024]) + SUMIF(tblHuaweiUnits[Products],$A55, tblHuaweiUnits[cv_2024]) + SUMIF(tblTencentUnits[Products],$A55, tblTencentUnits[cv_2024]) + SUMIF(tblBaiduUnits[Products],$A55, tblBaiduUnits[cv_2024]) + SUMIF(tblByteDanceUnits[Products],$A55, tblByteDanceUnits[cv_2024]) + SUMIF(tblCloudAOUnits[Products],$A55, tblCloudAOUnits[cv_2024]) + SUMIF(tblTelecomUnits[Products],$A55, tblTelecomUnits[cv_2024]) + SUMIF(tblEnterpriseUnits[Products],$A55, tblEnterpriseUnits[cv_2024])</f>
        <v>0</v>
      </c>
      <c r="I55" s="8">
        <f xml:space="preserve"> SUMIF(tblGoogleUnits[Products],$A55, tblGoogleUnits[cv_2025]) + SUMIF(tblMetaUnits[Products],$A55, tblMetaUnits[cv_2025]) + SUMIF(tblAmazonUnits[Products],$A55, tblAmazonUnits[cv_2025]) + SUMIF(tblMicrosoftUnits[Products],$A55, tblMicrosoftUnits[cv_2025]) + SUMIF(tblAppleUnits[Products],$A55, tblAppleUnits[cv_2025]) + SUMIF(tblAlibabaUnits[Products],$A55, tblAlibabaUnits[cv_2025]) + SUMIF(tblHuaweiUnits[Products],$A55, tblHuaweiUnits[cv_2025]) + SUMIF(tblTencentUnits[Products],$A55, tblTencentUnits[cv_2025]) + SUMIF(tblBaiduUnits[Products],$A55, tblBaiduUnits[cv_2025]) + SUMIF(tblByteDanceUnits[Products],$A55, tblByteDanceUnits[cv_2025]) + SUMIF(tblCloudAOUnits[Products],$A55, tblCloudAOUnits[cv_2025]) + SUMIF(tblTelecomUnits[Products],$A55, tblTelecomUnits[cv_2025]) + SUMIF(tblEnterpriseUnits[Products],$A55, tblEnterpriseUnits[cv_2025])</f>
        <v>0</v>
      </c>
      <c r="J55" s="8">
        <f xml:space="preserve"> SUMIF(tblGoogleUnits[Products],$A55, tblGoogleUnits[cv_2026]) + SUMIF(tblMetaUnits[Products],$A55, tblMetaUnits[cv_2026]) + SUMIF(tblAmazonUnits[Products],$A55, tblAmazonUnits[cv_2026]) + SUMIF(tblMicrosoftUnits[Products],$A55, tblMicrosoftUnits[cv_2026]) + SUMIF(tblAppleUnits[Products],$A55, tblAppleUnits[cv_2026]) + SUMIF(tblAlibabaUnits[Products],$A55, tblAlibabaUnits[cv_2026]) + SUMIF(tblHuaweiUnits[Products],$A55, tblHuaweiUnits[cv_2026]) + SUMIF(tblTencentUnits[Products],$A55, tblTencentUnits[cv_2026]) + SUMIF(tblBaiduUnits[Products],$A55, tblBaiduUnits[cv_2026]) + SUMIF(tblByteDanceUnits[Products],$A55, tblByteDanceUnits[cv_2026]) + SUMIF(tblCloudAOUnits[Products],$A55, tblCloudAOUnits[cv_2026]) + SUMIF(tblTelecomUnits[Products],$A55, tblTelecomUnits[cv_2026]) + SUMIF(tblEnterpriseUnits[Products],$A55, tblEnterpriseUnits[cv_2026])</f>
        <v>0</v>
      </c>
      <c r="K55" s="8">
        <f xml:space="preserve"> SUMIF(tblGoogleUnits[Products],$A55, tblGoogleUnits[cv_2027]) + SUMIF(tblMetaUnits[Products],$A55, tblMetaUnits[cv_2027]) + SUMIF(tblAmazonUnits[Products],$A55, tblAmazonUnits[cv_2027]) + SUMIF(tblMicrosoftUnits[Products],$A55, tblMicrosoftUnits[cv_2027]) + SUMIF(tblAppleUnits[Products],$A55, tblAppleUnits[cv_2027]) + SUMIF(tblAlibabaUnits[Products],$A55, tblAlibabaUnits[cv_2027]) + SUMIF(tblHuaweiUnits[Products],$A55, tblHuaweiUnits[cv_2027]) + SUMIF(tblTencentUnits[Products],$A55, tblTencentUnits[cv_2027]) + SUMIF(tblBaiduUnits[Products],$A55, tblBaiduUnits[cv_2027]) + SUMIF(tblByteDanceUnits[Products],$A55, tblByteDanceUnits[cv_2027]) + SUMIF(tblCloudAOUnits[Products],$A55, tblCloudAOUnits[cv_2027]) + SUMIF(tblTelecomUnits[Products],$A55, tblTelecomUnits[cv_2027]) + SUMIF(tblEnterpriseUnits[Products],$A55, tblEnterpriseUnits[cv_2027])</f>
        <v>0</v>
      </c>
      <c r="L55" s="8">
        <f xml:space="preserve"> SUMIF(tblGoogleUnits[Products],$A55, tblGoogleUnits[cv_2028]) + SUMIF(tblMetaUnits[Products],$A55, tblMetaUnits[cv_2028]) + SUMIF(tblAmazonUnits[Products],$A55, tblAmazonUnits[cv_2028]) + SUMIF(tblMicrosoftUnits[Products],$A55, tblMicrosoftUnits[cv_2028]) + SUMIF(tblAppleUnits[Products],$A55, tblAppleUnits[cv_2028]) + SUMIF(tblAlibabaUnits[Products],$A55, tblAlibabaUnits[cv_2028]) + SUMIF(tblHuaweiUnits[Products],$A55, tblHuaweiUnits[cv_2028]) + SUMIF(tblTencentUnits[Products],$A55, tblTencentUnits[cv_2028]) + SUMIF(tblBaiduUnits[Products],$A55, tblBaiduUnits[cv_2028]) + SUMIF(tblByteDanceUnits[Products],$A55, tblByteDanceUnits[cv_2028]) + SUMIF(tblCloudAOUnits[Products],$A55, tblCloudAOUnits[cv_2028]) + SUMIF(tblTelecomUnits[Products],$A55, tblTelecomUnits[cv_2028]) + SUMIF(tblEnterpriseUnits[Products],$A55, tblEnterpriseUnits[cv_2028])</f>
        <v>0</v>
      </c>
      <c r="M55" s="105" cm="1">
        <f t="array" ref="M55">INDEX(tblPrices[cv_2018], MATCH($A55,tblPrices[Products],0), 0)</f>
        <v>0</v>
      </c>
      <c r="N55" s="105" cm="1">
        <f t="array" ref="N55">INDEX(tblPrices[cv_2019], MATCH($A55,tblPrices[Products],0), 0)</f>
        <v>0</v>
      </c>
      <c r="O55" s="105" cm="1">
        <f t="array" ref="O55">INDEX(tblPrices[cv_2020], MATCH($A55,tblPrices[Products],0), 0)</f>
        <v>0</v>
      </c>
      <c r="P55" s="105" cm="1">
        <f t="array" ref="P55">INDEX(tblPrices[cv_2021], MATCH($A55,tblPrices[Products],0), 0)</f>
        <v>0</v>
      </c>
      <c r="Q55" s="105" cm="1">
        <f t="array" ref="Q55">INDEX(tblPrices[cv_2022], MATCH($A55,tblPrices[Products],0), 0)</f>
        <v>0</v>
      </c>
      <c r="R55" s="105" cm="1">
        <f t="array" ref="R55">INDEX(tblPrices[cv_2023], MATCH($A55,tblPrices[Products],0), 0)</f>
        <v>0</v>
      </c>
      <c r="S55" s="105" cm="1">
        <f t="array" ref="S55">INDEX(tblPrices[cv_2024], MATCH($A55,tblPrices[Products],0), 0)</f>
        <v>0</v>
      </c>
      <c r="T55" s="105" cm="1">
        <f t="array" ref="T55">INDEX(tblPrices[cv_2025], MATCH($A55,tblPrices[Products],0), 0)</f>
        <v>0</v>
      </c>
      <c r="U55" s="105" cm="1">
        <f t="array" ref="U55">INDEX(tblPrices[cv_2026], MATCH($A55,tblPrices[Products],0), 0)</f>
        <v>0</v>
      </c>
      <c r="V55" s="105" cm="1">
        <f t="array" ref="V55">INDEX(tblPrices[cv_2027], MATCH($A55,tblPrices[Products],0), 0)</f>
        <v>0</v>
      </c>
      <c r="W55" s="105" cm="1">
        <f t="array" ref="W55">INDEX(tblPrices[cv_2028], MATCH($A55,tblPrices[Products],0), 0)</f>
        <v>0</v>
      </c>
      <c r="X55" s="106" cm="1">
        <f t="array" ref="X55">INDEX(tblPrices[cv_2018], MATCH($A55,tblPrices[Products],0), 0)* tblForecast[[#This Row],[un_2018]]/10^6</f>
        <v>0</v>
      </c>
      <c r="Y55" s="106" cm="1">
        <f t="array" ref="Y55">INDEX(tblPrices[cv_2019], MATCH($A55,tblPrices[Products],0), 0)* tblForecast[[#This Row],[un_2019]]/10^6</f>
        <v>0</v>
      </c>
      <c r="Z55" s="106" cm="1">
        <f t="array" ref="Z55">INDEX(tblPrices[cv_2020], MATCH($A55,tblPrices[Products],0), 0)* tblForecast[[#This Row],[un_2020]]/10^6</f>
        <v>0</v>
      </c>
      <c r="AA55" s="106" cm="1">
        <f t="array" ref="AA55">INDEX(tblPrices[cv_2021], MATCH($A55,tblPrices[Products],0), 0)* tblForecast[[#This Row],[un_2021]]/10^6</f>
        <v>0</v>
      </c>
      <c r="AB55" s="106" cm="1">
        <f t="array" ref="AB55">INDEX(tblPrices[cv_2022], MATCH($A55,tblPrices[Products],0), 0)* tblForecast[[#This Row],[un_2022]]/10^6</f>
        <v>0</v>
      </c>
      <c r="AC55" s="106" cm="1">
        <f t="array" ref="AC55">INDEX(tblPrices[cv_2023], MATCH($A55,tblPrices[Products],0), 0)* tblForecast[[#This Row],[un_2023]]/10^6</f>
        <v>0</v>
      </c>
      <c r="AD55" s="106" cm="1">
        <f t="array" ref="AD55">INDEX(tblPrices[cv_2024], MATCH($A55,tblPrices[Products],0), 0)* tblForecast[[#This Row],[un_2024]]/10^6</f>
        <v>0</v>
      </c>
      <c r="AE55" s="106" cm="1">
        <f t="array" ref="AE55">INDEX(tblPrices[cv_2025], MATCH($A55,tblPrices[Products],0), 0)* tblForecast[[#This Row],[un_2025]]/10^6</f>
        <v>0</v>
      </c>
      <c r="AF55" s="106" cm="1">
        <f t="array" ref="AF55">INDEX(tblPrices[cv_2026], MATCH($A55,tblPrices[Products],0), 0)* tblForecast[[#This Row],[un_2026]]/10^6</f>
        <v>0</v>
      </c>
      <c r="AG55" s="106" cm="1">
        <f t="array" ref="AG55">INDEX(tblPrices[cv_2027], MATCH($A55,tblPrices[Products],0), 0)* tblForecast[[#This Row],[un_2027]]/10^6</f>
        <v>0</v>
      </c>
      <c r="AH55" s="106" cm="1">
        <f t="array" ref="AH55">INDEX(tblPrices[cv_2028], MATCH($A55,tblPrices[Products],0), 0)* tblForecast[[#This Row],[un_2028]]/10^6</f>
        <v>0</v>
      </c>
      <c r="AI55" s="60">
        <f>VLOOKUP(A55,Products!$A$11:$F$110,6,FALSE)</f>
        <v>50</v>
      </c>
    </row>
    <row r="56" spans="1:35">
      <c r="A56" s="12" t="s">
        <v>176</v>
      </c>
      <c r="B56" s="8">
        <f xml:space="preserve"> SUMIF(tblGoogleUnits[Products],$A56, tblGoogleUnits[cv_2018]) + SUMIF(tblMetaUnits[Products],$A56, tblMetaUnits[cv_2018]) + SUMIF(tblAmazonUnits[Products],$A56, tblAmazonUnits[cv_2018]) + SUMIF(tblMicrosoftUnits[Products],$A56, tblMicrosoftUnits[cv_2018]) + SUMIF(tblAppleUnits[Products],$A56, tblAppleUnits[cv_2018]) + SUMIF(tblAlibabaUnits[Products],$A56, tblAlibabaUnits[cv_2018]) + SUMIF(tblHuaweiUnits[Products],$A56, tblHuaweiUnits[cv_2018]) + SUMIF(tblTencentUnits[Products],$A56, tblTencentUnits[cv_2018]) + SUMIF(tblBaiduUnits[Products],$A56, tblBaiduUnits[cv_2018]) + SUMIF(tblByteDanceUnits[Products],$A56, tblByteDanceUnits[cv_2018]) + SUMIF(tblCloudAOUnits[Products],$A56, tblCloudAOUnits[cv_2018]) + SUMIF(tblTelecomUnits[Products],$A56, tblTelecomUnits[cv_2018]) + SUMIF(tblEnterpriseUnits[Products],$A56, tblEnterpriseUnits[cv_2018])</f>
        <v>0</v>
      </c>
      <c r="C56" s="8">
        <f xml:space="preserve"> SUMIF(tblGoogleUnits[Products],$A56, tblGoogleUnits[cv_2019]) + SUMIF(tblMetaUnits[Products],$A56, tblMetaUnits[cv_2019]) + SUMIF(tblAmazonUnits[Products],$A56, tblAmazonUnits[cv_2019]) + SUMIF(tblMicrosoftUnits[Products],$A56, tblMicrosoftUnits[cv_2019]) + SUMIF(tblAppleUnits[Products],$A56, tblAppleUnits[cv_2019]) + SUMIF(tblAlibabaUnits[Products],$A56, tblAlibabaUnits[cv_2019]) + SUMIF(tblHuaweiUnits[Products],$A56, tblHuaweiUnits[cv_2019]) + SUMIF(tblTencentUnits[Products],$A56, tblTencentUnits[cv_2019]) + SUMIF(tblBaiduUnits[Products],$A56, tblBaiduUnits[cv_2019]) + SUMIF(tblByteDanceUnits[Products],$A56, tblByteDanceUnits[cv_2019]) + SUMIF(tblCloudAOUnits[Products],$A56, tblCloudAOUnits[cv_2019]) + SUMIF(tblTelecomUnits[Products],$A56, tblTelecomUnits[cv_2019]) + SUMIF(tblEnterpriseUnits[Products],$A56, tblEnterpriseUnits[cv_2019])</f>
        <v>0</v>
      </c>
      <c r="D56" s="8">
        <f xml:space="preserve"> SUMIF(tblGoogleUnits[Products],$A56, tblGoogleUnits[cv_2020]) + SUMIF(tblMetaUnits[Products],$A56, tblMetaUnits[cv_2020]) + SUMIF(tblAmazonUnits[Products],$A56, tblAmazonUnits[cv_2020]) + SUMIF(tblMicrosoftUnits[Products],$A56, tblMicrosoftUnits[cv_2020]) + SUMIF(tblAppleUnits[Products],$A56, tblAppleUnits[cv_2020]) + SUMIF(tblAlibabaUnits[Products],$A56, tblAlibabaUnits[cv_2020]) + SUMIF(tblHuaweiUnits[Products],$A56, tblHuaweiUnits[cv_2020]) + SUMIF(tblTencentUnits[Products],$A56, tblTencentUnits[cv_2020]) + SUMIF(tblBaiduUnits[Products],$A56, tblBaiduUnits[cv_2020]) + SUMIF(tblByteDanceUnits[Products],$A56, tblByteDanceUnits[cv_2020]) + SUMIF(tblCloudAOUnits[Products],$A56, tblCloudAOUnits[cv_2020]) + SUMIF(tblTelecomUnits[Products],$A56, tblTelecomUnits[cv_2020]) + SUMIF(tblEnterpriseUnits[Products],$A56, tblEnterpriseUnits[cv_2020])</f>
        <v>0</v>
      </c>
      <c r="E56" s="8">
        <f xml:space="preserve"> SUMIF(tblGoogleUnits[Products],$A56, tblGoogleUnits[cv_2021]) + SUMIF(tblMetaUnits[Products],$A56, tblMetaUnits[cv_2021]) + SUMIF(tblAmazonUnits[Products],$A56, tblAmazonUnits[cv_2021]) + SUMIF(tblMicrosoftUnits[Products],$A56, tblMicrosoftUnits[cv_2021]) + SUMIF(tblAppleUnits[Products],$A56, tblAppleUnits[cv_2021]) + SUMIF(tblAlibabaUnits[Products],$A56, tblAlibabaUnits[cv_2021]) + SUMIF(tblHuaweiUnits[Products],$A56, tblHuaweiUnits[cv_2021]) + SUMIF(tblTencentUnits[Products],$A56, tblTencentUnits[cv_2021]) + SUMIF(tblBaiduUnits[Products],$A56, tblBaiduUnits[cv_2021]) + SUMIF(tblByteDanceUnits[Products],$A56, tblByteDanceUnits[cv_2021]) + SUMIF(tblCloudAOUnits[Products],$A56, tblCloudAOUnits[cv_2021]) + SUMIF(tblTelecomUnits[Products],$A56, tblTelecomUnits[cv_2021]) + SUMIF(tblEnterpriseUnits[Products],$A56, tblEnterpriseUnits[cv_2021])</f>
        <v>0</v>
      </c>
      <c r="F56" s="8">
        <f xml:space="preserve"> SUMIF(tblGoogleUnits[Products],$A56, tblGoogleUnits[cv_2022]) + SUMIF(tblMetaUnits[Products],$A56, tblMetaUnits[cv_2022]) + SUMIF(tblAmazonUnits[Products],$A56, tblAmazonUnits[cv_2022]) + SUMIF(tblMicrosoftUnits[Products],$A56, tblMicrosoftUnits[cv_2022]) + SUMIF(tblAppleUnits[Products],$A56, tblAppleUnits[cv_2022]) + SUMIF(tblAlibabaUnits[Products],$A56, tblAlibabaUnits[cv_2022]) + SUMIF(tblHuaweiUnits[Products],$A56, tblHuaweiUnits[cv_2022]) + SUMIF(tblTencentUnits[Products],$A56, tblTencentUnits[cv_2022]) + SUMIF(tblBaiduUnits[Products],$A56, tblBaiduUnits[cv_2022]) + SUMIF(tblByteDanceUnits[Products],$A56, tblByteDanceUnits[cv_2022]) + SUMIF(tblCloudAOUnits[Products],$A56, tblCloudAOUnits[cv_2022]) + SUMIF(tblTelecomUnits[Products],$A56, tblTelecomUnits[cv_2022]) + SUMIF(tblEnterpriseUnits[Products],$A56, tblEnterpriseUnits[cv_2022])</f>
        <v>0</v>
      </c>
      <c r="G56" s="8">
        <f xml:space="preserve"> SUMIF(tblGoogleUnits[Products],$A56, tblGoogleUnits[cv_2023]) + SUMIF(tblMetaUnits[Products],$A56, tblMetaUnits[cv_2023]) + SUMIF(tblAmazonUnits[Products],$A56, tblAmazonUnits[cv_2023]) + SUMIF(tblMicrosoftUnits[Products],$A56, tblMicrosoftUnits[cv_2023]) + SUMIF(tblAppleUnits[Products],$A56, tblAppleUnits[cv_2023]) + SUMIF(tblAlibabaUnits[Products],$A56, tblAlibabaUnits[cv_2023]) + SUMIF(tblHuaweiUnits[Products],$A56, tblHuaweiUnits[cv_2023]) + SUMIF(tblTencentUnits[Products],$A56, tblTencentUnits[cv_2023]) + SUMIF(tblBaiduUnits[Products],$A56, tblBaiduUnits[cv_2023]) + SUMIF(tblByteDanceUnits[Products],$A56, tblByteDanceUnits[cv_2023]) + SUMIF(tblCloudAOUnits[Products],$A56, tblCloudAOUnits[cv_2023]) + SUMIF(tblTelecomUnits[Products],$A56, tblTelecomUnits[cv_2023]) + SUMIF(tblEnterpriseUnits[Products],$A56, tblEnterpriseUnits[cv_2023])</f>
        <v>0</v>
      </c>
      <c r="H56" s="8">
        <f xml:space="preserve"> SUMIF(tblGoogleUnits[Products],$A56, tblGoogleUnits[cv_2024]) + SUMIF(tblMetaUnits[Products],$A56, tblMetaUnits[cv_2024]) + SUMIF(tblAmazonUnits[Products],$A56, tblAmazonUnits[cv_2024]) + SUMIF(tblMicrosoftUnits[Products],$A56, tblMicrosoftUnits[cv_2024]) + SUMIF(tblAppleUnits[Products],$A56, tblAppleUnits[cv_2024]) + SUMIF(tblAlibabaUnits[Products],$A56, tblAlibabaUnits[cv_2024]) + SUMIF(tblHuaweiUnits[Products],$A56, tblHuaweiUnits[cv_2024]) + SUMIF(tblTencentUnits[Products],$A56, tblTencentUnits[cv_2024]) + SUMIF(tblBaiduUnits[Products],$A56, tblBaiduUnits[cv_2024]) + SUMIF(tblByteDanceUnits[Products],$A56, tblByteDanceUnits[cv_2024]) + SUMIF(tblCloudAOUnits[Products],$A56, tblCloudAOUnits[cv_2024]) + SUMIF(tblTelecomUnits[Products],$A56, tblTelecomUnits[cv_2024]) + SUMIF(tblEnterpriseUnits[Products],$A56, tblEnterpriseUnits[cv_2024])</f>
        <v>0</v>
      </c>
      <c r="I56" s="8">
        <f xml:space="preserve"> SUMIF(tblGoogleUnits[Products],$A56, tblGoogleUnits[cv_2025]) + SUMIF(tblMetaUnits[Products],$A56, tblMetaUnits[cv_2025]) + SUMIF(tblAmazonUnits[Products],$A56, tblAmazonUnits[cv_2025]) + SUMIF(tblMicrosoftUnits[Products],$A56, tblMicrosoftUnits[cv_2025]) + SUMIF(tblAppleUnits[Products],$A56, tblAppleUnits[cv_2025]) + SUMIF(tblAlibabaUnits[Products],$A56, tblAlibabaUnits[cv_2025]) + SUMIF(tblHuaweiUnits[Products],$A56, tblHuaweiUnits[cv_2025]) + SUMIF(tblTencentUnits[Products],$A56, tblTencentUnits[cv_2025]) + SUMIF(tblBaiduUnits[Products],$A56, tblBaiduUnits[cv_2025]) + SUMIF(tblByteDanceUnits[Products],$A56, tblByteDanceUnits[cv_2025]) + SUMIF(tblCloudAOUnits[Products],$A56, tblCloudAOUnits[cv_2025]) + SUMIF(tblTelecomUnits[Products],$A56, tblTelecomUnits[cv_2025]) + SUMIF(tblEnterpriseUnits[Products],$A56, tblEnterpriseUnits[cv_2025])</f>
        <v>0</v>
      </c>
      <c r="J56" s="8">
        <f xml:space="preserve"> SUMIF(tblGoogleUnits[Products],$A56, tblGoogleUnits[cv_2026]) + SUMIF(tblMetaUnits[Products],$A56, tblMetaUnits[cv_2026]) + SUMIF(tblAmazonUnits[Products],$A56, tblAmazonUnits[cv_2026]) + SUMIF(tblMicrosoftUnits[Products],$A56, tblMicrosoftUnits[cv_2026]) + SUMIF(tblAppleUnits[Products],$A56, tblAppleUnits[cv_2026]) + SUMIF(tblAlibabaUnits[Products],$A56, tblAlibabaUnits[cv_2026]) + SUMIF(tblHuaweiUnits[Products],$A56, tblHuaweiUnits[cv_2026]) + SUMIF(tblTencentUnits[Products],$A56, tblTencentUnits[cv_2026]) + SUMIF(tblBaiduUnits[Products],$A56, tblBaiduUnits[cv_2026]) + SUMIF(tblByteDanceUnits[Products],$A56, tblByteDanceUnits[cv_2026]) + SUMIF(tblCloudAOUnits[Products],$A56, tblCloudAOUnits[cv_2026]) + SUMIF(tblTelecomUnits[Products],$A56, tblTelecomUnits[cv_2026]) + SUMIF(tblEnterpriseUnits[Products],$A56, tblEnterpriseUnits[cv_2026])</f>
        <v>0</v>
      </c>
      <c r="K56" s="8">
        <f xml:space="preserve"> SUMIF(tblGoogleUnits[Products],$A56, tblGoogleUnits[cv_2027]) + SUMIF(tblMetaUnits[Products],$A56, tblMetaUnits[cv_2027]) + SUMIF(tblAmazonUnits[Products],$A56, tblAmazonUnits[cv_2027]) + SUMIF(tblMicrosoftUnits[Products],$A56, tblMicrosoftUnits[cv_2027]) + SUMIF(tblAppleUnits[Products],$A56, tblAppleUnits[cv_2027]) + SUMIF(tblAlibabaUnits[Products],$A56, tblAlibabaUnits[cv_2027]) + SUMIF(tblHuaweiUnits[Products],$A56, tblHuaweiUnits[cv_2027]) + SUMIF(tblTencentUnits[Products],$A56, tblTencentUnits[cv_2027]) + SUMIF(tblBaiduUnits[Products],$A56, tblBaiduUnits[cv_2027]) + SUMIF(tblByteDanceUnits[Products],$A56, tblByteDanceUnits[cv_2027]) + SUMIF(tblCloudAOUnits[Products],$A56, tblCloudAOUnits[cv_2027]) + SUMIF(tblTelecomUnits[Products],$A56, tblTelecomUnits[cv_2027]) + SUMIF(tblEnterpriseUnits[Products],$A56, tblEnterpriseUnits[cv_2027])</f>
        <v>0</v>
      </c>
      <c r="L56" s="8">
        <f xml:space="preserve"> SUMIF(tblGoogleUnits[Products],$A56, tblGoogleUnits[cv_2028]) + SUMIF(tblMetaUnits[Products],$A56, tblMetaUnits[cv_2028]) + SUMIF(tblAmazonUnits[Products],$A56, tblAmazonUnits[cv_2028]) + SUMIF(tblMicrosoftUnits[Products],$A56, tblMicrosoftUnits[cv_2028]) + SUMIF(tblAppleUnits[Products],$A56, tblAppleUnits[cv_2028]) + SUMIF(tblAlibabaUnits[Products],$A56, tblAlibabaUnits[cv_2028]) + SUMIF(tblHuaweiUnits[Products],$A56, tblHuaweiUnits[cv_2028]) + SUMIF(tblTencentUnits[Products],$A56, tblTencentUnits[cv_2028]) + SUMIF(tblBaiduUnits[Products],$A56, tblBaiduUnits[cv_2028]) + SUMIF(tblByteDanceUnits[Products],$A56, tblByteDanceUnits[cv_2028]) + SUMIF(tblCloudAOUnits[Products],$A56, tblCloudAOUnits[cv_2028]) + SUMIF(tblTelecomUnits[Products],$A56, tblTelecomUnits[cv_2028]) + SUMIF(tblEnterpriseUnits[Products],$A56, tblEnterpriseUnits[cv_2028])</f>
        <v>0</v>
      </c>
      <c r="M56" s="105" cm="1">
        <f t="array" ref="M56">INDEX(tblPrices[cv_2018], MATCH($A56,tblPrices[Products],0), 0)</f>
        <v>0</v>
      </c>
      <c r="N56" s="105" cm="1">
        <f t="array" ref="N56">INDEX(tblPrices[cv_2019], MATCH($A56,tblPrices[Products],0), 0)</f>
        <v>0</v>
      </c>
      <c r="O56" s="105" cm="1">
        <f t="array" ref="O56">INDEX(tblPrices[cv_2020], MATCH($A56,tblPrices[Products],0), 0)</f>
        <v>0</v>
      </c>
      <c r="P56" s="105" cm="1">
        <f t="array" ref="P56">INDEX(tblPrices[cv_2021], MATCH($A56,tblPrices[Products],0), 0)</f>
        <v>0</v>
      </c>
      <c r="Q56" s="105" cm="1">
        <f t="array" ref="Q56">INDEX(tblPrices[cv_2022], MATCH($A56,tblPrices[Products],0), 0)</f>
        <v>0</v>
      </c>
      <c r="R56" s="105" cm="1">
        <f t="array" ref="R56">INDEX(tblPrices[cv_2023], MATCH($A56,tblPrices[Products],0), 0)</f>
        <v>0</v>
      </c>
      <c r="S56" s="105" cm="1">
        <f t="array" ref="S56">INDEX(tblPrices[cv_2024], MATCH($A56,tblPrices[Products],0), 0)</f>
        <v>0</v>
      </c>
      <c r="T56" s="105" cm="1">
        <f t="array" ref="T56">INDEX(tblPrices[cv_2025], MATCH($A56,tblPrices[Products],0), 0)</f>
        <v>0</v>
      </c>
      <c r="U56" s="105" cm="1">
        <f t="array" ref="U56">INDEX(tblPrices[cv_2026], MATCH($A56,tblPrices[Products],0), 0)</f>
        <v>0</v>
      </c>
      <c r="V56" s="105" cm="1">
        <f t="array" ref="V56">INDEX(tblPrices[cv_2027], MATCH($A56,tblPrices[Products],0), 0)</f>
        <v>0</v>
      </c>
      <c r="W56" s="105" cm="1">
        <f t="array" ref="W56">INDEX(tblPrices[cv_2028], MATCH($A56,tblPrices[Products],0), 0)</f>
        <v>0</v>
      </c>
      <c r="X56" s="106" cm="1">
        <f t="array" ref="X56">INDEX(tblPrices[cv_2018], MATCH($A56,tblPrices[Products],0), 0)* tblForecast[[#This Row],[un_2018]]/10^6</f>
        <v>0</v>
      </c>
      <c r="Y56" s="106" cm="1">
        <f t="array" ref="Y56">INDEX(tblPrices[cv_2019], MATCH($A56,tblPrices[Products],0), 0)* tblForecast[[#This Row],[un_2019]]/10^6</f>
        <v>0</v>
      </c>
      <c r="Z56" s="106" cm="1">
        <f t="array" ref="Z56">INDEX(tblPrices[cv_2020], MATCH($A56,tblPrices[Products],0), 0)* tblForecast[[#This Row],[un_2020]]/10^6</f>
        <v>0</v>
      </c>
      <c r="AA56" s="106" cm="1">
        <f t="array" ref="AA56">INDEX(tblPrices[cv_2021], MATCH($A56,tblPrices[Products],0), 0)* tblForecast[[#This Row],[un_2021]]/10^6</f>
        <v>0</v>
      </c>
      <c r="AB56" s="106" cm="1">
        <f t="array" ref="AB56">INDEX(tblPrices[cv_2022], MATCH($A56,tblPrices[Products],0), 0)* tblForecast[[#This Row],[un_2022]]/10^6</f>
        <v>0</v>
      </c>
      <c r="AC56" s="106" cm="1">
        <f t="array" ref="AC56">INDEX(tblPrices[cv_2023], MATCH($A56,tblPrices[Products],0), 0)* tblForecast[[#This Row],[un_2023]]/10^6</f>
        <v>0</v>
      </c>
      <c r="AD56" s="106" cm="1">
        <f t="array" ref="AD56">INDEX(tblPrices[cv_2024], MATCH($A56,tblPrices[Products],0), 0)* tblForecast[[#This Row],[un_2024]]/10^6</f>
        <v>0</v>
      </c>
      <c r="AE56" s="106" cm="1">
        <f t="array" ref="AE56">INDEX(tblPrices[cv_2025], MATCH($A56,tblPrices[Products],0), 0)* tblForecast[[#This Row],[un_2025]]/10^6</f>
        <v>0</v>
      </c>
      <c r="AF56" s="106" cm="1">
        <f t="array" ref="AF56">INDEX(tblPrices[cv_2026], MATCH($A56,tblPrices[Products],0), 0)* tblForecast[[#This Row],[un_2026]]/10^6</f>
        <v>0</v>
      </c>
      <c r="AG56" s="106" cm="1">
        <f t="array" ref="AG56">INDEX(tblPrices[cv_2027], MATCH($A56,tblPrices[Products],0), 0)* tblForecast[[#This Row],[un_2027]]/10^6</f>
        <v>0</v>
      </c>
      <c r="AH56" s="106" cm="1">
        <f t="array" ref="AH56">INDEX(tblPrices[cv_2028], MATCH($A56,tblPrices[Products],0), 0)* tblForecast[[#This Row],[un_2028]]/10^6</f>
        <v>0</v>
      </c>
      <c r="AI56" s="60">
        <f>VLOOKUP(A56,Products!$A$11:$F$110,6,FALSE)</f>
        <v>50</v>
      </c>
    </row>
    <row r="57" spans="1:35">
      <c r="A57" s="12" t="s">
        <v>177</v>
      </c>
      <c r="B57" s="8">
        <f xml:space="preserve"> SUMIF(tblGoogleUnits[Products],$A57, tblGoogleUnits[cv_2018]) + SUMIF(tblMetaUnits[Products],$A57, tblMetaUnits[cv_2018]) + SUMIF(tblAmazonUnits[Products],$A57, tblAmazonUnits[cv_2018]) + SUMIF(tblMicrosoftUnits[Products],$A57, tblMicrosoftUnits[cv_2018]) + SUMIF(tblAppleUnits[Products],$A57, tblAppleUnits[cv_2018]) + SUMIF(tblAlibabaUnits[Products],$A57, tblAlibabaUnits[cv_2018]) + SUMIF(tblHuaweiUnits[Products],$A57, tblHuaweiUnits[cv_2018]) + SUMIF(tblTencentUnits[Products],$A57, tblTencentUnits[cv_2018]) + SUMIF(tblBaiduUnits[Products],$A57, tblBaiduUnits[cv_2018]) + SUMIF(tblByteDanceUnits[Products],$A57, tblByteDanceUnits[cv_2018]) + SUMIF(tblCloudAOUnits[Products],$A57, tblCloudAOUnits[cv_2018]) + SUMIF(tblTelecomUnits[Products],$A57, tblTelecomUnits[cv_2018]) + SUMIF(tblEnterpriseUnits[Products],$A57, tblEnterpriseUnits[cv_2018])</f>
        <v>0</v>
      </c>
      <c r="C57" s="8">
        <f xml:space="preserve"> SUMIF(tblGoogleUnits[Products],$A57, tblGoogleUnits[cv_2019]) + SUMIF(tblMetaUnits[Products],$A57, tblMetaUnits[cv_2019]) + SUMIF(tblAmazonUnits[Products],$A57, tblAmazonUnits[cv_2019]) + SUMIF(tblMicrosoftUnits[Products],$A57, tblMicrosoftUnits[cv_2019]) + SUMIF(tblAppleUnits[Products],$A57, tblAppleUnits[cv_2019]) + SUMIF(tblAlibabaUnits[Products],$A57, tblAlibabaUnits[cv_2019]) + SUMIF(tblHuaweiUnits[Products],$A57, tblHuaweiUnits[cv_2019]) + SUMIF(tblTencentUnits[Products],$A57, tblTencentUnits[cv_2019]) + SUMIF(tblBaiduUnits[Products],$A57, tblBaiduUnits[cv_2019]) + SUMIF(tblByteDanceUnits[Products],$A57, tblByteDanceUnits[cv_2019]) + SUMIF(tblCloudAOUnits[Products],$A57, tblCloudAOUnits[cv_2019]) + SUMIF(tblTelecomUnits[Products],$A57, tblTelecomUnits[cv_2019]) + SUMIF(tblEnterpriseUnits[Products],$A57, tblEnterpriseUnits[cv_2019])</f>
        <v>0</v>
      </c>
      <c r="D57" s="8">
        <f xml:space="preserve"> SUMIF(tblGoogleUnits[Products],$A57, tblGoogleUnits[cv_2020]) + SUMIF(tblMetaUnits[Products],$A57, tblMetaUnits[cv_2020]) + SUMIF(tblAmazonUnits[Products],$A57, tblAmazonUnits[cv_2020]) + SUMIF(tblMicrosoftUnits[Products],$A57, tblMicrosoftUnits[cv_2020]) + SUMIF(tblAppleUnits[Products],$A57, tblAppleUnits[cv_2020]) + SUMIF(tblAlibabaUnits[Products],$A57, tblAlibabaUnits[cv_2020]) + SUMIF(tblHuaweiUnits[Products],$A57, tblHuaweiUnits[cv_2020]) + SUMIF(tblTencentUnits[Products],$A57, tblTencentUnits[cv_2020]) + SUMIF(tblBaiduUnits[Products],$A57, tblBaiduUnits[cv_2020]) + SUMIF(tblByteDanceUnits[Products],$A57, tblByteDanceUnits[cv_2020]) + SUMIF(tblCloudAOUnits[Products],$A57, tblCloudAOUnits[cv_2020]) + SUMIF(tblTelecomUnits[Products],$A57, tblTelecomUnits[cv_2020]) + SUMIF(tblEnterpriseUnits[Products],$A57, tblEnterpriseUnits[cv_2020])</f>
        <v>0</v>
      </c>
      <c r="E57" s="8">
        <f xml:space="preserve"> SUMIF(tblGoogleUnits[Products],$A57, tblGoogleUnits[cv_2021]) + SUMIF(tblMetaUnits[Products],$A57, tblMetaUnits[cv_2021]) + SUMIF(tblAmazonUnits[Products],$A57, tblAmazonUnits[cv_2021]) + SUMIF(tblMicrosoftUnits[Products],$A57, tblMicrosoftUnits[cv_2021]) + SUMIF(tblAppleUnits[Products],$A57, tblAppleUnits[cv_2021]) + SUMIF(tblAlibabaUnits[Products],$A57, tblAlibabaUnits[cv_2021]) + SUMIF(tblHuaweiUnits[Products],$A57, tblHuaweiUnits[cv_2021]) + SUMIF(tblTencentUnits[Products],$A57, tblTencentUnits[cv_2021]) + SUMIF(tblBaiduUnits[Products],$A57, tblBaiduUnits[cv_2021]) + SUMIF(tblByteDanceUnits[Products],$A57, tblByteDanceUnits[cv_2021]) + SUMIF(tblCloudAOUnits[Products],$A57, tblCloudAOUnits[cv_2021]) + SUMIF(tblTelecomUnits[Products],$A57, tblTelecomUnits[cv_2021]) + SUMIF(tblEnterpriseUnits[Products],$A57, tblEnterpriseUnits[cv_2021])</f>
        <v>0</v>
      </c>
      <c r="F57" s="8">
        <f xml:space="preserve"> SUMIF(tblGoogleUnits[Products],$A57, tblGoogleUnits[cv_2022]) + SUMIF(tblMetaUnits[Products],$A57, tblMetaUnits[cv_2022]) + SUMIF(tblAmazonUnits[Products],$A57, tblAmazonUnits[cv_2022]) + SUMIF(tblMicrosoftUnits[Products],$A57, tblMicrosoftUnits[cv_2022]) + SUMIF(tblAppleUnits[Products],$A57, tblAppleUnits[cv_2022]) + SUMIF(tblAlibabaUnits[Products],$A57, tblAlibabaUnits[cv_2022]) + SUMIF(tblHuaweiUnits[Products],$A57, tblHuaweiUnits[cv_2022]) + SUMIF(tblTencentUnits[Products],$A57, tblTencentUnits[cv_2022]) + SUMIF(tblBaiduUnits[Products],$A57, tblBaiduUnits[cv_2022]) + SUMIF(tblByteDanceUnits[Products],$A57, tblByteDanceUnits[cv_2022]) + SUMIF(tblCloudAOUnits[Products],$A57, tblCloudAOUnits[cv_2022]) + SUMIF(tblTelecomUnits[Products],$A57, tblTelecomUnits[cv_2022]) + SUMIF(tblEnterpriseUnits[Products],$A57, tblEnterpriseUnits[cv_2022])</f>
        <v>0</v>
      </c>
      <c r="G57" s="8">
        <f xml:space="preserve"> SUMIF(tblGoogleUnits[Products],$A57, tblGoogleUnits[cv_2023]) + SUMIF(tblMetaUnits[Products],$A57, tblMetaUnits[cv_2023]) + SUMIF(tblAmazonUnits[Products],$A57, tblAmazonUnits[cv_2023]) + SUMIF(tblMicrosoftUnits[Products],$A57, tblMicrosoftUnits[cv_2023]) + SUMIF(tblAppleUnits[Products],$A57, tblAppleUnits[cv_2023]) + SUMIF(tblAlibabaUnits[Products],$A57, tblAlibabaUnits[cv_2023]) + SUMIF(tblHuaweiUnits[Products],$A57, tblHuaweiUnits[cv_2023]) + SUMIF(tblTencentUnits[Products],$A57, tblTencentUnits[cv_2023]) + SUMIF(tblBaiduUnits[Products],$A57, tblBaiduUnits[cv_2023]) + SUMIF(tblByteDanceUnits[Products],$A57, tblByteDanceUnits[cv_2023]) + SUMIF(tblCloudAOUnits[Products],$A57, tblCloudAOUnits[cv_2023]) + SUMIF(tblTelecomUnits[Products],$A57, tblTelecomUnits[cv_2023]) + SUMIF(tblEnterpriseUnits[Products],$A57, tblEnterpriseUnits[cv_2023])</f>
        <v>0</v>
      </c>
      <c r="H57" s="8">
        <f xml:space="preserve"> SUMIF(tblGoogleUnits[Products],$A57, tblGoogleUnits[cv_2024]) + SUMIF(tblMetaUnits[Products],$A57, tblMetaUnits[cv_2024]) + SUMIF(tblAmazonUnits[Products],$A57, tblAmazonUnits[cv_2024]) + SUMIF(tblMicrosoftUnits[Products],$A57, tblMicrosoftUnits[cv_2024]) + SUMIF(tblAppleUnits[Products],$A57, tblAppleUnits[cv_2024]) + SUMIF(tblAlibabaUnits[Products],$A57, tblAlibabaUnits[cv_2024]) + SUMIF(tblHuaweiUnits[Products],$A57, tblHuaweiUnits[cv_2024]) + SUMIF(tblTencentUnits[Products],$A57, tblTencentUnits[cv_2024]) + SUMIF(tblBaiduUnits[Products],$A57, tblBaiduUnits[cv_2024]) + SUMIF(tblByteDanceUnits[Products],$A57, tblByteDanceUnits[cv_2024]) + SUMIF(tblCloudAOUnits[Products],$A57, tblCloudAOUnits[cv_2024]) + SUMIF(tblTelecomUnits[Products],$A57, tblTelecomUnits[cv_2024]) + SUMIF(tblEnterpriseUnits[Products],$A57, tblEnterpriseUnits[cv_2024])</f>
        <v>0</v>
      </c>
      <c r="I57" s="8">
        <f xml:space="preserve"> SUMIF(tblGoogleUnits[Products],$A57, tblGoogleUnits[cv_2025]) + SUMIF(tblMetaUnits[Products],$A57, tblMetaUnits[cv_2025]) + SUMIF(tblAmazonUnits[Products],$A57, tblAmazonUnits[cv_2025]) + SUMIF(tblMicrosoftUnits[Products],$A57, tblMicrosoftUnits[cv_2025]) + SUMIF(tblAppleUnits[Products],$A57, tblAppleUnits[cv_2025]) + SUMIF(tblAlibabaUnits[Products],$A57, tblAlibabaUnits[cv_2025]) + SUMIF(tblHuaweiUnits[Products],$A57, tblHuaweiUnits[cv_2025]) + SUMIF(tblTencentUnits[Products],$A57, tblTencentUnits[cv_2025]) + SUMIF(tblBaiduUnits[Products],$A57, tblBaiduUnits[cv_2025]) + SUMIF(tblByteDanceUnits[Products],$A57, tblByteDanceUnits[cv_2025]) + SUMIF(tblCloudAOUnits[Products],$A57, tblCloudAOUnits[cv_2025]) + SUMIF(tblTelecomUnits[Products],$A57, tblTelecomUnits[cv_2025]) + SUMIF(tblEnterpriseUnits[Products],$A57, tblEnterpriseUnits[cv_2025])</f>
        <v>0</v>
      </c>
      <c r="J57" s="8">
        <f xml:space="preserve"> SUMIF(tblGoogleUnits[Products],$A57, tblGoogleUnits[cv_2026]) + SUMIF(tblMetaUnits[Products],$A57, tblMetaUnits[cv_2026]) + SUMIF(tblAmazonUnits[Products],$A57, tblAmazonUnits[cv_2026]) + SUMIF(tblMicrosoftUnits[Products],$A57, tblMicrosoftUnits[cv_2026]) + SUMIF(tblAppleUnits[Products],$A57, tblAppleUnits[cv_2026]) + SUMIF(tblAlibabaUnits[Products],$A57, tblAlibabaUnits[cv_2026]) + SUMIF(tblHuaweiUnits[Products],$A57, tblHuaweiUnits[cv_2026]) + SUMIF(tblTencentUnits[Products],$A57, tblTencentUnits[cv_2026]) + SUMIF(tblBaiduUnits[Products],$A57, tblBaiduUnits[cv_2026]) + SUMIF(tblByteDanceUnits[Products],$A57, tblByteDanceUnits[cv_2026]) + SUMIF(tblCloudAOUnits[Products],$A57, tblCloudAOUnits[cv_2026]) + SUMIF(tblTelecomUnits[Products],$A57, tblTelecomUnits[cv_2026]) + SUMIF(tblEnterpriseUnits[Products],$A57, tblEnterpriseUnits[cv_2026])</f>
        <v>0</v>
      </c>
      <c r="K57" s="8">
        <f xml:space="preserve"> SUMIF(tblGoogleUnits[Products],$A57, tblGoogleUnits[cv_2027]) + SUMIF(tblMetaUnits[Products],$A57, tblMetaUnits[cv_2027]) + SUMIF(tblAmazonUnits[Products],$A57, tblAmazonUnits[cv_2027]) + SUMIF(tblMicrosoftUnits[Products],$A57, tblMicrosoftUnits[cv_2027]) + SUMIF(tblAppleUnits[Products],$A57, tblAppleUnits[cv_2027]) + SUMIF(tblAlibabaUnits[Products],$A57, tblAlibabaUnits[cv_2027]) + SUMIF(tblHuaweiUnits[Products],$A57, tblHuaweiUnits[cv_2027]) + SUMIF(tblTencentUnits[Products],$A57, tblTencentUnits[cv_2027]) + SUMIF(tblBaiduUnits[Products],$A57, tblBaiduUnits[cv_2027]) + SUMIF(tblByteDanceUnits[Products],$A57, tblByteDanceUnits[cv_2027]) + SUMIF(tblCloudAOUnits[Products],$A57, tblCloudAOUnits[cv_2027]) + SUMIF(tblTelecomUnits[Products],$A57, tblTelecomUnits[cv_2027]) + SUMIF(tblEnterpriseUnits[Products],$A57, tblEnterpriseUnits[cv_2027])</f>
        <v>0</v>
      </c>
      <c r="L57" s="8">
        <f xml:space="preserve"> SUMIF(tblGoogleUnits[Products],$A57, tblGoogleUnits[cv_2028]) + SUMIF(tblMetaUnits[Products],$A57, tblMetaUnits[cv_2028]) + SUMIF(tblAmazonUnits[Products],$A57, tblAmazonUnits[cv_2028]) + SUMIF(tblMicrosoftUnits[Products],$A57, tblMicrosoftUnits[cv_2028]) + SUMIF(tblAppleUnits[Products],$A57, tblAppleUnits[cv_2028]) + SUMIF(tblAlibabaUnits[Products],$A57, tblAlibabaUnits[cv_2028]) + SUMIF(tblHuaweiUnits[Products],$A57, tblHuaweiUnits[cv_2028]) + SUMIF(tblTencentUnits[Products],$A57, tblTencentUnits[cv_2028]) + SUMIF(tblBaiduUnits[Products],$A57, tblBaiduUnits[cv_2028]) + SUMIF(tblByteDanceUnits[Products],$A57, tblByteDanceUnits[cv_2028]) + SUMIF(tblCloudAOUnits[Products],$A57, tblCloudAOUnits[cv_2028]) + SUMIF(tblTelecomUnits[Products],$A57, tblTelecomUnits[cv_2028]) + SUMIF(tblEnterpriseUnits[Products],$A57, tblEnterpriseUnits[cv_2028])</f>
        <v>0</v>
      </c>
      <c r="M57" s="105" cm="1">
        <f t="array" ref="M57">INDEX(tblPrices[cv_2018], MATCH($A57,tblPrices[Products],0), 0)</f>
        <v>0</v>
      </c>
      <c r="N57" s="105" cm="1">
        <f t="array" ref="N57">INDEX(tblPrices[cv_2019], MATCH($A57,tblPrices[Products],0), 0)</f>
        <v>0</v>
      </c>
      <c r="O57" s="105" cm="1">
        <f t="array" ref="O57">INDEX(tblPrices[cv_2020], MATCH($A57,tblPrices[Products],0), 0)</f>
        <v>0</v>
      </c>
      <c r="P57" s="105" cm="1">
        <f t="array" ref="P57">INDEX(tblPrices[cv_2021], MATCH($A57,tblPrices[Products],0), 0)</f>
        <v>0</v>
      </c>
      <c r="Q57" s="105" cm="1">
        <f t="array" ref="Q57">INDEX(tblPrices[cv_2022], MATCH($A57,tblPrices[Products],0), 0)</f>
        <v>0</v>
      </c>
      <c r="R57" s="105" cm="1">
        <f t="array" ref="R57">INDEX(tblPrices[cv_2023], MATCH($A57,tblPrices[Products],0), 0)</f>
        <v>0</v>
      </c>
      <c r="S57" s="105" cm="1">
        <f t="array" ref="S57">INDEX(tblPrices[cv_2024], MATCH($A57,tblPrices[Products],0), 0)</f>
        <v>0</v>
      </c>
      <c r="T57" s="105" cm="1">
        <f t="array" ref="T57">INDEX(tblPrices[cv_2025], MATCH($A57,tblPrices[Products],0), 0)</f>
        <v>0</v>
      </c>
      <c r="U57" s="105" cm="1">
        <f t="array" ref="U57">INDEX(tblPrices[cv_2026], MATCH($A57,tblPrices[Products],0), 0)</f>
        <v>0</v>
      </c>
      <c r="V57" s="105" cm="1">
        <f t="array" ref="V57">INDEX(tblPrices[cv_2027], MATCH($A57,tblPrices[Products],0), 0)</f>
        <v>0</v>
      </c>
      <c r="W57" s="105" cm="1">
        <f t="array" ref="W57">INDEX(tblPrices[cv_2028], MATCH($A57,tblPrices[Products],0), 0)</f>
        <v>0</v>
      </c>
      <c r="X57" s="106" cm="1">
        <f t="array" ref="X57">INDEX(tblPrices[cv_2018], MATCH($A57,tblPrices[Products],0), 0)* tblForecast[[#This Row],[un_2018]]/10^6</f>
        <v>0</v>
      </c>
      <c r="Y57" s="106" cm="1">
        <f t="array" ref="Y57">INDEX(tblPrices[cv_2019], MATCH($A57,tblPrices[Products],0), 0)* tblForecast[[#This Row],[un_2019]]/10^6</f>
        <v>0</v>
      </c>
      <c r="Z57" s="106" cm="1">
        <f t="array" ref="Z57">INDEX(tblPrices[cv_2020], MATCH($A57,tblPrices[Products],0), 0)* tblForecast[[#This Row],[un_2020]]/10^6</f>
        <v>0</v>
      </c>
      <c r="AA57" s="106" cm="1">
        <f t="array" ref="AA57">INDEX(tblPrices[cv_2021], MATCH($A57,tblPrices[Products],0), 0)* tblForecast[[#This Row],[un_2021]]/10^6</f>
        <v>0</v>
      </c>
      <c r="AB57" s="106" cm="1">
        <f t="array" ref="AB57">INDEX(tblPrices[cv_2022], MATCH($A57,tblPrices[Products],0), 0)* tblForecast[[#This Row],[un_2022]]/10^6</f>
        <v>0</v>
      </c>
      <c r="AC57" s="106" cm="1">
        <f t="array" ref="AC57">INDEX(tblPrices[cv_2023], MATCH($A57,tblPrices[Products],0), 0)* tblForecast[[#This Row],[un_2023]]/10^6</f>
        <v>0</v>
      </c>
      <c r="AD57" s="106" cm="1">
        <f t="array" ref="AD57">INDEX(tblPrices[cv_2024], MATCH($A57,tblPrices[Products],0), 0)* tblForecast[[#This Row],[un_2024]]/10^6</f>
        <v>0</v>
      </c>
      <c r="AE57" s="106" cm="1">
        <f t="array" ref="AE57">INDEX(tblPrices[cv_2025], MATCH($A57,tblPrices[Products],0), 0)* tblForecast[[#This Row],[un_2025]]/10^6</f>
        <v>0</v>
      </c>
      <c r="AF57" s="106" cm="1">
        <f t="array" ref="AF57">INDEX(tblPrices[cv_2026], MATCH($A57,tblPrices[Products],0), 0)* tblForecast[[#This Row],[un_2026]]/10^6</f>
        <v>0</v>
      </c>
      <c r="AG57" s="106" cm="1">
        <f t="array" ref="AG57">INDEX(tblPrices[cv_2027], MATCH($A57,tblPrices[Products],0), 0)* tblForecast[[#This Row],[un_2027]]/10^6</f>
        <v>0</v>
      </c>
      <c r="AH57" s="106" cm="1">
        <f t="array" ref="AH57">INDEX(tblPrices[cv_2028], MATCH($A57,tblPrices[Products],0), 0)* tblForecast[[#This Row],[un_2028]]/10^6</f>
        <v>0</v>
      </c>
      <c r="AI57" s="60">
        <f>VLOOKUP(A57,Products!$A$11:$F$110,6,FALSE)</f>
        <v>50</v>
      </c>
    </row>
    <row r="58" spans="1:35">
      <c r="A58" s="12" t="s">
        <v>178</v>
      </c>
      <c r="B58" s="8">
        <f xml:space="preserve"> SUMIF(tblGoogleUnits[Products],$A58, tblGoogleUnits[cv_2018]) + SUMIF(tblMetaUnits[Products],$A58, tblMetaUnits[cv_2018]) + SUMIF(tblAmazonUnits[Products],$A58, tblAmazonUnits[cv_2018]) + SUMIF(tblMicrosoftUnits[Products],$A58, tblMicrosoftUnits[cv_2018]) + SUMIF(tblAppleUnits[Products],$A58, tblAppleUnits[cv_2018]) + SUMIF(tblAlibabaUnits[Products],$A58, tblAlibabaUnits[cv_2018]) + SUMIF(tblHuaweiUnits[Products],$A58, tblHuaweiUnits[cv_2018]) + SUMIF(tblTencentUnits[Products],$A58, tblTencentUnits[cv_2018]) + SUMIF(tblBaiduUnits[Products],$A58, tblBaiduUnits[cv_2018]) + SUMIF(tblByteDanceUnits[Products],$A58, tblByteDanceUnits[cv_2018]) + SUMIF(tblCloudAOUnits[Products],$A58, tblCloudAOUnits[cv_2018]) + SUMIF(tblTelecomUnits[Products],$A58, tblTelecomUnits[cv_2018]) + SUMIF(tblEnterpriseUnits[Products],$A58, tblEnterpriseUnits[cv_2018])</f>
        <v>5094</v>
      </c>
      <c r="C58" s="8">
        <f xml:space="preserve"> SUMIF(tblGoogleUnits[Products],$A58, tblGoogleUnits[cv_2019]) + SUMIF(tblMetaUnits[Products],$A58, tblMetaUnits[cv_2019]) + SUMIF(tblAmazonUnits[Products],$A58, tblAmazonUnits[cv_2019]) + SUMIF(tblMicrosoftUnits[Products],$A58, tblMicrosoftUnits[cv_2019]) + SUMIF(tblAppleUnits[Products],$A58, tblAppleUnits[cv_2019]) + SUMIF(tblAlibabaUnits[Products],$A58, tblAlibabaUnits[cv_2019]) + SUMIF(tblHuaweiUnits[Products],$A58, tblHuaweiUnits[cv_2019]) + SUMIF(tblTencentUnits[Products],$A58, tblTencentUnits[cv_2019]) + SUMIF(tblBaiduUnits[Products],$A58, tblBaiduUnits[cv_2019]) + SUMIF(tblByteDanceUnits[Products],$A58, tblByteDanceUnits[cv_2019]) + SUMIF(tblCloudAOUnits[Products],$A58, tblCloudAOUnits[cv_2019]) + SUMIF(tblTelecomUnits[Products],$A58, tblTelecomUnits[cv_2019]) + SUMIF(tblEnterpriseUnits[Products],$A58, tblEnterpriseUnits[cv_2019])</f>
        <v>3000</v>
      </c>
      <c r="D58" s="8">
        <f xml:space="preserve"> SUMIF(tblGoogleUnits[Products],$A58, tblGoogleUnits[cv_2020]) + SUMIF(tblMetaUnits[Products],$A58, tblMetaUnits[cv_2020]) + SUMIF(tblAmazonUnits[Products],$A58, tblAmazonUnits[cv_2020]) + SUMIF(tblMicrosoftUnits[Products],$A58, tblMicrosoftUnits[cv_2020]) + SUMIF(tblAppleUnits[Products],$A58, tblAppleUnits[cv_2020]) + SUMIF(tblAlibabaUnits[Products],$A58, tblAlibabaUnits[cv_2020]) + SUMIF(tblHuaweiUnits[Products],$A58, tblHuaweiUnits[cv_2020]) + SUMIF(tblTencentUnits[Products],$A58, tblTencentUnits[cv_2020]) + SUMIF(tblBaiduUnits[Products],$A58, tblBaiduUnits[cv_2020]) + SUMIF(tblByteDanceUnits[Products],$A58, tblByteDanceUnits[cv_2020]) + SUMIF(tblCloudAOUnits[Products],$A58, tblCloudAOUnits[cv_2020]) + SUMIF(tblTelecomUnits[Products],$A58, tblTelecomUnits[cv_2020]) + SUMIF(tblEnterpriseUnits[Products],$A58, tblEnterpriseUnits[cv_2020])</f>
        <v>0</v>
      </c>
      <c r="E58" s="8">
        <f xml:space="preserve"> SUMIF(tblGoogleUnits[Products],$A58, tblGoogleUnits[cv_2021]) + SUMIF(tblMetaUnits[Products],$A58, tblMetaUnits[cv_2021]) + SUMIF(tblAmazonUnits[Products],$A58, tblAmazonUnits[cv_2021]) + SUMIF(tblMicrosoftUnits[Products],$A58, tblMicrosoftUnits[cv_2021]) + SUMIF(tblAppleUnits[Products],$A58, tblAppleUnits[cv_2021]) + SUMIF(tblAlibabaUnits[Products],$A58, tblAlibabaUnits[cv_2021]) + SUMIF(tblHuaweiUnits[Products],$A58, tblHuaweiUnits[cv_2021]) + SUMIF(tblTencentUnits[Products],$A58, tblTencentUnits[cv_2021]) + SUMIF(tblBaiduUnits[Products],$A58, tblBaiduUnits[cv_2021]) + SUMIF(tblByteDanceUnits[Products],$A58, tblByteDanceUnits[cv_2021]) + SUMIF(tblCloudAOUnits[Products],$A58, tblCloudAOUnits[cv_2021]) + SUMIF(tblTelecomUnits[Products],$A58, tblTelecomUnits[cv_2021]) + SUMIF(tblEnterpriseUnits[Products],$A58, tblEnterpriseUnits[cv_2021])</f>
        <v>0</v>
      </c>
      <c r="F58" s="8">
        <f xml:space="preserve"> SUMIF(tblGoogleUnits[Products],$A58, tblGoogleUnits[cv_2022]) + SUMIF(tblMetaUnits[Products],$A58, tblMetaUnits[cv_2022]) + SUMIF(tblAmazonUnits[Products],$A58, tblAmazonUnits[cv_2022]) + SUMIF(tblMicrosoftUnits[Products],$A58, tblMicrosoftUnits[cv_2022]) + SUMIF(tblAppleUnits[Products],$A58, tblAppleUnits[cv_2022]) + SUMIF(tblAlibabaUnits[Products],$A58, tblAlibabaUnits[cv_2022]) + SUMIF(tblHuaweiUnits[Products],$A58, tblHuaweiUnits[cv_2022]) + SUMIF(tblTencentUnits[Products],$A58, tblTencentUnits[cv_2022]) + SUMIF(tblBaiduUnits[Products],$A58, tblBaiduUnits[cv_2022]) + SUMIF(tblByteDanceUnits[Products],$A58, tblByteDanceUnits[cv_2022]) + SUMIF(tblCloudAOUnits[Products],$A58, tblCloudAOUnits[cv_2022]) + SUMIF(tblTelecomUnits[Products],$A58, tblTelecomUnits[cv_2022]) + SUMIF(tblEnterpriseUnits[Products],$A58, tblEnterpriseUnits[cv_2022])</f>
        <v>0</v>
      </c>
      <c r="G58" s="8">
        <f xml:space="preserve"> SUMIF(tblGoogleUnits[Products],$A58, tblGoogleUnits[cv_2023]) + SUMIF(tblMetaUnits[Products],$A58, tblMetaUnits[cv_2023]) + SUMIF(tblAmazonUnits[Products],$A58, tblAmazonUnits[cv_2023]) + SUMIF(tblMicrosoftUnits[Products],$A58, tblMicrosoftUnits[cv_2023]) + SUMIF(tblAppleUnits[Products],$A58, tblAppleUnits[cv_2023]) + SUMIF(tblAlibabaUnits[Products],$A58, tblAlibabaUnits[cv_2023]) + SUMIF(tblHuaweiUnits[Products],$A58, tblHuaweiUnits[cv_2023]) + SUMIF(tblTencentUnits[Products],$A58, tblTencentUnits[cv_2023]) + SUMIF(tblBaiduUnits[Products],$A58, tblBaiduUnits[cv_2023]) + SUMIF(tblByteDanceUnits[Products],$A58, tblByteDanceUnits[cv_2023]) + SUMIF(tblCloudAOUnits[Products],$A58, tblCloudAOUnits[cv_2023]) + SUMIF(tblTelecomUnits[Products],$A58, tblTelecomUnits[cv_2023]) + SUMIF(tblEnterpriseUnits[Products],$A58, tblEnterpriseUnits[cv_2023])</f>
        <v>0</v>
      </c>
      <c r="H58" s="8">
        <f xml:space="preserve"> SUMIF(tblGoogleUnits[Products],$A58, tblGoogleUnits[cv_2024]) + SUMIF(tblMetaUnits[Products],$A58, tblMetaUnits[cv_2024]) + SUMIF(tblAmazonUnits[Products],$A58, tblAmazonUnits[cv_2024]) + SUMIF(tblMicrosoftUnits[Products],$A58, tblMicrosoftUnits[cv_2024]) + SUMIF(tblAppleUnits[Products],$A58, tblAppleUnits[cv_2024]) + SUMIF(tblAlibabaUnits[Products],$A58, tblAlibabaUnits[cv_2024]) + SUMIF(tblHuaweiUnits[Products],$A58, tblHuaweiUnits[cv_2024]) + SUMIF(tblTencentUnits[Products],$A58, tblTencentUnits[cv_2024]) + SUMIF(tblBaiduUnits[Products],$A58, tblBaiduUnits[cv_2024]) + SUMIF(tblByteDanceUnits[Products],$A58, tblByteDanceUnits[cv_2024]) + SUMIF(tblCloudAOUnits[Products],$A58, tblCloudAOUnits[cv_2024]) + SUMIF(tblTelecomUnits[Products],$A58, tblTelecomUnits[cv_2024]) + SUMIF(tblEnterpriseUnits[Products],$A58, tblEnterpriseUnits[cv_2024])</f>
        <v>0</v>
      </c>
      <c r="I58" s="8">
        <f xml:space="preserve"> SUMIF(tblGoogleUnits[Products],$A58, tblGoogleUnits[cv_2025]) + SUMIF(tblMetaUnits[Products],$A58, tblMetaUnits[cv_2025]) + SUMIF(tblAmazonUnits[Products],$A58, tblAmazonUnits[cv_2025]) + SUMIF(tblMicrosoftUnits[Products],$A58, tblMicrosoftUnits[cv_2025]) + SUMIF(tblAppleUnits[Products],$A58, tblAppleUnits[cv_2025]) + SUMIF(tblAlibabaUnits[Products],$A58, tblAlibabaUnits[cv_2025]) + SUMIF(tblHuaweiUnits[Products],$A58, tblHuaweiUnits[cv_2025]) + SUMIF(tblTencentUnits[Products],$A58, tblTencentUnits[cv_2025]) + SUMIF(tblBaiduUnits[Products],$A58, tblBaiduUnits[cv_2025]) + SUMIF(tblByteDanceUnits[Products],$A58, tblByteDanceUnits[cv_2025]) + SUMIF(tblCloudAOUnits[Products],$A58, tblCloudAOUnits[cv_2025]) + SUMIF(tblTelecomUnits[Products],$A58, tblTelecomUnits[cv_2025]) + SUMIF(tblEnterpriseUnits[Products],$A58, tblEnterpriseUnits[cv_2025])</f>
        <v>0</v>
      </c>
      <c r="J58" s="8">
        <f xml:space="preserve"> SUMIF(tblGoogleUnits[Products],$A58, tblGoogleUnits[cv_2026]) + SUMIF(tblMetaUnits[Products],$A58, tblMetaUnits[cv_2026]) + SUMIF(tblAmazonUnits[Products],$A58, tblAmazonUnits[cv_2026]) + SUMIF(tblMicrosoftUnits[Products],$A58, tblMicrosoftUnits[cv_2026]) + SUMIF(tblAppleUnits[Products],$A58, tblAppleUnits[cv_2026]) + SUMIF(tblAlibabaUnits[Products],$A58, tblAlibabaUnits[cv_2026]) + SUMIF(tblHuaweiUnits[Products],$A58, tblHuaweiUnits[cv_2026]) + SUMIF(tblTencentUnits[Products],$A58, tblTencentUnits[cv_2026]) + SUMIF(tblBaiduUnits[Products],$A58, tblBaiduUnits[cv_2026]) + SUMIF(tblByteDanceUnits[Products],$A58, tblByteDanceUnits[cv_2026]) + SUMIF(tblCloudAOUnits[Products],$A58, tblCloudAOUnits[cv_2026]) + SUMIF(tblTelecomUnits[Products],$A58, tblTelecomUnits[cv_2026]) + SUMIF(tblEnterpriseUnits[Products],$A58, tblEnterpriseUnits[cv_2026])</f>
        <v>0</v>
      </c>
      <c r="K58" s="8">
        <f xml:space="preserve"> SUMIF(tblGoogleUnits[Products],$A58, tblGoogleUnits[cv_2027]) + SUMIF(tblMetaUnits[Products],$A58, tblMetaUnits[cv_2027]) + SUMIF(tblAmazonUnits[Products],$A58, tblAmazonUnits[cv_2027]) + SUMIF(tblMicrosoftUnits[Products],$A58, tblMicrosoftUnits[cv_2027]) + SUMIF(tblAppleUnits[Products],$A58, tblAppleUnits[cv_2027]) + SUMIF(tblAlibabaUnits[Products],$A58, tblAlibabaUnits[cv_2027]) + SUMIF(tblHuaweiUnits[Products],$A58, tblHuaweiUnits[cv_2027]) + SUMIF(tblTencentUnits[Products],$A58, tblTencentUnits[cv_2027]) + SUMIF(tblBaiduUnits[Products],$A58, tblBaiduUnits[cv_2027]) + SUMIF(tblByteDanceUnits[Products],$A58, tblByteDanceUnits[cv_2027]) + SUMIF(tblCloudAOUnits[Products],$A58, tblCloudAOUnits[cv_2027]) + SUMIF(tblTelecomUnits[Products],$A58, tblTelecomUnits[cv_2027]) + SUMIF(tblEnterpriseUnits[Products],$A58, tblEnterpriseUnits[cv_2027])</f>
        <v>0</v>
      </c>
      <c r="L58" s="8">
        <f xml:space="preserve"> SUMIF(tblGoogleUnits[Products],$A58, tblGoogleUnits[cv_2028]) + SUMIF(tblMetaUnits[Products],$A58, tblMetaUnits[cv_2028]) + SUMIF(tblAmazonUnits[Products],$A58, tblAmazonUnits[cv_2028]) + SUMIF(tblMicrosoftUnits[Products],$A58, tblMicrosoftUnits[cv_2028]) + SUMIF(tblAppleUnits[Products],$A58, tblAppleUnits[cv_2028]) + SUMIF(tblAlibabaUnits[Products],$A58, tblAlibabaUnits[cv_2028]) + SUMIF(tblHuaweiUnits[Products],$A58, tblHuaweiUnits[cv_2028]) + SUMIF(tblTencentUnits[Products],$A58, tblTencentUnits[cv_2028]) + SUMIF(tblBaiduUnits[Products],$A58, tblBaiduUnits[cv_2028]) + SUMIF(tblByteDanceUnits[Products],$A58, tblByteDanceUnits[cv_2028]) + SUMIF(tblCloudAOUnits[Products],$A58, tblCloudAOUnits[cv_2028]) + SUMIF(tblTelecomUnits[Products],$A58, tblTelecomUnits[cv_2028]) + SUMIF(tblEnterpriseUnits[Products],$A58, tblEnterpriseUnits[cv_2028])</f>
        <v>0</v>
      </c>
      <c r="M58" s="105" cm="1">
        <f t="array" ref="M58">INDEX(tblPrices[cv_2018], MATCH($A58,tblPrices[Products],0), 0)</f>
        <v>1018.9069493521796</v>
      </c>
      <c r="N58" s="105" cm="1">
        <f t="array" ref="N58">INDEX(tblPrices[cv_2019], MATCH($A58,tblPrices[Products],0), 0)</f>
        <v>1000</v>
      </c>
      <c r="O58" s="105" cm="1">
        <f t="array" ref="O58">INDEX(tblPrices[cv_2020], MATCH($A58,tblPrices[Products],0), 0)</f>
        <v>0</v>
      </c>
      <c r="P58" s="105" cm="1">
        <f t="array" ref="P58">INDEX(tblPrices[cv_2021], MATCH($A58,tblPrices[Products],0), 0)</f>
        <v>0</v>
      </c>
      <c r="Q58" s="105" cm="1">
        <f t="array" ref="Q58">INDEX(tblPrices[cv_2022], MATCH($A58,tblPrices[Products],0), 0)</f>
        <v>0</v>
      </c>
      <c r="R58" s="105" cm="1">
        <f t="array" ref="R58">INDEX(tblPrices[cv_2023], MATCH($A58,tblPrices[Products],0), 0)</f>
        <v>0</v>
      </c>
      <c r="S58" s="105" cm="1">
        <f t="array" ref="S58">INDEX(tblPrices[cv_2024], MATCH($A58,tblPrices[Products],0), 0)</f>
        <v>0</v>
      </c>
      <c r="T58" s="105" cm="1">
        <f t="array" ref="T58">INDEX(tblPrices[cv_2025], MATCH($A58,tblPrices[Products],0), 0)</f>
        <v>0</v>
      </c>
      <c r="U58" s="105" cm="1">
        <f t="array" ref="U58">INDEX(tblPrices[cv_2026], MATCH($A58,tblPrices[Products],0), 0)</f>
        <v>0</v>
      </c>
      <c r="V58" s="105" cm="1">
        <f t="array" ref="V58">INDEX(tblPrices[cv_2027], MATCH($A58,tblPrices[Products],0), 0)</f>
        <v>0</v>
      </c>
      <c r="W58" s="105" cm="1">
        <f t="array" ref="W58">INDEX(tblPrices[cv_2028], MATCH($A58,tblPrices[Products],0), 0)</f>
        <v>0</v>
      </c>
      <c r="X58" s="106" cm="1">
        <f t="array" ref="X58">INDEX(tblPrices[cv_2018], MATCH($A58,tblPrices[Products],0), 0)* tblForecast[[#This Row],[un_2018]]/10^6</f>
        <v>5.1903120000000031</v>
      </c>
      <c r="Y58" s="106" cm="1">
        <f t="array" ref="Y58">INDEX(tblPrices[cv_2019], MATCH($A58,tblPrices[Products],0), 0)* tblForecast[[#This Row],[un_2019]]/10^6</f>
        <v>3</v>
      </c>
      <c r="Z58" s="106" cm="1">
        <f t="array" ref="Z58">INDEX(tblPrices[cv_2020], MATCH($A58,tblPrices[Products],0), 0)* tblForecast[[#This Row],[un_2020]]/10^6</f>
        <v>0</v>
      </c>
      <c r="AA58" s="106" cm="1">
        <f t="array" ref="AA58">INDEX(tblPrices[cv_2021], MATCH($A58,tblPrices[Products],0), 0)* tblForecast[[#This Row],[un_2021]]/10^6</f>
        <v>0</v>
      </c>
      <c r="AB58" s="106" cm="1">
        <f t="array" ref="AB58">INDEX(tblPrices[cv_2022], MATCH($A58,tblPrices[Products],0), 0)* tblForecast[[#This Row],[un_2022]]/10^6</f>
        <v>0</v>
      </c>
      <c r="AC58" s="106" cm="1">
        <f t="array" ref="AC58">INDEX(tblPrices[cv_2023], MATCH($A58,tblPrices[Products],0), 0)* tblForecast[[#This Row],[un_2023]]/10^6</f>
        <v>0</v>
      </c>
      <c r="AD58" s="106" cm="1">
        <f t="array" ref="AD58">INDEX(tblPrices[cv_2024], MATCH($A58,tblPrices[Products],0), 0)* tblForecast[[#This Row],[un_2024]]/10^6</f>
        <v>0</v>
      </c>
      <c r="AE58" s="106" cm="1">
        <f t="array" ref="AE58">INDEX(tblPrices[cv_2025], MATCH($A58,tblPrices[Products],0), 0)* tblForecast[[#This Row],[un_2025]]/10^6</f>
        <v>0</v>
      </c>
      <c r="AF58" s="106" cm="1">
        <f t="array" ref="AF58">INDEX(tblPrices[cv_2026], MATCH($A58,tblPrices[Products],0), 0)* tblForecast[[#This Row],[un_2026]]/10^6</f>
        <v>0</v>
      </c>
      <c r="AG58" s="106" cm="1">
        <f t="array" ref="AG58">INDEX(tblPrices[cv_2027], MATCH($A58,tblPrices[Products],0), 0)* tblForecast[[#This Row],[un_2027]]/10^6</f>
        <v>0</v>
      </c>
      <c r="AH58" s="106" cm="1">
        <f t="array" ref="AH58">INDEX(tblPrices[cv_2028], MATCH($A58,tblPrices[Products],0), 0)* tblForecast[[#This Row],[un_2028]]/10^6</f>
        <v>0</v>
      </c>
      <c r="AI58" s="60">
        <f>VLOOKUP(A58,Products!$A$11:$F$110,6,FALSE)</f>
        <v>100</v>
      </c>
    </row>
    <row r="59" spans="1:35">
      <c r="A59" s="12" t="s">
        <v>179</v>
      </c>
      <c r="B59" s="8">
        <f xml:space="preserve"> SUMIF(tblGoogleUnits[Products],$A59, tblGoogleUnits[cv_2018]) + SUMIF(tblMetaUnits[Products],$A59, tblMetaUnits[cv_2018]) + SUMIF(tblAmazonUnits[Products],$A59, tblAmazonUnits[cv_2018]) + SUMIF(tblMicrosoftUnits[Products],$A59, tblMicrosoftUnits[cv_2018]) + SUMIF(tblAppleUnits[Products],$A59, tblAppleUnits[cv_2018]) + SUMIF(tblAlibabaUnits[Products],$A59, tblAlibabaUnits[cv_2018]) + SUMIF(tblHuaweiUnits[Products],$A59, tblHuaweiUnits[cv_2018]) + SUMIF(tblTencentUnits[Products],$A59, tblTencentUnits[cv_2018]) + SUMIF(tblBaiduUnits[Products],$A59, tblBaiduUnits[cv_2018]) + SUMIF(tblByteDanceUnits[Products],$A59, tblByteDanceUnits[cv_2018]) + SUMIF(tblCloudAOUnits[Products],$A59, tblCloudAOUnits[cv_2018]) + SUMIF(tblTelecomUnits[Products],$A59, tblTelecomUnits[cv_2018]) + SUMIF(tblEnterpriseUnits[Products],$A59, tblEnterpriseUnits[cv_2018])</f>
        <v>2000</v>
      </c>
      <c r="C59" s="8">
        <f xml:space="preserve"> SUMIF(tblGoogleUnits[Products],$A59, tblGoogleUnits[cv_2019]) + SUMIF(tblMetaUnits[Products],$A59, tblMetaUnits[cv_2019]) + SUMIF(tblAmazonUnits[Products],$A59, tblAmazonUnits[cv_2019]) + SUMIF(tblMicrosoftUnits[Products],$A59, tblMicrosoftUnits[cv_2019]) + SUMIF(tblAppleUnits[Products],$A59, tblAppleUnits[cv_2019]) + SUMIF(tblAlibabaUnits[Products],$A59, tblAlibabaUnits[cv_2019]) + SUMIF(tblHuaweiUnits[Products],$A59, tblHuaweiUnits[cv_2019]) + SUMIF(tblTencentUnits[Products],$A59, tblTencentUnits[cv_2019]) + SUMIF(tblBaiduUnits[Products],$A59, tblBaiduUnits[cv_2019]) + SUMIF(tblByteDanceUnits[Products],$A59, tblByteDanceUnits[cv_2019]) + SUMIF(tblCloudAOUnits[Products],$A59, tblCloudAOUnits[cv_2019]) + SUMIF(tblTelecomUnits[Products],$A59, tblTelecomUnits[cv_2019]) + SUMIF(tblEnterpriseUnits[Products],$A59, tblEnterpriseUnits[cv_2019])</f>
        <v>1662.8911414720139</v>
      </c>
      <c r="D59" s="8">
        <f xml:space="preserve"> SUMIF(tblGoogleUnits[Products],$A59, tblGoogleUnits[cv_2020]) + SUMIF(tblMetaUnits[Products],$A59, tblMetaUnits[cv_2020]) + SUMIF(tblAmazonUnits[Products],$A59, tblAmazonUnits[cv_2020]) + SUMIF(tblMicrosoftUnits[Products],$A59, tblMicrosoftUnits[cv_2020]) + SUMIF(tblAppleUnits[Products],$A59, tblAppleUnits[cv_2020]) + SUMIF(tblAlibabaUnits[Products],$A59, tblAlibabaUnits[cv_2020]) + SUMIF(tblHuaweiUnits[Products],$A59, tblHuaweiUnits[cv_2020]) + SUMIF(tblTencentUnits[Products],$A59, tblTencentUnits[cv_2020]) + SUMIF(tblBaiduUnits[Products],$A59, tblBaiduUnits[cv_2020]) + SUMIF(tblByteDanceUnits[Products],$A59, tblByteDanceUnits[cv_2020]) + SUMIF(tblCloudAOUnits[Products],$A59, tblCloudAOUnits[cv_2020]) + SUMIF(tblTelecomUnits[Products],$A59, tblTelecomUnits[cv_2020]) + SUMIF(tblEnterpriseUnits[Products],$A59, tblEnterpriseUnits[cv_2020])</f>
        <v>0</v>
      </c>
      <c r="E59" s="8">
        <f xml:space="preserve"> SUMIF(tblGoogleUnits[Products],$A59, tblGoogleUnits[cv_2021]) + SUMIF(tblMetaUnits[Products],$A59, tblMetaUnits[cv_2021]) + SUMIF(tblAmazonUnits[Products],$A59, tblAmazonUnits[cv_2021]) + SUMIF(tblMicrosoftUnits[Products],$A59, tblMicrosoftUnits[cv_2021]) + SUMIF(tblAppleUnits[Products],$A59, tblAppleUnits[cv_2021]) + SUMIF(tblAlibabaUnits[Products],$A59, tblAlibabaUnits[cv_2021]) + SUMIF(tblHuaweiUnits[Products],$A59, tblHuaweiUnits[cv_2021]) + SUMIF(tblTencentUnits[Products],$A59, tblTencentUnits[cv_2021]) + SUMIF(tblBaiduUnits[Products],$A59, tblBaiduUnits[cv_2021]) + SUMIF(tblByteDanceUnits[Products],$A59, tblByteDanceUnits[cv_2021]) + SUMIF(tblCloudAOUnits[Products],$A59, tblCloudAOUnits[cv_2021]) + SUMIF(tblTelecomUnits[Products],$A59, tblTelecomUnits[cv_2021]) + SUMIF(tblEnterpriseUnits[Products],$A59, tblEnterpriseUnits[cv_2021])</f>
        <v>0</v>
      </c>
      <c r="F59" s="8">
        <f xml:space="preserve"> SUMIF(tblGoogleUnits[Products],$A59, tblGoogleUnits[cv_2022]) + SUMIF(tblMetaUnits[Products],$A59, tblMetaUnits[cv_2022]) + SUMIF(tblAmazonUnits[Products],$A59, tblAmazonUnits[cv_2022]) + SUMIF(tblMicrosoftUnits[Products],$A59, tblMicrosoftUnits[cv_2022]) + SUMIF(tblAppleUnits[Products],$A59, tblAppleUnits[cv_2022]) + SUMIF(tblAlibabaUnits[Products],$A59, tblAlibabaUnits[cv_2022]) + SUMIF(tblHuaweiUnits[Products],$A59, tblHuaweiUnits[cv_2022]) + SUMIF(tblTencentUnits[Products],$A59, tblTencentUnits[cv_2022]) + SUMIF(tblBaiduUnits[Products],$A59, tblBaiduUnits[cv_2022]) + SUMIF(tblByteDanceUnits[Products],$A59, tblByteDanceUnits[cv_2022]) + SUMIF(tblCloudAOUnits[Products],$A59, tblCloudAOUnits[cv_2022]) + SUMIF(tblTelecomUnits[Products],$A59, tblTelecomUnits[cv_2022]) + SUMIF(tblEnterpriseUnits[Products],$A59, tblEnterpriseUnits[cv_2022])</f>
        <v>0</v>
      </c>
      <c r="G59" s="8">
        <f xml:space="preserve"> SUMIF(tblGoogleUnits[Products],$A59, tblGoogleUnits[cv_2023]) + SUMIF(tblMetaUnits[Products],$A59, tblMetaUnits[cv_2023]) + SUMIF(tblAmazonUnits[Products],$A59, tblAmazonUnits[cv_2023]) + SUMIF(tblMicrosoftUnits[Products],$A59, tblMicrosoftUnits[cv_2023]) + SUMIF(tblAppleUnits[Products],$A59, tblAppleUnits[cv_2023]) + SUMIF(tblAlibabaUnits[Products],$A59, tblAlibabaUnits[cv_2023]) + SUMIF(tblHuaweiUnits[Products],$A59, tblHuaweiUnits[cv_2023]) + SUMIF(tblTencentUnits[Products],$A59, tblTencentUnits[cv_2023]) + SUMIF(tblBaiduUnits[Products],$A59, tblBaiduUnits[cv_2023]) + SUMIF(tblByteDanceUnits[Products],$A59, tblByteDanceUnits[cv_2023]) + SUMIF(tblCloudAOUnits[Products],$A59, tblCloudAOUnits[cv_2023]) + SUMIF(tblTelecomUnits[Products],$A59, tblTelecomUnits[cv_2023]) + SUMIF(tblEnterpriseUnits[Products],$A59, tblEnterpriseUnits[cv_2023])</f>
        <v>0</v>
      </c>
      <c r="H59" s="8">
        <f xml:space="preserve"> SUMIF(tblGoogleUnits[Products],$A59, tblGoogleUnits[cv_2024]) + SUMIF(tblMetaUnits[Products],$A59, tblMetaUnits[cv_2024]) + SUMIF(tblAmazonUnits[Products],$A59, tblAmazonUnits[cv_2024]) + SUMIF(tblMicrosoftUnits[Products],$A59, tblMicrosoftUnits[cv_2024]) + SUMIF(tblAppleUnits[Products],$A59, tblAppleUnits[cv_2024]) + SUMIF(tblAlibabaUnits[Products],$A59, tblAlibabaUnits[cv_2024]) + SUMIF(tblHuaweiUnits[Products],$A59, tblHuaweiUnits[cv_2024]) + SUMIF(tblTencentUnits[Products],$A59, tblTencentUnits[cv_2024]) + SUMIF(tblBaiduUnits[Products],$A59, tblBaiduUnits[cv_2024]) + SUMIF(tblByteDanceUnits[Products],$A59, tblByteDanceUnits[cv_2024]) + SUMIF(tblCloudAOUnits[Products],$A59, tblCloudAOUnits[cv_2024]) + SUMIF(tblTelecomUnits[Products],$A59, tblTelecomUnits[cv_2024]) + SUMIF(tblEnterpriseUnits[Products],$A59, tblEnterpriseUnits[cv_2024])</f>
        <v>0</v>
      </c>
      <c r="I59" s="8">
        <f xml:space="preserve"> SUMIF(tblGoogleUnits[Products],$A59, tblGoogleUnits[cv_2025]) + SUMIF(tblMetaUnits[Products],$A59, tblMetaUnits[cv_2025]) + SUMIF(tblAmazonUnits[Products],$A59, tblAmazonUnits[cv_2025]) + SUMIF(tblMicrosoftUnits[Products],$A59, tblMicrosoftUnits[cv_2025]) + SUMIF(tblAppleUnits[Products],$A59, tblAppleUnits[cv_2025]) + SUMIF(tblAlibabaUnits[Products],$A59, tblAlibabaUnits[cv_2025]) + SUMIF(tblHuaweiUnits[Products],$A59, tblHuaweiUnits[cv_2025]) + SUMIF(tblTencentUnits[Products],$A59, tblTencentUnits[cv_2025]) + SUMIF(tblBaiduUnits[Products],$A59, tblBaiduUnits[cv_2025]) + SUMIF(tblByteDanceUnits[Products],$A59, tblByteDanceUnits[cv_2025]) + SUMIF(tblCloudAOUnits[Products],$A59, tblCloudAOUnits[cv_2025]) + SUMIF(tblTelecomUnits[Products],$A59, tblTelecomUnits[cv_2025]) + SUMIF(tblEnterpriseUnits[Products],$A59, tblEnterpriseUnits[cv_2025])</f>
        <v>0</v>
      </c>
      <c r="J59" s="8">
        <f xml:space="preserve"> SUMIF(tblGoogleUnits[Products],$A59, tblGoogleUnits[cv_2026]) + SUMIF(tblMetaUnits[Products],$A59, tblMetaUnits[cv_2026]) + SUMIF(tblAmazonUnits[Products],$A59, tblAmazonUnits[cv_2026]) + SUMIF(tblMicrosoftUnits[Products],$A59, tblMicrosoftUnits[cv_2026]) + SUMIF(tblAppleUnits[Products],$A59, tblAppleUnits[cv_2026]) + SUMIF(tblAlibabaUnits[Products],$A59, tblAlibabaUnits[cv_2026]) + SUMIF(tblHuaweiUnits[Products],$A59, tblHuaweiUnits[cv_2026]) + SUMIF(tblTencentUnits[Products],$A59, tblTencentUnits[cv_2026]) + SUMIF(tblBaiduUnits[Products],$A59, tblBaiduUnits[cv_2026]) + SUMIF(tblByteDanceUnits[Products],$A59, tblByteDanceUnits[cv_2026]) + SUMIF(tblCloudAOUnits[Products],$A59, tblCloudAOUnits[cv_2026]) + SUMIF(tblTelecomUnits[Products],$A59, tblTelecomUnits[cv_2026]) + SUMIF(tblEnterpriseUnits[Products],$A59, tblEnterpriseUnits[cv_2026])</f>
        <v>0</v>
      </c>
      <c r="K59" s="8">
        <f xml:space="preserve"> SUMIF(tblGoogleUnits[Products],$A59, tblGoogleUnits[cv_2027]) + SUMIF(tblMetaUnits[Products],$A59, tblMetaUnits[cv_2027]) + SUMIF(tblAmazonUnits[Products],$A59, tblAmazonUnits[cv_2027]) + SUMIF(tblMicrosoftUnits[Products],$A59, tblMicrosoftUnits[cv_2027]) + SUMIF(tblAppleUnits[Products],$A59, tblAppleUnits[cv_2027]) + SUMIF(tblAlibabaUnits[Products],$A59, tblAlibabaUnits[cv_2027]) + SUMIF(tblHuaweiUnits[Products],$A59, tblHuaweiUnits[cv_2027]) + SUMIF(tblTencentUnits[Products],$A59, tblTencentUnits[cv_2027]) + SUMIF(tblBaiduUnits[Products],$A59, tblBaiduUnits[cv_2027]) + SUMIF(tblByteDanceUnits[Products],$A59, tblByteDanceUnits[cv_2027]) + SUMIF(tblCloudAOUnits[Products],$A59, tblCloudAOUnits[cv_2027]) + SUMIF(tblTelecomUnits[Products],$A59, tblTelecomUnits[cv_2027]) + SUMIF(tblEnterpriseUnits[Products],$A59, tblEnterpriseUnits[cv_2027])</f>
        <v>0</v>
      </c>
      <c r="L59" s="8">
        <f xml:space="preserve"> SUMIF(tblGoogleUnits[Products],$A59, tblGoogleUnits[cv_2028]) + SUMIF(tblMetaUnits[Products],$A59, tblMetaUnits[cv_2028]) + SUMIF(tblAmazonUnits[Products],$A59, tblAmazonUnits[cv_2028]) + SUMIF(tblMicrosoftUnits[Products],$A59, tblMicrosoftUnits[cv_2028]) + SUMIF(tblAppleUnits[Products],$A59, tblAppleUnits[cv_2028]) + SUMIF(tblAlibabaUnits[Products],$A59, tblAlibabaUnits[cv_2028]) + SUMIF(tblHuaweiUnits[Products],$A59, tblHuaweiUnits[cv_2028]) + SUMIF(tblTencentUnits[Products],$A59, tblTencentUnits[cv_2028]) + SUMIF(tblBaiduUnits[Products],$A59, tblBaiduUnits[cv_2028]) + SUMIF(tblByteDanceUnits[Products],$A59, tblByteDanceUnits[cv_2028]) + SUMIF(tblCloudAOUnits[Products],$A59, tblCloudAOUnits[cv_2028]) + SUMIF(tblTelecomUnits[Products],$A59, tblTelecomUnits[cv_2028]) + SUMIF(tblEnterpriseUnits[Products],$A59, tblEnterpriseUnits[cv_2028])</f>
        <v>0</v>
      </c>
      <c r="M59" s="105" cm="1">
        <f t="array" ref="M59">INDEX(tblPrices[cv_2018], MATCH($A59,tblPrices[Products],0), 0)</f>
        <v>1004.0468400000002</v>
      </c>
      <c r="N59" s="105" cm="1">
        <f t="array" ref="N59">INDEX(tblPrices[cv_2019], MATCH($A59,tblPrices[Products],0), 0)</f>
        <v>903.64215600000023</v>
      </c>
      <c r="O59" s="105" cm="1">
        <f t="array" ref="O59">INDEX(tblPrices[cv_2020], MATCH($A59,tblPrices[Products],0), 0)</f>
        <v>0</v>
      </c>
      <c r="P59" s="105" cm="1">
        <f t="array" ref="P59">INDEX(tblPrices[cv_2021], MATCH($A59,tblPrices[Products],0), 0)</f>
        <v>0</v>
      </c>
      <c r="Q59" s="105" cm="1">
        <f t="array" ref="Q59">INDEX(tblPrices[cv_2022], MATCH($A59,tblPrices[Products],0), 0)</f>
        <v>0</v>
      </c>
      <c r="R59" s="105" cm="1">
        <f t="array" ref="R59">INDEX(tblPrices[cv_2023], MATCH($A59,tblPrices[Products],0), 0)</f>
        <v>0</v>
      </c>
      <c r="S59" s="105" cm="1">
        <f t="array" ref="S59">INDEX(tblPrices[cv_2024], MATCH($A59,tblPrices[Products],0), 0)</f>
        <v>0</v>
      </c>
      <c r="T59" s="105" cm="1">
        <f t="array" ref="T59">INDEX(tblPrices[cv_2025], MATCH($A59,tblPrices[Products],0), 0)</f>
        <v>0</v>
      </c>
      <c r="U59" s="105" cm="1">
        <f t="array" ref="U59">INDEX(tblPrices[cv_2026], MATCH($A59,tblPrices[Products],0), 0)</f>
        <v>0</v>
      </c>
      <c r="V59" s="105" cm="1">
        <f t="array" ref="V59">INDEX(tblPrices[cv_2027], MATCH($A59,tblPrices[Products],0), 0)</f>
        <v>0</v>
      </c>
      <c r="W59" s="105" cm="1">
        <f t="array" ref="W59">INDEX(tblPrices[cv_2028], MATCH($A59,tblPrices[Products],0), 0)</f>
        <v>0</v>
      </c>
      <c r="X59" s="106" cm="1">
        <f t="array" ref="X59">INDEX(tblPrices[cv_2018], MATCH($A59,tblPrices[Products],0), 0)* tblForecast[[#This Row],[un_2018]]/10^6</f>
        <v>2.0080936800000004</v>
      </c>
      <c r="Y59" s="106" cm="1">
        <f t="array" ref="Y59">INDEX(tblPrices[cv_2019], MATCH($A59,tblPrices[Products],0), 0)* tblForecast[[#This Row],[un_2019]]/10^6</f>
        <v>1.502658536273072</v>
      </c>
      <c r="Z59" s="106" cm="1">
        <f t="array" ref="Z59">INDEX(tblPrices[cv_2020], MATCH($A59,tblPrices[Products],0), 0)* tblForecast[[#This Row],[un_2020]]/10^6</f>
        <v>0</v>
      </c>
      <c r="AA59" s="106" cm="1">
        <f t="array" ref="AA59">INDEX(tblPrices[cv_2021], MATCH($A59,tblPrices[Products],0), 0)* tblForecast[[#This Row],[un_2021]]/10^6</f>
        <v>0</v>
      </c>
      <c r="AB59" s="106" cm="1">
        <f t="array" ref="AB59">INDEX(tblPrices[cv_2022], MATCH($A59,tblPrices[Products],0), 0)* tblForecast[[#This Row],[un_2022]]/10^6</f>
        <v>0</v>
      </c>
      <c r="AC59" s="106" cm="1">
        <f t="array" ref="AC59">INDEX(tblPrices[cv_2023], MATCH($A59,tblPrices[Products],0), 0)* tblForecast[[#This Row],[un_2023]]/10^6</f>
        <v>0</v>
      </c>
      <c r="AD59" s="106" cm="1">
        <f t="array" ref="AD59">INDEX(tblPrices[cv_2024], MATCH($A59,tblPrices[Products],0), 0)* tblForecast[[#This Row],[un_2024]]/10^6</f>
        <v>0</v>
      </c>
      <c r="AE59" s="106" cm="1">
        <f t="array" ref="AE59">INDEX(tblPrices[cv_2025], MATCH($A59,tblPrices[Products],0), 0)* tblForecast[[#This Row],[un_2025]]/10^6</f>
        <v>0</v>
      </c>
      <c r="AF59" s="106" cm="1">
        <f t="array" ref="AF59">INDEX(tblPrices[cv_2026], MATCH($A59,tblPrices[Products],0), 0)* tblForecast[[#This Row],[un_2026]]/10^6</f>
        <v>0</v>
      </c>
      <c r="AG59" s="106" cm="1">
        <f t="array" ref="AG59">INDEX(tblPrices[cv_2027], MATCH($A59,tblPrices[Products],0), 0)* tblForecast[[#This Row],[un_2027]]/10^6</f>
        <v>0</v>
      </c>
      <c r="AH59" s="106" cm="1">
        <f t="array" ref="AH59">INDEX(tblPrices[cv_2028], MATCH($A59,tblPrices[Products],0), 0)* tblForecast[[#This Row],[un_2028]]/10^6</f>
        <v>0</v>
      </c>
      <c r="AI59" s="60">
        <f>VLOOKUP(A59,Products!$A$11:$F$110,6,FALSE)</f>
        <v>100</v>
      </c>
    </row>
    <row r="60" spans="1:35">
      <c r="A60" s="12" t="s">
        <v>3</v>
      </c>
      <c r="B60" s="8">
        <f xml:space="preserve"> SUMIF(tblGoogleUnits[Products],$A60, tblGoogleUnits[cv_2018]) + SUMIF(tblMetaUnits[Products],$A60, tblMetaUnits[cv_2018]) + SUMIF(tblAmazonUnits[Products],$A60, tblAmazonUnits[cv_2018]) + SUMIF(tblMicrosoftUnits[Products],$A60, tblMicrosoftUnits[cv_2018]) + SUMIF(tblAppleUnits[Products],$A60, tblAppleUnits[cv_2018]) + SUMIF(tblAlibabaUnits[Products],$A60, tblAlibabaUnits[cv_2018]) + SUMIF(tblHuaweiUnits[Products],$A60, tblHuaweiUnits[cv_2018]) + SUMIF(tblTencentUnits[Products],$A60, tblTencentUnits[cv_2018]) + SUMIF(tblBaiduUnits[Products],$A60, tblBaiduUnits[cv_2018]) + SUMIF(tblByteDanceUnits[Products],$A60, tblByteDanceUnits[cv_2018]) + SUMIF(tblCloudAOUnits[Products],$A60, tblCloudAOUnits[cv_2018]) + SUMIF(tblTelecomUnits[Products],$A60, tblTelecomUnits[cv_2018]) + SUMIF(tblEnterpriseUnits[Products],$A60, tblEnterpriseUnits[cv_2018])</f>
        <v>1915817</v>
      </c>
      <c r="C60" s="8">
        <f xml:space="preserve"> SUMIF(tblGoogleUnits[Products],$A60, tblGoogleUnits[cv_2019]) + SUMIF(tblMetaUnits[Products],$A60, tblMetaUnits[cv_2019]) + SUMIF(tblAmazonUnits[Products],$A60, tblAmazonUnits[cv_2019]) + SUMIF(tblMicrosoftUnits[Products],$A60, tblMicrosoftUnits[cv_2019]) + SUMIF(tblAppleUnits[Products],$A60, tblAppleUnits[cv_2019]) + SUMIF(tblAlibabaUnits[Products],$A60, tblAlibabaUnits[cv_2019]) + SUMIF(tblHuaweiUnits[Products],$A60, tblHuaweiUnits[cv_2019]) + SUMIF(tblTencentUnits[Products],$A60, tblTencentUnits[cv_2019]) + SUMIF(tblBaiduUnits[Products],$A60, tblBaiduUnits[cv_2019]) + SUMIF(tblByteDanceUnits[Products],$A60, tblByteDanceUnits[cv_2019]) + SUMIF(tblCloudAOUnits[Products],$A60, tblCloudAOUnits[cv_2019]) + SUMIF(tblTelecomUnits[Products],$A60, tblTelecomUnits[cv_2019]) + SUMIF(tblEnterpriseUnits[Products],$A60, tblEnterpriseUnits[cv_2019])</f>
        <v>1978545</v>
      </c>
      <c r="D60" s="8">
        <f xml:space="preserve"> SUMIF(tblGoogleUnits[Products],$A60, tblGoogleUnits[cv_2020]) + SUMIF(tblMetaUnits[Products],$A60, tblMetaUnits[cv_2020]) + SUMIF(tblAmazonUnits[Products],$A60, tblAmazonUnits[cv_2020]) + SUMIF(tblMicrosoftUnits[Products],$A60, tblMicrosoftUnits[cv_2020]) + SUMIF(tblAppleUnits[Products],$A60, tblAppleUnits[cv_2020]) + SUMIF(tblAlibabaUnits[Products],$A60, tblAlibabaUnits[cv_2020]) + SUMIF(tblHuaweiUnits[Products],$A60, tblHuaweiUnits[cv_2020]) + SUMIF(tblTencentUnits[Products],$A60, tblTencentUnits[cv_2020]) + SUMIF(tblBaiduUnits[Products],$A60, tblBaiduUnits[cv_2020]) + SUMIF(tblByteDanceUnits[Products],$A60, tblByteDanceUnits[cv_2020]) + SUMIF(tblCloudAOUnits[Products],$A60, tblCloudAOUnits[cv_2020]) + SUMIF(tblTelecomUnits[Products],$A60, tblTelecomUnits[cv_2020]) + SUMIF(tblEnterpriseUnits[Products],$A60, tblEnterpriseUnits[cv_2020])</f>
        <v>0</v>
      </c>
      <c r="E60" s="8">
        <f xml:space="preserve"> SUMIF(tblGoogleUnits[Products],$A60, tblGoogleUnits[cv_2021]) + SUMIF(tblMetaUnits[Products],$A60, tblMetaUnits[cv_2021]) + SUMIF(tblAmazonUnits[Products],$A60, tblAmazonUnits[cv_2021]) + SUMIF(tblMicrosoftUnits[Products],$A60, tblMicrosoftUnits[cv_2021]) + SUMIF(tblAppleUnits[Products],$A60, tblAppleUnits[cv_2021]) + SUMIF(tblAlibabaUnits[Products],$A60, tblAlibabaUnits[cv_2021]) + SUMIF(tblHuaweiUnits[Products],$A60, tblHuaweiUnits[cv_2021]) + SUMIF(tblTencentUnits[Products],$A60, tblTencentUnits[cv_2021]) + SUMIF(tblBaiduUnits[Products],$A60, tblBaiduUnits[cv_2021]) + SUMIF(tblByteDanceUnits[Products],$A60, tblByteDanceUnits[cv_2021]) + SUMIF(tblCloudAOUnits[Products],$A60, tblCloudAOUnits[cv_2021]) + SUMIF(tblTelecomUnits[Products],$A60, tblTelecomUnits[cv_2021]) + SUMIF(tblEnterpriseUnits[Products],$A60, tblEnterpriseUnits[cv_2021])</f>
        <v>0</v>
      </c>
      <c r="F60" s="8">
        <f xml:space="preserve"> SUMIF(tblGoogleUnits[Products],$A60, tblGoogleUnits[cv_2022]) + SUMIF(tblMetaUnits[Products],$A60, tblMetaUnits[cv_2022]) + SUMIF(tblAmazonUnits[Products],$A60, tblAmazonUnits[cv_2022]) + SUMIF(tblMicrosoftUnits[Products],$A60, tblMicrosoftUnits[cv_2022]) + SUMIF(tblAppleUnits[Products],$A60, tblAppleUnits[cv_2022]) + SUMIF(tblAlibabaUnits[Products],$A60, tblAlibabaUnits[cv_2022]) + SUMIF(tblHuaweiUnits[Products],$A60, tblHuaweiUnits[cv_2022]) + SUMIF(tblTencentUnits[Products],$A60, tblTencentUnits[cv_2022]) + SUMIF(tblBaiduUnits[Products],$A60, tblBaiduUnits[cv_2022]) + SUMIF(tblByteDanceUnits[Products],$A60, tblByteDanceUnits[cv_2022]) + SUMIF(tblCloudAOUnits[Products],$A60, tblCloudAOUnits[cv_2022]) + SUMIF(tblTelecomUnits[Products],$A60, tblTelecomUnits[cv_2022]) + SUMIF(tblEnterpriseUnits[Products],$A60, tblEnterpriseUnits[cv_2022])</f>
        <v>0</v>
      </c>
      <c r="G60" s="8">
        <f xml:space="preserve"> SUMIF(tblGoogleUnits[Products],$A60, tblGoogleUnits[cv_2023]) + SUMIF(tblMetaUnits[Products],$A60, tblMetaUnits[cv_2023]) + SUMIF(tblAmazonUnits[Products],$A60, tblAmazonUnits[cv_2023]) + SUMIF(tblMicrosoftUnits[Products],$A60, tblMicrosoftUnits[cv_2023]) + SUMIF(tblAppleUnits[Products],$A60, tblAppleUnits[cv_2023]) + SUMIF(tblAlibabaUnits[Products],$A60, tblAlibabaUnits[cv_2023]) + SUMIF(tblHuaweiUnits[Products],$A60, tblHuaweiUnits[cv_2023]) + SUMIF(tblTencentUnits[Products],$A60, tblTencentUnits[cv_2023]) + SUMIF(tblBaiduUnits[Products],$A60, tblBaiduUnits[cv_2023]) + SUMIF(tblByteDanceUnits[Products],$A60, tblByteDanceUnits[cv_2023]) + SUMIF(tblCloudAOUnits[Products],$A60, tblCloudAOUnits[cv_2023]) + SUMIF(tblTelecomUnits[Products],$A60, tblTelecomUnits[cv_2023]) + SUMIF(tblEnterpriseUnits[Products],$A60, tblEnterpriseUnits[cv_2023])</f>
        <v>0</v>
      </c>
      <c r="H60" s="8">
        <f xml:space="preserve"> SUMIF(tblGoogleUnits[Products],$A60, tblGoogleUnits[cv_2024]) + SUMIF(tblMetaUnits[Products],$A60, tblMetaUnits[cv_2024]) + SUMIF(tblAmazonUnits[Products],$A60, tblAmazonUnits[cv_2024]) + SUMIF(tblMicrosoftUnits[Products],$A60, tblMicrosoftUnits[cv_2024]) + SUMIF(tblAppleUnits[Products],$A60, tblAppleUnits[cv_2024]) + SUMIF(tblAlibabaUnits[Products],$A60, tblAlibabaUnits[cv_2024]) + SUMIF(tblHuaweiUnits[Products],$A60, tblHuaweiUnits[cv_2024]) + SUMIF(tblTencentUnits[Products],$A60, tblTencentUnits[cv_2024]) + SUMIF(tblBaiduUnits[Products],$A60, tblBaiduUnits[cv_2024]) + SUMIF(tblByteDanceUnits[Products],$A60, tblByteDanceUnits[cv_2024]) + SUMIF(tblCloudAOUnits[Products],$A60, tblCloudAOUnits[cv_2024]) + SUMIF(tblTelecomUnits[Products],$A60, tblTelecomUnits[cv_2024]) + SUMIF(tblEnterpriseUnits[Products],$A60, tblEnterpriseUnits[cv_2024])</f>
        <v>0</v>
      </c>
      <c r="I60" s="8">
        <f xml:space="preserve"> SUMIF(tblGoogleUnits[Products],$A60, tblGoogleUnits[cv_2025]) + SUMIF(tblMetaUnits[Products],$A60, tblMetaUnits[cv_2025]) + SUMIF(tblAmazonUnits[Products],$A60, tblAmazonUnits[cv_2025]) + SUMIF(tblMicrosoftUnits[Products],$A60, tblMicrosoftUnits[cv_2025]) + SUMIF(tblAppleUnits[Products],$A60, tblAppleUnits[cv_2025]) + SUMIF(tblAlibabaUnits[Products],$A60, tblAlibabaUnits[cv_2025]) + SUMIF(tblHuaweiUnits[Products],$A60, tblHuaweiUnits[cv_2025]) + SUMIF(tblTencentUnits[Products],$A60, tblTencentUnits[cv_2025]) + SUMIF(tblBaiduUnits[Products],$A60, tblBaiduUnits[cv_2025]) + SUMIF(tblByteDanceUnits[Products],$A60, tblByteDanceUnits[cv_2025]) + SUMIF(tblCloudAOUnits[Products],$A60, tblCloudAOUnits[cv_2025]) + SUMIF(tblTelecomUnits[Products],$A60, tblTelecomUnits[cv_2025]) + SUMIF(tblEnterpriseUnits[Products],$A60, tblEnterpriseUnits[cv_2025])</f>
        <v>0</v>
      </c>
      <c r="J60" s="8">
        <f xml:space="preserve"> SUMIF(tblGoogleUnits[Products],$A60, tblGoogleUnits[cv_2026]) + SUMIF(tblMetaUnits[Products],$A60, tblMetaUnits[cv_2026]) + SUMIF(tblAmazonUnits[Products],$A60, tblAmazonUnits[cv_2026]) + SUMIF(tblMicrosoftUnits[Products],$A60, tblMicrosoftUnits[cv_2026]) + SUMIF(tblAppleUnits[Products],$A60, tblAppleUnits[cv_2026]) + SUMIF(tblAlibabaUnits[Products],$A60, tblAlibabaUnits[cv_2026]) + SUMIF(tblHuaweiUnits[Products],$A60, tblHuaweiUnits[cv_2026]) + SUMIF(tblTencentUnits[Products],$A60, tblTencentUnits[cv_2026]) + SUMIF(tblBaiduUnits[Products],$A60, tblBaiduUnits[cv_2026]) + SUMIF(tblByteDanceUnits[Products],$A60, tblByteDanceUnits[cv_2026]) + SUMIF(tblCloudAOUnits[Products],$A60, tblCloudAOUnits[cv_2026]) + SUMIF(tblTelecomUnits[Products],$A60, tblTelecomUnits[cv_2026]) + SUMIF(tblEnterpriseUnits[Products],$A60, tblEnterpriseUnits[cv_2026])</f>
        <v>0</v>
      </c>
      <c r="K60" s="8">
        <f xml:space="preserve"> SUMIF(tblGoogleUnits[Products],$A60, tblGoogleUnits[cv_2027]) + SUMIF(tblMetaUnits[Products],$A60, tblMetaUnits[cv_2027]) + SUMIF(tblAmazonUnits[Products],$A60, tblAmazonUnits[cv_2027]) + SUMIF(tblMicrosoftUnits[Products],$A60, tblMicrosoftUnits[cv_2027]) + SUMIF(tblAppleUnits[Products],$A60, tblAppleUnits[cv_2027]) + SUMIF(tblAlibabaUnits[Products],$A60, tblAlibabaUnits[cv_2027]) + SUMIF(tblHuaweiUnits[Products],$A60, tblHuaweiUnits[cv_2027]) + SUMIF(tblTencentUnits[Products],$A60, tblTencentUnits[cv_2027]) + SUMIF(tblBaiduUnits[Products],$A60, tblBaiduUnits[cv_2027]) + SUMIF(tblByteDanceUnits[Products],$A60, tblByteDanceUnits[cv_2027]) + SUMIF(tblCloudAOUnits[Products],$A60, tblCloudAOUnits[cv_2027]) + SUMIF(tblTelecomUnits[Products],$A60, tblTelecomUnits[cv_2027]) + SUMIF(tblEnterpriseUnits[Products],$A60, tblEnterpriseUnits[cv_2027])</f>
        <v>0</v>
      </c>
      <c r="L60" s="8">
        <f xml:space="preserve"> SUMIF(tblGoogleUnits[Products],$A60, tblGoogleUnits[cv_2028]) + SUMIF(tblMetaUnits[Products],$A60, tblMetaUnits[cv_2028]) + SUMIF(tblAmazonUnits[Products],$A60, tblAmazonUnits[cv_2028]) + SUMIF(tblMicrosoftUnits[Products],$A60, tblMicrosoftUnits[cv_2028]) + SUMIF(tblAppleUnits[Products],$A60, tblAppleUnits[cv_2028]) + SUMIF(tblAlibabaUnits[Products],$A60, tblAlibabaUnits[cv_2028]) + SUMIF(tblHuaweiUnits[Products],$A60, tblHuaweiUnits[cv_2028]) + SUMIF(tblTencentUnits[Products],$A60, tblTencentUnits[cv_2028]) + SUMIF(tblBaiduUnits[Products],$A60, tblBaiduUnits[cv_2028]) + SUMIF(tblByteDanceUnits[Products],$A60, tblByteDanceUnits[cv_2028]) + SUMIF(tblCloudAOUnits[Products],$A60, tblCloudAOUnits[cv_2028]) + SUMIF(tblTelecomUnits[Products],$A60, tblTelecomUnits[cv_2028]) + SUMIF(tblEnterpriseUnits[Products],$A60, tblEnterpriseUnits[cv_2028])</f>
        <v>0</v>
      </c>
      <c r="M60" s="105" cm="1">
        <f t="array" ref="M60">INDEX(tblPrices[cv_2018], MATCH($A60,tblPrices[Products],0), 0)</f>
        <v>113.54682982085136</v>
      </c>
      <c r="N60" s="105" cm="1">
        <f t="array" ref="N60">INDEX(tblPrices[cv_2019], MATCH($A60,tblPrices[Products],0), 0)</f>
        <v>84.990621213745783</v>
      </c>
      <c r="O60" s="105" cm="1">
        <f t="array" ref="O60">INDEX(tblPrices[cv_2020], MATCH($A60,tblPrices[Products],0), 0)</f>
        <v>0</v>
      </c>
      <c r="P60" s="105" cm="1">
        <f t="array" ref="P60">INDEX(tblPrices[cv_2021], MATCH($A60,tblPrices[Products],0), 0)</f>
        <v>0</v>
      </c>
      <c r="Q60" s="105" cm="1">
        <f t="array" ref="Q60">INDEX(tblPrices[cv_2022], MATCH($A60,tblPrices[Products],0), 0)</f>
        <v>0</v>
      </c>
      <c r="R60" s="105" cm="1">
        <f t="array" ref="R60">INDEX(tblPrices[cv_2023], MATCH($A60,tblPrices[Products],0), 0)</f>
        <v>0</v>
      </c>
      <c r="S60" s="105" cm="1">
        <f t="array" ref="S60">INDEX(tblPrices[cv_2024], MATCH($A60,tblPrices[Products],0), 0)</f>
        <v>0</v>
      </c>
      <c r="T60" s="105" cm="1">
        <f t="array" ref="T60">INDEX(tblPrices[cv_2025], MATCH($A60,tblPrices[Products],0), 0)</f>
        <v>0</v>
      </c>
      <c r="U60" s="105" cm="1">
        <f t="array" ref="U60">INDEX(tblPrices[cv_2026], MATCH($A60,tblPrices[Products],0), 0)</f>
        <v>0</v>
      </c>
      <c r="V60" s="105" cm="1">
        <f t="array" ref="V60">INDEX(tblPrices[cv_2027], MATCH($A60,tblPrices[Products],0), 0)</f>
        <v>0</v>
      </c>
      <c r="W60" s="105" cm="1">
        <f t="array" ref="W60">INDEX(tblPrices[cv_2028], MATCH($A60,tblPrices[Products],0), 0)</f>
        <v>0</v>
      </c>
      <c r="X60" s="106" cm="1">
        <f t="array" ref="X60">INDEX(tblPrices[cv_2018], MATCH($A60,tblPrices[Products],0), 0)* tblForecast[[#This Row],[un_2018]]/10^6</f>
        <v>217.53494686689399</v>
      </c>
      <c r="Y60" s="106" cm="1">
        <f t="array" ref="Y60">INDEX(tblPrices[cv_2019], MATCH($A60,tblPrices[Products],0), 0)* tblForecast[[#This Row],[un_2019]]/10^6</f>
        <v>168.15776864935063</v>
      </c>
      <c r="Z60" s="106" cm="1">
        <f t="array" ref="Z60">INDEX(tblPrices[cv_2020], MATCH($A60,tblPrices[Products],0), 0)* tblForecast[[#This Row],[un_2020]]/10^6</f>
        <v>0</v>
      </c>
      <c r="AA60" s="106" cm="1">
        <f t="array" ref="AA60">INDEX(tblPrices[cv_2021], MATCH($A60,tblPrices[Products],0), 0)* tblForecast[[#This Row],[un_2021]]/10^6</f>
        <v>0</v>
      </c>
      <c r="AB60" s="106" cm="1">
        <f t="array" ref="AB60">INDEX(tblPrices[cv_2022], MATCH($A60,tblPrices[Products],0), 0)* tblForecast[[#This Row],[un_2022]]/10^6</f>
        <v>0</v>
      </c>
      <c r="AC60" s="106" cm="1">
        <f t="array" ref="AC60">INDEX(tblPrices[cv_2023], MATCH($A60,tblPrices[Products],0), 0)* tblForecast[[#This Row],[un_2023]]/10^6</f>
        <v>0</v>
      </c>
      <c r="AD60" s="106" cm="1">
        <f t="array" ref="AD60">INDEX(tblPrices[cv_2024], MATCH($A60,tblPrices[Products],0), 0)* tblForecast[[#This Row],[un_2024]]/10^6</f>
        <v>0</v>
      </c>
      <c r="AE60" s="106" cm="1">
        <f t="array" ref="AE60">INDEX(tblPrices[cv_2025], MATCH($A60,tblPrices[Products],0), 0)* tblForecast[[#This Row],[un_2025]]/10^6</f>
        <v>0</v>
      </c>
      <c r="AF60" s="106" cm="1">
        <f t="array" ref="AF60">INDEX(tblPrices[cv_2026], MATCH($A60,tblPrices[Products],0), 0)* tblForecast[[#This Row],[un_2026]]/10^6</f>
        <v>0</v>
      </c>
      <c r="AG60" s="106" cm="1">
        <f t="array" ref="AG60">INDEX(tblPrices[cv_2027], MATCH($A60,tblPrices[Products],0), 0)* tblForecast[[#This Row],[un_2027]]/10^6</f>
        <v>0</v>
      </c>
      <c r="AH60" s="106" cm="1">
        <f t="array" ref="AH60">INDEX(tblPrices[cv_2028], MATCH($A60,tblPrices[Products],0), 0)* tblForecast[[#This Row],[un_2028]]/10^6</f>
        <v>0</v>
      </c>
      <c r="AI60" s="60">
        <f>VLOOKUP(A60,Products!$A$11:$F$110,6,FALSE)</f>
        <v>100</v>
      </c>
    </row>
    <row r="61" spans="1:35">
      <c r="A61" s="12" t="s">
        <v>180</v>
      </c>
      <c r="B61" s="8">
        <f xml:space="preserve"> SUMIF(tblGoogleUnits[Products],$A61, tblGoogleUnits[cv_2018]) + SUMIF(tblMetaUnits[Products],$A61, tblMetaUnits[cv_2018]) + SUMIF(tblAmazonUnits[Products],$A61, tblAmazonUnits[cv_2018]) + SUMIF(tblMicrosoftUnits[Products],$A61, tblMicrosoftUnits[cv_2018]) + SUMIF(tblAppleUnits[Products],$A61, tblAppleUnits[cv_2018]) + SUMIF(tblAlibabaUnits[Products],$A61, tblAlibabaUnits[cv_2018]) + SUMIF(tblHuaweiUnits[Products],$A61, tblHuaweiUnits[cv_2018]) + SUMIF(tblTencentUnits[Products],$A61, tblTencentUnits[cv_2018]) + SUMIF(tblBaiduUnits[Products],$A61, tblBaiduUnits[cv_2018]) + SUMIF(tblByteDanceUnits[Products],$A61, tblByteDanceUnits[cv_2018]) + SUMIF(tblCloudAOUnits[Products],$A61, tblCloudAOUnits[cv_2018]) + SUMIF(tblTelecomUnits[Products],$A61, tblTelecomUnits[cv_2018]) + SUMIF(tblEnterpriseUnits[Products],$A61, tblEnterpriseUnits[cv_2018])</f>
        <v>0</v>
      </c>
      <c r="C61" s="8">
        <f xml:space="preserve"> SUMIF(tblGoogleUnits[Products],$A61, tblGoogleUnits[cv_2019]) + SUMIF(tblMetaUnits[Products],$A61, tblMetaUnits[cv_2019]) + SUMIF(tblAmazonUnits[Products],$A61, tblAmazonUnits[cv_2019]) + SUMIF(tblMicrosoftUnits[Products],$A61, tblMicrosoftUnits[cv_2019]) + SUMIF(tblAppleUnits[Products],$A61, tblAppleUnits[cv_2019]) + SUMIF(tblAlibabaUnits[Products],$A61, tblAlibabaUnits[cv_2019]) + SUMIF(tblHuaweiUnits[Products],$A61, tblHuaweiUnits[cv_2019]) + SUMIF(tblTencentUnits[Products],$A61, tblTencentUnits[cv_2019]) + SUMIF(tblBaiduUnits[Products],$A61, tblBaiduUnits[cv_2019]) + SUMIF(tblByteDanceUnits[Products],$A61, tblByteDanceUnits[cv_2019]) + SUMIF(tblCloudAOUnits[Products],$A61, tblCloudAOUnits[cv_2019]) + SUMIF(tblTelecomUnits[Products],$A61, tblTelecomUnits[cv_2019]) + SUMIF(tblEnterpriseUnits[Products],$A61, tblEnterpriseUnits[cv_2019])</f>
        <v>5000</v>
      </c>
      <c r="D61" s="8">
        <f xml:space="preserve"> SUMIF(tblGoogleUnits[Products],$A61, tblGoogleUnits[cv_2020]) + SUMIF(tblMetaUnits[Products],$A61, tblMetaUnits[cv_2020]) + SUMIF(tblAmazonUnits[Products],$A61, tblAmazonUnits[cv_2020]) + SUMIF(tblMicrosoftUnits[Products],$A61, tblMicrosoftUnits[cv_2020]) + SUMIF(tblAppleUnits[Products],$A61, tblAppleUnits[cv_2020]) + SUMIF(tblAlibabaUnits[Products],$A61, tblAlibabaUnits[cv_2020]) + SUMIF(tblHuaweiUnits[Products],$A61, tblHuaweiUnits[cv_2020]) + SUMIF(tblTencentUnits[Products],$A61, tblTencentUnits[cv_2020]) + SUMIF(tblBaiduUnits[Products],$A61, tblBaiduUnits[cv_2020]) + SUMIF(tblByteDanceUnits[Products],$A61, tblByteDanceUnits[cv_2020]) + SUMIF(tblCloudAOUnits[Products],$A61, tblCloudAOUnits[cv_2020]) + SUMIF(tblTelecomUnits[Products],$A61, tblTelecomUnits[cv_2020]) + SUMIF(tblEnterpriseUnits[Products],$A61, tblEnterpriseUnits[cv_2020])</f>
        <v>0</v>
      </c>
      <c r="E61" s="8">
        <f xml:space="preserve"> SUMIF(tblGoogleUnits[Products],$A61, tblGoogleUnits[cv_2021]) + SUMIF(tblMetaUnits[Products],$A61, tblMetaUnits[cv_2021]) + SUMIF(tblAmazonUnits[Products],$A61, tblAmazonUnits[cv_2021]) + SUMIF(tblMicrosoftUnits[Products],$A61, tblMicrosoftUnits[cv_2021]) + SUMIF(tblAppleUnits[Products],$A61, tblAppleUnits[cv_2021]) + SUMIF(tblAlibabaUnits[Products],$A61, tblAlibabaUnits[cv_2021]) + SUMIF(tblHuaweiUnits[Products],$A61, tblHuaweiUnits[cv_2021]) + SUMIF(tblTencentUnits[Products],$A61, tblTencentUnits[cv_2021]) + SUMIF(tblBaiduUnits[Products],$A61, tblBaiduUnits[cv_2021]) + SUMIF(tblByteDanceUnits[Products],$A61, tblByteDanceUnits[cv_2021]) + SUMIF(tblCloudAOUnits[Products],$A61, tblCloudAOUnits[cv_2021]) + SUMIF(tblTelecomUnits[Products],$A61, tblTelecomUnits[cv_2021]) + SUMIF(tblEnterpriseUnits[Products],$A61, tblEnterpriseUnits[cv_2021])</f>
        <v>0</v>
      </c>
      <c r="F61" s="8">
        <f xml:space="preserve"> SUMIF(tblGoogleUnits[Products],$A61, tblGoogleUnits[cv_2022]) + SUMIF(tblMetaUnits[Products],$A61, tblMetaUnits[cv_2022]) + SUMIF(tblAmazonUnits[Products],$A61, tblAmazonUnits[cv_2022]) + SUMIF(tblMicrosoftUnits[Products],$A61, tblMicrosoftUnits[cv_2022]) + SUMIF(tblAppleUnits[Products],$A61, tblAppleUnits[cv_2022]) + SUMIF(tblAlibabaUnits[Products],$A61, tblAlibabaUnits[cv_2022]) + SUMIF(tblHuaweiUnits[Products],$A61, tblHuaweiUnits[cv_2022]) + SUMIF(tblTencentUnits[Products],$A61, tblTencentUnits[cv_2022]) + SUMIF(tblBaiduUnits[Products],$A61, tblBaiduUnits[cv_2022]) + SUMIF(tblByteDanceUnits[Products],$A61, tblByteDanceUnits[cv_2022]) + SUMIF(tblCloudAOUnits[Products],$A61, tblCloudAOUnits[cv_2022]) + SUMIF(tblTelecomUnits[Products],$A61, tblTelecomUnits[cv_2022]) + SUMIF(tblEnterpriseUnits[Products],$A61, tblEnterpriseUnits[cv_2022])</f>
        <v>0</v>
      </c>
      <c r="G61" s="8">
        <f xml:space="preserve"> SUMIF(tblGoogleUnits[Products],$A61, tblGoogleUnits[cv_2023]) + SUMIF(tblMetaUnits[Products],$A61, tblMetaUnits[cv_2023]) + SUMIF(tblAmazonUnits[Products],$A61, tblAmazonUnits[cv_2023]) + SUMIF(tblMicrosoftUnits[Products],$A61, tblMicrosoftUnits[cv_2023]) + SUMIF(tblAppleUnits[Products],$A61, tblAppleUnits[cv_2023]) + SUMIF(tblAlibabaUnits[Products],$A61, tblAlibabaUnits[cv_2023]) + SUMIF(tblHuaweiUnits[Products],$A61, tblHuaweiUnits[cv_2023]) + SUMIF(tblTencentUnits[Products],$A61, tblTencentUnits[cv_2023]) + SUMIF(tblBaiduUnits[Products],$A61, tblBaiduUnits[cv_2023]) + SUMIF(tblByteDanceUnits[Products],$A61, tblByteDanceUnits[cv_2023]) + SUMIF(tblCloudAOUnits[Products],$A61, tblCloudAOUnits[cv_2023]) + SUMIF(tblTelecomUnits[Products],$A61, tblTelecomUnits[cv_2023]) + SUMIF(tblEnterpriseUnits[Products],$A61, tblEnterpriseUnits[cv_2023])</f>
        <v>0</v>
      </c>
      <c r="H61" s="8">
        <f xml:space="preserve"> SUMIF(tblGoogleUnits[Products],$A61, tblGoogleUnits[cv_2024]) + SUMIF(tblMetaUnits[Products],$A61, tblMetaUnits[cv_2024]) + SUMIF(tblAmazonUnits[Products],$A61, tblAmazonUnits[cv_2024]) + SUMIF(tblMicrosoftUnits[Products],$A61, tblMicrosoftUnits[cv_2024]) + SUMIF(tblAppleUnits[Products],$A61, tblAppleUnits[cv_2024]) + SUMIF(tblAlibabaUnits[Products],$A61, tblAlibabaUnits[cv_2024]) + SUMIF(tblHuaweiUnits[Products],$A61, tblHuaweiUnits[cv_2024]) + SUMIF(tblTencentUnits[Products],$A61, tblTencentUnits[cv_2024]) + SUMIF(tblBaiduUnits[Products],$A61, tblBaiduUnits[cv_2024]) + SUMIF(tblByteDanceUnits[Products],$A61, tblByteDanceUnits[cv_2024]) + SUMIF(tblCloudAOUnits[Products],$A61, tblCloudAOUnits[cv_2024]) + SUMIF(tblTelecomUnits[Products],$A61, tblTelecomUnits[cv_2024]) + SUMIF(tblEnterpriseUnits[Products],$A61, tblEnterpriseUnits[cv_2024])</f>
        <v>0</v>
      </c>
      <c r="I61" s="8">
        <f xml:space="preserve"> SUMIF(tblGoogleUnits[Products],$A61, tblGoogleUnits[cv_2025]) + SUMIF(tblMetaUnits[Products],$A61, tblMetaUnits[cv_2025]) + SUMIF(tblAmazonUnits[Products],$A61, tblAmazonUnits[cv_2025]) + SUMIF(tblMicrosoftUnits[Products],$A61, tblMicrosoftUnits[cv_2025]) + SUMIF(tblAppleUnits[Products],$A61, tblAppleUnits[cv_2025]) + SUMIF(tblAlibabaUnits[Products],$A61, tblAlibabaUnits[cv_2025]) + SUMIF(tblHuaweiUnits[Products],$A61, tblHuaweiUnits[cv_2025]) + SUMIF(tblTencentUnits[Products],$A61, tblTencentUnits[cv_2025]) + SUMIF(tblBaiduUnits[Products],$A61, tblBaiduUnits[cv_2025]) + SUMIF(tblByteDanceUnits[Products],$A61, tblByteDanceUnits[cv_2025]) + SUMIF(tblCloudAOUnits[Products],$A61, tblCloudAOUnits[cv_2025]) + SUMIF(tblTelecomUnits[Products],$A61, tblTelecomUnits[cv_2025]) + SUMIF(tblEnterpriseUnits[Products],$A61, tblEnterpriseUnits[cv_2025])</f>
        <v>0</v>
      </c>
      <c r="J61" s="8">
        <f xml:space="preserve"> SUMIF(tblGoogleUnits[Products],$A61, tblGoogleUnits[cv_2026]) + SUMIF(tblMetaUnits[Products],$A61, tblMetaUnits[cv_2026]) + SUMIF(tblAmazonUnits[Products],$A61, tblAmazonUnits[cv_2026]) + SUMIF(tblMicrosoftUnits[Products],$A61, tblMicrosoftUnits[cv_2026]) + SUMIF(tblAppleUnits[Products],$A61, tblAppleUnits[cv_2026]) + SUMIF(tblAlibabaUnits[Products],$A61, tblAlibabaUnits[cv_2026]) + SUMIF(tblHuaweiUnits[Products],$A61, tblHuaweiUnits[cv_2026]) + SUMIF(tblTencentUnits[Products],$A61, tblTencentUnits[cv_2026]) + SUMIF(tblBaiduUnits[Products],$A61, tblBaiduUnits[cv_2026]) + SUMIF(tblByteDanceUnits[Products],$A61, tblByteDanceUnits[cv_2026]) + SUMIF(tblCloudAOUnits[Products],$A61, tblCloudAOUnits[cv_2026]) + SUMIF(tblTelecomUnits[Products],$A61, tblTelecomUnits[cv_2026]) + SUMIF(tblEnterpriseUnits[Products],$A61, tblEnterpriseUnits[cv_2026])</f>
        <v>0</v>
      </c>
      <c r="K61" s="8">
        <f xml:space="preserve"> SUMIF(tblGoogleUnits[Products],$A61, tblGoogleUnits[cv_2027]) + SUMIF(tblMetaUnits[Products],$A61, tblMetaUnits[cv_2027]) + SUMIF(tblAmazonUnits[Products],$A61, tblAmazonUnits[cv_2027]) + SUMIF(tblMicrosoftUnits[Products],$A61, tblMicrosoftUnits[cv_2027]) + SUMIF(tblAppleUnits[Products],$A61, tblAppleUnits[cv_2027]) + SUMIF(tblAlibabaUnits[Products],$A61, tblAlibabaUnits[cv_2027]) + SUMIF(tblHuaweiUnits[Products],$A61, tblHuaweiUnits[cv_2027]) + SUMIF(tblTencentUnits[Products],$A61, tblTencentUnits[cv_2027]) + SUMIF(tblBaiduUnits[Products],$A61, tblBaiduUnits[cv_2027]) + SUMIF(tblByteDanceUnits[Products],$A61, tblByteDanceUnits[cv_2027]) + SUMIF(tblCloudAOUnits[Products],$A61, tblCloudAOUnits[cv_2027]) + SUMIF(tblTelecomUnits[Products],$A61, tblTelecomUnits[cv_2027]) + SUMIF(tblEnterpriseUnits[Products],$A61, tblEnterpriseUnits[cv_2027])</f>
        <v>0</v>
      </c>
      <c r="L61" s="8">
        <f xml:space="preserve"> SUMIF(tblGoogleUnits[Products],$A61, tblGoogleUnits[cv_2028]) + SUMIF(tblMetaUnits[Products],$A61, tblMetaUnits[cv_2028]) + SUMIF(tblAmazonUnits[Products],$A61, tblAmazonUnits[cv_2028]) + SUMIF(tblMicrosoftUnits[Products],$A61, tblMicrosoftUnits[cv_2028]) + SUMIF(tblAppleUnits[Products],$A61, tblAppleUnits[cv_2028]) + SUMIF(tblAlibabaUnits[Products],$A61, tblAlibabaUnits[cv_2028]) + SUMIF(tblHuaweiUnits[Products],$A61, tblHuaweiUnits[cv_2028]) + SUMIF(tblTencentUnits[Products],$A61, tblTencentUnits[cv_2028]) + SUMIF(tblBaiduUnits[Products],$A61, tblBaiduUnits[cv_2028]) + SUMIF(tblByteDanceUnits[Products],$A61, tblByteDanceUnits[cv_2028]) + SUMIF(tblCloudAOUnits[Products],$A61, tblCloudAOUnits[cv_2028]) + SUMIF(tblTelecomUnits[Products],$A61, tblTelecomUnits[cv_2028]) + SUMIF(tblEnterpriseUnits[Products],$A61, tblEnterpriseUnits[cv_2028])</f>
        <v>0</v>
      </c>
      <c r="M61" s="105" cm="1">
        <f t="array" ref="M61">INDEX(tblPrices[cv_2018], MATCH($A61,tblPrices[Products],0), 0)</f>
        <v>0</v>
      </c>
      <c r="N61" s="105" cm="1">
        <f t="array" ref="N61">INDEX(tblPrices[cv_2019], MATCH($A61,tblPrices[Products],0), 0)</f>
        <v>240</v>
      </c>
      <c r="O61" s="105" cm="1">
        <f t="array" ref="O61">INDEX(tblPrices[cv_2020], MATCH($A61,tblPrices[Products],0), 0)</f>
        <v>0</v>
      </c>
      <c r="P61" s="105" cm="1">
        <f t="array" ref="P61">INDEX(tblPrices[cv_2021], MATCH($A61,tblPrices[Products],0), 0)</f>
        <v>0</v>
      </c>
      <c r="Q61" s="105" cm="1">
        <f t="array" ref="Q61">INDEX(tblPrices[cv_2022], MATCH($A61,tblPrices[Products],0), 0)</f>
        <v>0</v>
      </c>
      <c r="R61" s="105" cm="1">
        <f t="array" ref="R61">INDEX(tblPrices[cv_2023], MATCH($A61,tblPrices[Products],0), 0)</f>
        <v>0</v>
      </c>
      <c r="S61" s="105" cm="1">
        <f t="array" ref="S61">INDEX(tblPrices[cv_2024], MATCH($A61,tblPrices[Products],0), 0)</f>
        <v>0</v>
      </c>
      <c r="T61" s="105" cm="1">
        <f t="array" ref="T61">INDEX(tblPrices[cv_2025], MATCH($A61,tblPrices[Products],0), 0)</f>
        <v>0</v>
      </c>
      <c r="U61" s="105" cm="1">
        <f t="array" ref="U61">INDEX(tblPrices[cv_2026], MATCH($A61,tblPrices[Products],0), 0)</f>
        <v>0</v>
      </c>
      <c r="V61" s="105" cm="1">
        <f t="array" ref="V61">INDEX(tblPrices[cv_2027], MATCH($A61,tblPrices[Products],0), 0)</f>
        <v>0</v>
      </c>
      <c r="W61" s="105" cm="1">
        <f t="array" ref="W61">INDEX(tblPrices[cv_2028], MATCH($A61,tblPrices[Products],0), 0)</f>
        <v>0</v>
      </c>
      <c r="X61" s="106" cm="1">
        <f t="array" ref="X61">INDEX(tblPrices[cv_2018], MATCH($A61,tblPrices[Products],0), 0)* tblForecast[[#This Row],[un_2018]]/10^6</f>
        <v>0</v>
      </c>
      <c r="Y61" s="106" cm="1">
        <f t="array" ref="Y61">INDEX(tblPrices[cv_2019], MATCH($A61,tblPrices[Products],0), 0)* tblForecast[[#This Row],[un_2019]]/10^6</f>
        <v>1.2</v>
      </c>
      <c r="Z61" s="106" cm="1">
        <f t="array" ref="Z61">INDEX(tblPrices[cv_2020], MATCH($A61,tblPrices[Products],0), 0)* tblForecast[[#This Row],[un_2020]]/10^6</f>
        <v>0</v>
      </c>
      <c r="AA61" s="106" cm="1">
        <f t="array" ref="AA61">INDEX(tblPrices[cv_2021], MATCH($A61,tblPrices[Products],0), 0)* tblForecast[[#This Row],[un_2021]]/10^6</f>
        <v>0</v>
      </c>
      <c r="AB61" s="106" cm="1">
        <f t="array" ref="AB61">INDEX(tblPrices[cv_2022], MATCH($A61,tblPrices[Products],0), 0)* tblForecast[[#This Row],[un_2022]]/10^6</f>
        <v>0</v>
      </c>
      <c r="AC61" s="106" cm="1">
        <f t="array" ref="AC61">INDEX(tblPrices[cv_2023], MATCH($A61,tblPrices[Products],0), 0)* tblForecast[[#This Row],[un_2023]]/10^6</f>
        <v>0</v>
      </c>
      <c r="AD61" s="106" cm="1">
        <f t="array" ref="AD61">INDEX(tblPrices[cv_2024], MATCH($A61,tblPrices[Products],0), 0)* tblForecast[[#This Row],[un_2024]]/10^6</f>
        <v>0</v>
      </c>
      <c r="AE61" s="106" cm="1">
        <f t="array" ref="AE61">INDEX(tblPrices[cv_2025], MATCH($A61,tblPrices[Products],0), 0)* tblForecast[[#This Row],[un_2025]]/10^6</f>
        <v>0</v>
      </c>
      <c r="AF61" s="106" cm="1">
        <f t="array" ref="AF61">INDEX(tblPrices[cv_2026], MATCH($A61,tblPrices[Products],0), 0)* tblForecast[[#This Row],[un_2026]]/10^6</f>
        <v>0</v>
      </c>
      <c r="AG61" s="106" cm="1">
        <f t="array" ref="AG61">INDEX(tblPrices[cv_2027], MATCH($A61,tblPrices[Products],0), 0)* tblForecast[[#This Row],[un_2027]]/10^6</f>
        <v>0</v>
      </c>
      <c r="AH61" s="106" cm="1">
        <f t="array" ref="AH61">INDEX(tblPrices[cv_2028], MATCH($A61,tblPrices[Products],0), 0)* tblForecast[[#This Row],[un_2028]]/10^6</f>
        <v>0</v>
      </c>
      <c r="AI61" s="60">
        <f>VLOOKUP(A61,Products!$A$11:$F$110,6,FALSE)</f>
        <v>100</v>
      </c>
    </row>
    <row r="62" spans="1:35">
      <c r="A62" s="12" t="s">
        <v>181</v>
      </c>
      <c r="B62" s="8">
        <f xml:space="preserve"> SUMIF(tblGoogleUnits[Products],$A62, tblGoogleUnits[cv_2018]) + SUMIF(tblMetaUnits[Products],$A62, tblMetaUnits[cv_2018]) + SUMIF(tblAmazonUnits[Products],$A62, tblAmazonUnits[cv_2018]) + SUMIF(tblMicrosoftUnits[Products],$A62, tblMicrosoftUnits[cv_2018]) + SUMIF(tblAppleUnits[Products],$A62, tblAppleUnits[cv_2018]) + SUMIF(tblAlibabaUnits[Products],$A62, tblAlibabaUnits[cv_2018]) + SUMIF(tblHuaweiUnits[Products],$A62, tblHuaweiUnits[cv_2018]) + SUMIF(tblTencentUnits[Products],$A62, tblTencentUnits[cv_2018]) + SUMIF(tblBaiduUnits[Products],$A62, tblBaiduUnits[cv_2018]) + SUMIF(tblByteDanceUnits[Products],$A62, tblByteDanceUnits[cv_2018]) + SUMIF(tblCloudAOUnits[Products],$A62, tblCloudAOUnits[cv_2018]) + SUMIF(tblTelecomUnits[Products],$A62, tblTelecomUnits[cv_2018]) + SUMIF(tblEnterpriseUnits[Products],$A62, tblEnterpriseUnits[cv_2018])</f>
        <v>150000</v>
      </c>
      <c r="C62" s="8">
        <f xml:space="preserve"> SUMIF(tblGoogleUnits[Products],$A62, tblGoogleUnits[cv_2019]) + SUMIF(tblMetaUnits[Products],$A62, tblMetaUnits[cv_2019]) + SUMIF(tblAmazonUnits[Products],$A62, tblAmazonUnits[cv_2019]) + SUMIF(tblMicrosoftUnits[Products],$A62, tblMicrosoftUnits[cv_2019]) + SUMIF(tblAppleUnits[Products],$A62, tblAppleUnits[cv_2019]) + SUMIF(tblAlibabaUnits[Products],$A62, tblAlibabaUnits[cv_2019]) + SUMIF(tblHuaweiUnits[Products],$A62, tblHuaweiUnits[cv_2019]) + SUMIF(tblTencentUnits[Products],$A62, tblTencentUnits[cv_2019]) + SUMIF(tblBaiduUnits[Products],$A62, tblBaiduUnits[cv_2019]) + SUMIF(tblByteDanceUnits[Products],$A62, tblByteDanceUnits[cv_2019]) + SUMIF(tblCloudAOUnits[Products],$A62, tblCloudAOUnits[cv_2019]) + SUMIF(tblTelecomUnits[Products],$A62, tblTelecomUnits[cv_2019]) + SUMIF(tblEnterpriseUnits[Products],$A62, tblEnterpriseUnits[cv_2019])</f>
        <v>200000</v>
      </c>
      <c r="D62" s="8">
        <f xml:space="preserve"> SUMIF(tblGoogleUnits[Products],$A62, tblGoogleUnits[cv_2020]) + SUMIF(tblMetaUnits[Products],$A62, tblMetaUnits[cv_2020]) + SUMIF(tblAmazonUnits[Products],$A62, tblAmazonUnits[cv_2020]) + SUMIF(tblMicrosoftUnits[Products],$A62, tblMicrosoftUnits[cv_2020]) + SUMIF(tblAppleUnits[Products],$A62, tblAppleUnits[cv_2020]) + SUMIF(tblAlibabaUnits[Products],$A62, tblAlibabaUnits[cv_2020]) + SUMIF(tblHuaweiUnits[Products],$A62, tblHuaweiUnits[cv_2020]) + SUMIF(tblTencentUnits[Products],$A62, tblTencentUnits[cv_2020]) + SUMIF(tblBaiduUnits[Products],$A62, tblBaiduUnits[cv_2020]) + SUMIF(tblByteDanceUnits[Products],$A62, tblByteDanceUnits[cv_2020]) + SUMIF(tblCloudAOUnits[Products],$A62, tblCloudAOUnits[cv_2020]) + SUMIF(tblTelecomUnits[Products],$A62, tblTelecomUnits[cv_2020]) + SUMIF(tblEnterpriseUnits[Products],$A62, tblEnterpriseUnits[cv_2020])</f>
        <v>0</v>
      </c>
      <c r="E62" s="8">
        <f xml:space="preserve"> SUMIF(tblGoogleUnits[Products],$A62, tblGoogleUnits[cv_2021]) + SUMIF(tblMetaUnits[Products],$A62, tblMetaUnits[cv_2021]) + SUMIF(tblAmazonUnits[Products],$A62, tblAmazonUnits[cv_2021]) + SUMIF(tblMicrosoftUnits[Products],$A62, tblMicrosoftUnits[cv_2021]) + SUMIF(tblAppleUnits[Products],$A62, tblAppleUnits[cv_2021]) + SUMIF(tblAlibabaUnits[Products],$A62, tblAlibabaUnits[cv_2021]) + SUMIF(tblHuaweiUnits[Products],$A62, tblHuaweiUnits[cv_2021]) + SUMIF(tblTencentUnits[Products],$A62, tblTencentUnits[cv_2021]) + SUMIF(tblBaiduUnits[Products],$A62, tblBaiduUnits[cv_2021]) + SUMIF(tblByteDanceUnits[Products],$A62, tblByteDanceUnits[cv_2021]) + SUMIF(tblCloudAOUnits[Products],$A62, tblCloudAOUnits[cv_2021]) + SUMIF(tblTelecomUnits[Products],$A62, tblTelecomUnits[cv_2021]) + SUMIF(tblEnterpriseUnits[Products],$A62, tblEnterpriseUnits[cv_2021])</f>
        <v>0</v>
      </c>
      <c r="F62" s="8">
        <f xml:space="preserve"> SUMIF(tblGoogleUnits[Products],$A62, tblGoogleUnits[cv_2022]) + SUMIF(tblMetaUnits[Products],$A62, tblMetaUnits[cv_2022]) + SUMIF(tblAmazonUnits[Products],$A62, tblAmazonUnits[cv_2022]) + SUMIF(tblMicrosoftUnits[Products],$A62, tblMicrosoftUnits[cv_2022]) + SUMIF(tblAppleUnits[Products],$A62, tblAppleUnits[cv_2022]) + SUMIF(tblAlibabaUnits[Products],$A62, tblAlibabaUnits[cv_2022]) + SUMIF(tblHuaweiUnits[Products],$A62, tblHuaweiUnits[cv_2022]) + SUMIF(tblTencentUnits[Products],$A62, tblTencentUnits[cv_2022]) + SUMIF(tblBaiduUnits[Products],$A62, tblBaiduUnits[cv_2022]) + SUMIF(tblByteDanceUnits[Products],$A62, tblByteDanceUnits[cv_2022]) + SUMIF(tblCloudAOUnits[Products],$A62, tblCloudAOUnits[cv_2022]) + SUMIF(tblTelecomUnits[Products],$A62, tblTelecomUnits[cv_2022]) + SUMIF(tblEnterpriseUnits[Products],$A62, tblEnterpriseUnits[cv_2022])</f>
        <v>0</v>
      </c>
      <c r="G62" s="8">
        <f xml:space="preserve"> SUMIF(tblGoogleUnits[Products],$A62, tblGoogleUnits[cv_2023]) + SUMIF(tblMetaUnits[Products],$A62, tblMetaUnits[cv_2023]) + SUMIF(tblAmazonUnits[Products],$A62, tblAmazonUnits[cv_2023]) + SUMIF(tblMicrosoftUnits[Products],$A62, tblMicrosoftUnits[cv_2023]) + SUMIF(tblAppleUnits[Products],$A62, tblAppleUnits[cv_2023]) + SUMIF(tblAlibabaUnits[Products],$A62, tblAlibabaUnits[cv_2023]) + SUMIF(tblHuaweiUnits[Products],$A62, tblHuaweiUnits[cv_2023]) + SUMIF(tblTencentUnits[Products],$A62, tblTencentUnits[cv_2023]) + SUMIF(tblBaiduUnits[Products],$A62, tblBaiduUnits[cv_2023]) + SUMIF(tblByteDanceUnits[Products],$A62, tblByteDanceUnits[cv_2023]) + SUMIF(tblCloudAOUnits[Products],$A62, tblCloudAOUnits[cv_2023]) + SUMIF(tblTelecomUnits[Products],$A62, tblTelecomUnits[cv_2023]) + SUMIF(tblEnterpriseUnits[Products],$A62, tblEnterpriseUnits[cv_2023])</f>
        <v>0</v>
      </c>
      <c r="H62" s="8">
        <f xml:space="preserve"> SUMIF(tblGoogleUnits[Products],$A62, tblGoogleUnits[cv_2024]) + SUMIF(tblMetaUnits[Products],$A62, tblMetaUnits[cv_2024]) + SUMIF(tblAmazonUnits[Products],$A62, tblAmazonUnits[cv_2024]) + SUMIF(tblMicrosoftUnits[Products],$A62, tblMicrosoftUnits[cv_2024]) + SUMIF(tblAppleUnits[Products],$A62, tblAppleUnits[cv_2024]) + SUMIF(tblAlibabaUnits[Products],$A62, tblAlibabaUnits[cv_2024]) + SUMIF(tblHuaweiUnits[Products],$A62, tblHuaweiUnits[cv_2024]) + SUMIF(tblTencentUnits[Products],$A62, tblTencentUnits[cv_2024]) + SUMIF(tblBaiduUnits[Products],$A62, tblBaiduUnits[cv_2024]) + SUMIF(tblByteDanceUnits[Products],$A62, tblByteDanceUnits[cv_2024]) + SUMIF(tblCloudAOUnits[Products],$A62, tblCloudAOUnits[cv_2024]) + SUMIF(tblTelecomUnits[Products],$A62, tblTelecomUnits[cv_2024]) + SUMIF(tblEnterpriseUnits[Products],$A62, tblEnterpriseUnits[cv_2024])</f>
        <v>0</v>
      </c>
      <c r="I62" s="8">
        <f xml:space="preserve"> SUMIF(tblGoogleUnits[Products],$A62, tblGoogleUnits[cv_2025]) + SUMIF(tblMetaUnits[Products],$A62, tblMetaUnits[cv_2025]) + SUMIF(tblAmazonUnits[Products],$A62, tblAmazonUnits[cv_2025]) + SUMIF(tblMicrosoftUnits[Products],$A62, tblMicrosoftUnits[cv_2025]) + SUMIF(tblAppleUnits[Products],$A62, tblAppleUnits[cv_2025]) + SUMIF(tblAlibabaUnits[Products],$A62, tblAlibabaUnits[cv_2025]) + SUMIF(tblHuaweiUnits[Products],$A62, tblHuaweiUnits[cv_2025]) + SUMIF(tblTencentUnits[Products],$A62, tblTencentUnits[cv_2025]) + SUMIF(tblBaiduUnits[Products],$A62, tblBaiduUnits[cv_2025]) + SUMIF(tblByteDanceUnits[Products],$A62, tblByteDanceUnits[cv_2025]) + SUMIF(tblCloudAOUnits[Products],$A62, tblCloudAOUnits[cv_2025]) + SUMIF(tblTelecomUnits[Products],$A62, tblTelecomUnits[cv_2025]) + SUMIF(tblEnterpriseUnits[Products],$A62, tblEnterpriseUnits[cv_2025])</f>
        <v>0</v>
      </c>
      <c r="J62" s="8">
        <f xml:space="preserve"> SUMIF(tblGoogleUnits[Products],$A62, tblGoogleUnits[cv_2026]) + SUMIF(tblMetaUnits[Products],$A62, tblMetaUnits[cv_2026]) + SUMIF(tblAmazonUnits[Products],$A62, tblAmazonUnits[cv_2026]) + SUMIF(tblMicrosoftUnits[Products],$A62, tblMicrosoftUnits[cv_2026]) + SUMIF(tblAppleUnits[Products],$A62, tblAppleUnits[cv_2026]) + SUMIF(tblAlibabaUnits[Products],$A62, tblAlibabaUnits[cv_2026]) + SUMIF(tblHuaweiUnits[Products],$A62, tblHuaweiUnits[cv_2026]) + SUMIF(tblTencentUnits[Products],$A62, tblTencentUnits[cv_2026]) + SUMIF(tblBaiduUnits[Products],$A62, tblBaiduUnits[cv_2026]) + SUMIF(tblByteDanceUnits[Products],$A62, tblByteDanceUnits[cv_2026]) + SUMIF(tblCloudAOUnits[Products],$A62, tblCloudAOUnits[cv_2026]) + SUMIF(tblTelecomUnits[Products],$A62, tblTelecomUnits[cv_2026]) + SUMIF(tblEnterpriseUnits[Products],$A62, tblEnterpriseUnits[cv_2026])</f>
        <v>0</v>
      </c>
      <c r="K62" s="8">
        <f xml:space="preserve"> SUMIF(tblGoogleUnits[Products],$A62, tblGoogleUnits[cv_2027]) + SUMIF(tblMetaUnits[Products],$A62, tblMetaUnits[cv_2027]) + SUMIF(tblAmazonUnits[Products],$A62, tblAmazonUnits[cv_2027]) + SUMIF(tblMicrosoftUnits[Products],$A62, tblMicrosoftUnits[cv_2027]) + SUMIF(tblAppleUnits[Products],$A62, tblAppleUnits[cv_2027]) + SUMIF(tblAlibabaUnits[Products],$A62, tblAlibabaUnits[cv_2027]) + SUMIF(tblHuaweiUnits[Products],$A62, tblHuaweiUnits[cv_2027]) + SUMIF(tblTencentUnits[Products],$A62, tblTencentUnits[cv_2027]) + SUMIF(tblBaiduUnits[Products],$A62, tblBaiduUnits[cv_2027]) + SUMIF(tblByteDanceUnits[Products],$A62, tblByteDanceUnits[cv_2027]) + SUMIF(tblCloudAOUnits[Products],$A62, tblCloudAOUnits[cv_2027]) + SUMIF(tblTelecomUnits[Products],$A62, tblTelecomUnits[cv_2027]) + SUMIF(tblEnterpriseUnits[Products],$A62, tblEnterpriseUnits[cv_2027])</f>
        <v>0</v>
      </c>
      <c r="L62" s="8">
        <f xml:space="preserve"> SUMIF(tblGoogleUnits[Products],$A62, tblGoogleUnits[cv_2028]) + SUMIF(tblMetaUnits[Products],$A62, tblMetaUnits[cv_2028]) + SUMIF(tblAmazonUnits[Products],$A62, tblAmazonUnits[cv_2028]) + SUMIF(tblMicrosoftUnits[Products],$A62, tblMicrosoftUnits[cv_2028]) + SUMIF(tblAppleUnits[Products],$A62, tblAppleUnits[cv_2028]) + SUMIF(tblAlibabaUnits[Products],$A62, tblAlibabaUnits[cv_2028]) + SUMIF(tblHuaweiUnits[Products],$A62, tblHuaweiUnits[cv_2028]) + SUMIF(tblTencentUnits[Products],$A62, tblTencentUnits[cv_2028]) + SUMIF(tblBaiduUnits[Products],$A62, tblBaiduUnits[cv_2028]) + SUMIF(tblByteDanceUnits[Products],$A62, tblByteDanceUnits[cv_2028]) + SUMIF(tblCloudAOUnits[Products],$A62, tblCloudAOUnits[cv_2028]) + SUMIF(tblTelecomUnits[Products],$A62, tblTelecomUnits[cv_2028]) + SUMIF(tblEnterpriseUnits[Products],$A62, tblEnterpriseUnits[cv_2028])</f>
        <v>0</v>
      </c>
      <c r="M62" s="105" cm="1">
        <f t="array" ref="M62">INDEX(tblPrices[cv_2018], MATCH($A62,tblPrices[Products],0), 0)</f>
        <v>170</v>
      </c>
      <c r="N62" s="105" cm="1">
        <f t="array" ref="N62">INDEX(tblPrices[cv_2019], MATCH($A62,tblPrices[Products],0), 0)</f>
        <v>225</v>
      </c>
      <c r="O62" s="105" cm="1">
        <f t="array" ref="O62">INDEX(tblPrices[cv_2020], MATCH($A62,tblPrices[Products],0), 0)</f>
        <v>0</v>
      </c>
      <c r="P62" s="105" cm="1">
        <f t="array" ref="P62">INDEX(tblPrices[cv_2021], MATCH($A62,tblPrices[Products],0), 0)</f>
        <v>0</v>
      </c>
      <c r="Q62" s="105" cm="1">
        <f t="array" ref="Q62">INDEX(tblPrices[cv_2022], MATCH($A62,tblPrices[Products],0), 0)</f>
        <v>0</v>
      </c>
      <c r="R62" s="105" cm="1">
        <f t="array" ref="R62">INDEX(tblPrices[cv_2023], MATCH($A62,tblPrices[Products],0), 0)</f>
        <v>0</v>
      </c>
      <c r="S62" s="105" cm="1">
        <f t="array" ref="S62">INDEX(tblPrices[cv_2024], MATCH($A62,tblPrices[Products],0), 0)</f>
        <v>0</v>
      </c>
      <c r="T62" s="105" cm="1">
        <f t="array" ref="T62">INDEX(tblPrices[cv_2025], MATCH($A62,tblPrices[Products],0), 0)</f>
        <v>0</v>
      </c>
      <c r="U62" s="105" cm="1">
        <f t="array" ref="U62">INDEX(tblPrices[cv_2026], MATCH($A62,tblPrices[Products],0), 0)</f>
        <v>0</v>
      </c>
      <c r="V62" s="105" cm="1">
        <f t="array" ref="V62">INDEX(tblPrices[cv_2027], MATCH($A62,tblPrices[Products],0), 0)</f>
        <v>0</v>
      </c>
      <c r="W62" s="105" cm="1">
        <f t="array" ref="W62">INDEX(tblPrices[cv_2028], MATCH($A62,tblPrices[Products],0), 0)</f>
        <v>0</v>
      </c>
      <c r="X62" s="106" cm="1">
        <f t="array" ref="X62">INDEX(tblPrices[cv_2018], MATCH($A62,tblPrices[Products],0), 0)* tblForecast[[#This Row],[un_2018]]/10^6</f>
        <v>25.5</v>
      </c>
      <c r="Y62" s="106" cm="1">
        <f t="array" ref="Y62">INDEX(tblPrices[cv_2019], MATCH($A62,tblPrices[Products],0), 0)* tblForecast[[#This Row],[un_2019]]/10^6</f>
        <v>45</v>
      </c>
      <c r="Z62" s="106" cm="1">
        <f t="array" ref="Z62">INDEX(tblPrices[cv_2020], MATCH($A62,tblPrices[Products],0), 0)* tblForecast[[#This Row],[un_2020]]/10^6</f>
        <v>0</v>
      </c>
      <c r="AA62" s="106" cm="1">
        <f t="array" ref="AA62">INDEX(tblPrices[cv_2021], MATCH($A62,tblPrices[Products],0), 0)* tblForecast[[#This Row],[un_2021]]/10^6</f>
        <v>0</v>
      </c>
      <c r="AB62" s="106" cm="1">
        <f t="array" ref="AB62">INDEX(tblPrices[cv_2022], MATCH($A62,tblPrices[Products],0), 0)* tblForecast[[#This Row],[un_2022]]/10^6</f>
        <v>0</v>
      </c>
      <c r="AC62" s="106" cm="1">
        <f t="array" ref="AC62">INDEX(tblPrices[cv_2023], MATCH($A62,tblPrices[Products],0), 0)* tblForecast[[#This Row],[un_2023]]/10^6</f>
        <v>0</v>
      </c>
      <c r="AD62" s="106" cm="1">
        <f t="array" ref="AD62">INDEX(tblPrices[cv_2024], MATCH($A62,tblPrices[Products],0), 0)* tblForecast[[#This Row],[un_2024]]/10^6</f>
        <v>0</v>
      </c>
      <c r="AE62" s="106" cm="1">
        <f t="array" ref="AE62">INDEX(tblPrices[cv_2025], MATCH($A62,tblPrices[Products],0), 0)* tblForecast[[#This Row],[un_2025]]/10^6</f>
        <v>0</v>
      </c>
      <c r="AF62" s="106" cm="1">
        <f t="array" ref="AF62">INDEX(tblPrices[cv_2026], MATCH($A62,tblPrices[Products],0), 0)* tblForecast[[#This Row],[un_2026]]/10^6</f>
        <v>0</v>
      </c>
      <c r="AG62" s="106" cm="1">
        <f t="array" ref="AG62">INDEX(tblPrices[cv_2027], MATCH($A62,tblPrices[Products],0), 0)* tblForecast[[#This Row],[un_2027]]/10^6</f>
        <v>0</v>
      </c>
      <c r="AH62" s="106" cm="1">
        <f t="array" ref="AH62">INDEX(tblPrices[cv_2028], MATCH($A62,tblPrices[Products],0), 0)* tblForecast[[#This Row],[un_2028]]/10^6</f>
        <v>0</v>
      </c>
      <c r="AI62" s="60">
        <f>VLOOKUP(A62,Products!$A$11:$F$110,6,FALSE)</f>
        <v>100</v>
      </c>
    </row>
    <row r="63" spans="1:35">
      <c r="A63" s="12" t="s">
        <v>4</v>
      </c>
      <c r="B63" s="8">
        <f xml:space="preserve"> SUMIF(tblGoogleUnits[Products],$A63, tblGoogleUnits[cv_2018]) + SUMIF(tblMetaUnits[Products],$A63, tblMetaUnits[cv_2018]) + SUMIF(tblAmazonUnits[Products],$A63, tblAmazonUnits[cv_2018]) + SUMIF(tblMicrosoftUnits[Products],$A63, tblMicrosoftUnits[cv_2018]) + SUMIF(tblAppleUnits[Products],$A63, tblAppleUnits[cv_2018]) + SUMIF(tblAlibabaUnits[Products],$A63, tblAlibabaUnits[cv_2018]) + SUMIF(tblHuaweiUnits[Products],$A63, tblHuaweiUnits[cv_2018]) + SUMIF(tblTencentUnits[Products],$A63, tblTencentUnits[cv_2018]) + SUMIF(tblBaiduUnits[Products],$A63, tblBaiduUnits[cv_2018]) + SUMIF(tblByteDanceUnits[Products],$A63, tblByteDanceUnits[cv_2018]) + SUMIF(tblCloudAOUnits[Products],$A63, tblCloudAOUnits[cv_2018]) + SUMIF(tblTelecomUnits[Products],$A63, tblTelecomUnits[cv_2018]) + SUMIF(tblEnterpriseUnits[Products],$A63, tblEnterpriseUnits[cv_2018])</f>
        <v>10000</v>
      </c>
      <c r="C63" s="8">
        <f xml:space="preserve"> SUMIF(tblGoogleUnits[Products],$A63, tblGoogleUnits[cv_2019]) + SUMIF(tblMetaUnits[Products],$A63, tblMetaUnits[cv_2019]) + SUMIF(tblAmazonUnits[Products],$A63, tblAmazonUnits[cv_2019]) + SUMIF(tblMicrosoftUnits[Products],$A63, tblMicrosoftUnits[cv_2019]) + SUMIF(tblAppleUnits[Products],$A63, tblAppleUnits[cv_2019]) + SUMIF(tblAlibabaUnits[Products],$A63, tblAlibabaUnits[cv_2019]) + SUMIF(tblHuaweiUnits[Products],$A63, tblHuaweiUnits[cv_2019]) + SUMIF(tblTencentUnits[Products],$A63, tblTencentUnits[cv_2019]) + SUMIF(tblBaiduUnits[Products],$A63, tblBaiduUnits[cv_2019]) + SUMIF(tblByteDanceUnits[Products],$A63, tblByteDanceUnits[cv_2019]) + SUMIF(tblCloudAOUnits[Products],$A63, tblCloudAOUnits[cv_2019]) + SUMIF(tblTelecomUnits[Products],$A63, tblTelecomUnits[cv_2019]) + SUMIF(tblEnterpriseUnits[Products],$A63, tblEnterpriseUnits[cv_2019])</f>
        <v>20000</v>
      </c>
      <c r="D63" s="8">
        <f xml:space="preserve"> SUMIF(tblGoogleUnits[Products],$A63, tblGoogleUnits[cv_2020]) + SUMIF(tblMetaUnits[Products],$A63, tblMetaUnits[cv_2020]) + SUMIF(tblAmazonUnits[Products],$A63, tblAmazonUnits[cv_2020]) + SUMIF(tblMicrosoftUnits[Products],$A63, tblMicrosoftUnits[cv_2020]) + SUMIF(tblAppleUnits[Products],$A63, tblAppleUnits[cv_2020]) + SUMIF(tblAlibabaUnits[Products],$A63, tblAlibabaUnits[cv_2020]) + SUMIF(tblHuaweiUnits[Products],$A63, tblHuaweiUnits[cv_2020]) + SUMIF(tblTencentUnits[Products],$A63, tblTencentUnits[cv_2020]) + SUMIF(tblBaiduUnits[Products],$A63, tblBaiduUnits[cv_2020]) + SUMIF(tblByteDanceUnits[Products],$A63, tblByteDanceUnits[cv_2020]) + SUMIF(tblCloudAOUnits[Products],$A63, tblCloudAOUnits[cv_2020]) + SUMIF(tblTelecomUnits[Products],$A63, tblTelecomUnits[cv_2020]) + SUMIF(tblEnterpriseUnits[Products],$A63, tblEnterpriseUnits[cv_2020])</f>
        <v>0</v>
      </c>
      <c r="E63" s="8">
        <f xml:space="preserve"> SUMIF(tblGoogleUnits[Products],$A63, tblGoogleUnits[cv_2021]) + SUMIF(tblMetaUnits[Products],$A63, tblMetaUnits[cv_2021]) + SUMIF(tblAmazonUnits[Products],$A63, tblAmazonUnits[cv_2021]) + SUMIF(tblMicrosoftUnits[Products],$A63, tblMicrosoftUnits[cv_2021]) + SUMIF(tblAppleUnits[Products],$A63, tblAppleUnits[cv_2021]) + SUMIF(tblAlibabaUnits[Products],$A63, tblAlibabaUnits[cv_2021]) + SUMIF(tblHuaweiUnits[Products],$A63, tblHuaweiUnits[cv_2021]) + SUMIF(tblTencentUnits[Products],$A63, tblTencentUnits[cv_2021]) + SUMIF(tblBaiduUnits[Products],$A63, tblBaiduUnits[cv_2021]) + SUMIF(tblByteDanceUnits[Products],$A63, tblByteDanceUnits[cv_2021]) + SUMIF(tblCloudAOUnits[Products],$A63, tblCloudAOUnits[cv_2021]) + SUMIF(tblTelecomUnits[Products],$A63, tblTelecomUnits[cv_2021]) + SUMIF(tblEnterpriseUnits[Products],$A63, tblEnterpriseUnits[cv_2021])</f>
        <v>0</v>
      </c>
      <c r="F63" s="8">
        <f xml:space="preserve"> SUMIF(tblGoogleUnits[Products],$A63, tblGoogleUnits[cv_2022]) + SUMIF(tblMetaUnits[Products],$A63, tblMetaUnits[cv_2022]) + SUMIF(tblAmazonUnits[Products],$A63, tblAmazonUnits[cv_2022]) + SUMIF(tblMicrosoftUnits[Products],$A63, tblMicrosoftUnits[cv_2022]) + SUMIF(tblAppleUnits[Products],$A63, tblAppleUnits[cv_2022]) + SUMIF(tblAlibabaUnits[Products],$A63, tblAlibabaUnits[cv_2022]) + SUMIF(tblHuaweiUnits[Products],$A63, tblHuaweiUnits[cv_2022]) + SUMIF(tblTencentUnits[Products],$A63, tblTencentUnits[cv_2022]) + SUMIF(tblBaiduUnits[Products],$A63, tblBaiduUnits[cv_2022]) + SUMIF(tblByteDanceUnits[Products],$A63, tblByteDanceUnits[cv_2022]) + SUMIF(tblCloudAOUnits[Products],$A63, tblCloudAOUnits[cv_2022]) + SUMIF(tblTelecomUnits[Products],$A63, tblTelecomUnits[cv_2022]) + SUMIF(tblEnterpriseUnits[Products],$A63, tblEnterpriseUnits[cv_2022])</f>
        <v>0</v>
      </c>
      <c r="G63" s="8">
        <f xml:space="preserve"> SUMIF(tblGoogleUnits[Products],$A63, tblGoogleUnits[cv_2023]) + SUMIF(tblMetaUnits[Products],$A63, tblMetaUnits[cv_2023]) + SUMIF(tblAmazonUnits[Products],$A63, tblAmazonUnits[cv_2023]) + SUMIF(tblMicrosoftUnits[Products],$A63, tblMicrosoftUnits[cv_2023]) + SUMIF(tblAppleUnits[Products],$A63, tblAppleUnits[cv_2023]) + SUMIF(tblAlibabaUnits[Products],$A63, tblAlibabaUnits[cv_2023]) + SUMIF(tblHuaweiUnits[Products],$A63, tblHuaweiUnits[cv_2023]) + SUMIF(tblTencentUnits[Products],$A63, tblTencentUnits[cv_2023]) + SUMIF(tblBaiduUnits[Products],$A63, tblBaiduUnits[cv_2023]) + SUMIF(tblByteDanceUnits[Products],$A63, tblByteDanceUnits[cv_2023]) + SUMIF(tblCloudAOUnits[Products],$A63, tblCloudAOUnits[cv_2023]) + SUMIF(tblTelecomUnits[Products],$A63, tblTelecomUnits[cv_2023]) + SUMIF(tblEnterpriseUnits[Products],$A63, tblEnterpriseUnits[cv_2023])</f>
        <v>0</v>
      </c>
      <c r="H63" s="8">
        <f xml:space="preserve"> SUMIF(tblGoogleUnits[Products],$A63, tblGoogleUnits[cv_2024]) + SUMIF(tblMetaUnits[Products],$A63, tblMetaUnits[cv_2024]) + SUMIF(tblAmazonUnits[Products],$A63, tblAmazonUnits[cv_2024]) + SUMIF(tblMicrosoftUnits[Products],$A63, tblMicrosoftUnits[cv_2024]) + SUMIF(tblAppleUnits[Products],$A63, tblAppleUnits[cv_2024]) + SUMIF(tblAlibabaUnits[Products],$A63, tblAlibabaUnits[cv_2024]) + SUMIF(tblHuaweiUnits[Products],$A63, tblHuaweiUnits[cv_2024]) + SUMIF(tblTencentUnits[Products],$A63, tblTencentUnits[cv_2024]) + SUMIF(tblBaiduUnits[Products],$A63, tblBaiduUnits[cv_2024]) + SUMIF(tblByteDanceUnits[Products],$A63, tblByteDanceUnits[cv_2024]) + SUMIF(tblCloudAOUnits[Products],$A63, tblCloudAOUnits[cv_2024]) + SUMIF(tblTelecomUnits[Products],$A63, tblTelecomUnits[cv_2024]) + SUMIF(tblEnterpriseUnits[Products],$A63, tblEnterpriseUnits[cv_2024])</f>
        <v>0</v>
      </c>
      <c r="I63" s="8">
        <f xml:space="preserve"> SUMIF(tblGoogleUnits[Products],$A63, tblGoogleUnits[cv_2025]) + SUMIF(tblMetaUnits[Products],$A63, tblMetaUnits[cv_2025]) + SUMIF(tblAmazonUnits[Products],$A63, tblAmazonUnits[cv_2025]) + SUMIF(tblMicrosoftUnits[Products],$A63, tblMicrosoftUnits[cv_2025]) + SUMIF(tblAppleUnits[Products],$A63, tblAppleUnits[cv_2025]) + SUMIF(tblAlibabaUnits[Products],$A63, tblAlibabaUnits[cv_2025]) + SUMIF(tblHuaweiUnits[Products],$A63, tblHuaweiUnits[cv_2025]) + SUMIF(tblTencentUnits[Products],$A63, tblTencentUnits[cv_2025]) + SUMIF(tblBaiduUnits[Products],$A63, tblBaiduUnits[cv_2025]) + SUMIF(tblByteDanceUnits[Products],$A63, tblByteDanceUnits[cv_2025]) + SUMIF(tblCloudAOUnits[Products],$A63, tblCloudAOUnits[cv_2025]) + SUMIF(tblTelecomUnits[Products],$A63, tblTelecomUnits[cv_2025]) + SUMIF(tblEnterpriseUnits[Products],$A63, tblEnterpriseUnits[cv_2025])</f>
        <v>0</v>
      </c>
      <c r="J63" s="8">
        <f xml:space="preserve"> SUMIF(tblGoogleUnits[Products],$A63, tblGoogleUnits[cv_2026]) + SUMIF(tblMetaUnits[Products],$A63, tblMetaUnits[cv_2026]) + SUMIF(tblAmazonUnits[Products],$A63, tblAmazonUnits[cv_2026]) + SUMIF(tblMicrosoftUnits[Products],$A63, tblMicrosoftUnits[cv_2026]) + SUMIF(tblAppleUnits[Products],$A63, tblAppleUnits[cv_2026]) + SUMIF(tblAlibabaUnits[Products],$A63, tblAlibabaUnits[cv_2026]) + SUMIF(tblHuaweiUnits[Products],$A63, tblHuaweiUnits[cv_2026]) + SUMIF(tblTencentUnits[Products],$A63, tblTencentUnits[cv_2026]) + SUMIF(tblBaiduUnits[Products],$A63, tblBaiduUnits[cv_2026]) + SUMIF(tblByteDanceUnits[Products],$A63, tblByteDanceUnits[cv_2026]) + SUMIF(tblCloudAOUnits[Products],$A63, tblCloudAOUnits[cv_2026]) + SUMIF(tblTelecomUnits[Products],$A63, tblTelecomUnits[cv_2026]) + SUMIF(tblEnterpriseUnits[Products],$A63, tblEnterpriseUnits[cv_2026])</f>
        <v>0</v>
      </c>
      <c r="K63" s="8">
        <f xml:space="preserve"> SUMIF(tblGoogleUnits[Products],$A63, tblGoogleUnits[cv_2027]) + SUMIF(tblMetaUnits[Products],$A63, tblMetaUnits[cv_2027]) + SUMIF(tblAmazonUnits[Products],$A63, tblAmazonUnits[cv_2027]) + SUMIF(tblMicrosoftUnits[Products],$A63, tblMicrosoftUnits[cv_2027]) + SUMIF(tblAppleUnits[Products],$A63, tblAppleUnits[cv_2027]) + SUMIF(tblAlibabaUnits[Products],$A63, tblAlibabaUnits[cv_2027]) + SUMIF(tblHuaweiUnits[Products],$A63, tblHuaweiUnits[cv_2027]) + SUMIF(tblTencentUnits[Products],$A63, tblTencentUnits[cv_2027]) + SUMIF(tblBaiduUnits[Products],$A63, tblBaiduUnits[cv_2027]) + SUMIF(tblByteDanceUnits[Products],$A63, tblByteDanceUnits[cv_2027]) + SUMIF(tblCloudAOUnits[Products],$A63, tblCloudAOUnits[cv_2027]) + SUMIF(tblTelecomUnits[Products],$A63, tblTelecomUnits[cv_2027]) + SUMIF(tblEnterpriseUnits[Products],$A63, tblEnterpriseUnits[cv_2027])</f>
        <v>0</v>
      </c>
      <c r="L63" s="8">
        <f xml:space="preserve"> SUMIF(tblGoogleUnits[Products],$A63, tblGoogleUnits[cv_2028]) + SUMIF(tblMetaUnits[Products],$A63, tblMetaUnits[cv_2028]) + SUMIF(tblAmazonUnits[Products],$A63, tblAmazonUnits[cv_2028]) + SUMIF(tblMicrosoftUnits[Products],$A63, tblMicrosoftUnits[cv_2028]) + SUMIF(tblAppleUnits[Products],$A63, tblAppleUnits[cv_2028]) + SUMIF(tblAlibabaUnits[Products],$A63, tblAlibabaUnits[cv_2028]) + SUMIF(tblHuaweiUnits[Products],$A63, tblHuaweiUnits[cv_2028]) + SUMIF(tblTencentUnits[Products],$A63, tblTencentUnits[cv_2028]) + SUMIF(tblBaiduUnits[Products],$A63, tblBaiduUnits[cv_2028]) + SUMIF(tblByteDanceUnits[Products],$A63, tblByteDanceUnits[cv_2028]) + SUMIF(tblCloudAOUnits[Products],$A63, tblCloudAOUnits[cv_2028]) + SUMIF(tblTelecomUnits[Products],$A63, tblTelecomUnits[cv_2028]) + SUMIF(tblEnterpriseUnits[Products],$A63, tblEnterpriseUnits[cv_2028])</f>
        <v>0</v>
      </c>
      <c r="M63" s="105" cm="1">
        <f t="array" ref="M63">INDEX(tblPrices[cv_2018], MATCH($A63,tblPrices[Products],0), 0)</f>
        <v>170</v>
      </c>
      <c r="N63" s="105" cm="1">
        <f t="array" ref="N63">INDEX(tblPrices[cv_2019], MATCH($A63,tblPrices[Products],0), 0)</f>
        <v>125</v>
      </c>
      <c r="O63" s="105" cm="1">
        <f t="array" ref="O63">INDEX(tblPrices[cv_2020], MATCH($A63,tblPrices[Products],0), 0)</f>
        <v>0</v>
      </c>
      <c r="P63" s="105" cm="1">
        <f t="array" ref="P63">INDEX(tblPrices[cv_2021], MATCH($A63,tblPrices[Products],0), 0)</f>
        <v>0</v>
      </c>
      <c r="Q63" s="105" cm="1">
        <f t="array" ref="Q63">INDEX(tblPrices[cv_2022], MATCH($A63,tblPrices[Products],0), 0)</f>
        <v>0</v>
      </c>
      <c r="R63" s="105" cm="1">
        <f t="array" ref="R63">INDEX(tblPrices[cv_2023], MATCH($A63,tblPrices[Products],0), 0)</f>
        <v>0</v>
      </c>
      <c r="S63" s="105" cm="1">
        <f t="array" ref="S63">INDEX(tblPrices[cv_2024], MATCH($A63,tblPrices[Products],0), 0)</f>
        <v>0</v>
      </c>
      <c r="T63" s="105" cm="1">
        <f t="array" ref="T63">INDEX(tblPrices[cv_2025], MATCH($A63,tblPrices[Products],0), 0)</f>
        <v>0</v>
      </c>
      <c r="U63" s="105" cm="1">
        <f t="array" ref="U63">INDEX(tblPrices[cv_2026], MATCH($A63,tblPrices[Products],0), 0)</f>
        <v>0</v>
      </c>
      <c r="V63" s="105" cm="1">
        <f t="array" ref="V63">INDEX(tblPrices[cv_2027], MATCH($A63,tblPrices[Products],0), 0)</f>
        <v>0</v>
      </c>
      <c r="W63" s="105" cm="1">
        <f t="array" ref="W63">INDEX(tblPrices[cv_2028], MATCH($A63,tblPrices[Products],0), 0)</f>
        <v>0</v>
      </c>
      <c r="X63" s="106" cm="1">
        <f t="array" ref="X63">INDEX(tblPrices[cv_2018], MATCH($A63,tblPrices[Products],0), 0)* tblForecast[[#This Row],[un_2018]]/10^6</f>
        <v>1.7</v>
      </c>
      <c r="Y63" s="106" cm="1">
        <f t="array" ref="Y63">INDEX(tblPrices[cv_2019], MATCH($A63,tblPrices[Products],0), 0)* tblForecast[[#This Row],[un_2019]]/10^6</f>
        <v>2.5</v>
      </c>
      <c r="Z63" s="106" cm="1">
        <f t="array" ref="Z63">INDEX(tblPrices[cv_2020], MATCH($A63,tblPrices[Products],0), 0)* tblForecast[[#This Row],[un_2020]]/10^6</f>
        <v>0</v>
      </c>
      <c r="AA63" s="106" cm="1">
        <f t="array" ref="AA63">INDEX(tblPrices[cv_2021], MATCH($A63,tblPrices[Products],0), 0)* tblForecast[[#This Row],[un_2021]]/10^6</f>
        <v>0</v>
      </c>
      <c r="AB63" s="106" cm="1">
        <f t="array" ref="AB63">INDEX(tblPrices[cv_2022], MATCH($A63,tblPrices[Products],0), 0)* tblForecast[[#This Row],[un_2022]]/10^6</f>
        <v>0</v>
      </c>
      <c r="AC63" s="106" cm="1">
        <f t="array" ref="AC63">INDEX(tblPrices[cv_2023], MATCH($A63,tblPrices[Products],0), 0)* tblForecast[[#This Row],[un_2023]]/10^6</f>
        <v>0</v>
      </c>
      <c r="AD63" s="106" cm="1">
        <f t="array" ref="AD63">INDEX(tblPrices[cv_2024], MATCH($A63,tblPrices[Products],0), 0)* tblForecast[[#This Row],[un_2024]]/10^6</f>
        <v>0</v>
      </c>
      <c r="AE63" s="106" cm="1">
        <f t="array" ref="AE63">INDEX(tblPrices[cv_2025], MATCH($A63,tblPrices[Products],0), 0)* tblForecast[[#This Row],[un_2025]]/10^6</f>
        <v>0</v>
      </c>
      <c r="AF63" s="106" cm="1">
        <f t="array" ref="AF63">INDEX(tblPrices[cv_2026], MATCH($A63,tblPrices[Products],0), 0)* tblForecast[[#This Row],[un_2026]]/10^6</f>
        <v>0</v>
      </c>
      <c r="AG63" s="106" cm="1">
        <f t="array" ref="AG63">INDEX(tblPrices[cv_2027], MATCH($A63,tblPrices[Products],0), 0)* tblForecast[[#This Row],[un_2027]]/10^6</f>
        <v>0</v>
      </c>
      <c r="AH63" s="106" cm="1">
        <f t="array" ref="AH63">INDEX(tblPrices[cv_2028], MATCH($A63,tblPrices[Products],0), 0)* tblForecast[[#This Row],[un_2028]]/10^6</f>
        <v>0</v>
      </c>
      <c r="AI63" s="60">
        <f>VLOOKUP(A63,Products!$A$11:$F$110,6,FALSE)</f>
        <v>100</v>
      </c>
    </row>
    <row r="64" spans="1:35">
      <c r="A64" s="12" t="s">
        <v>43</v>
      </c>
      <c r="B64" s="8">
        <f xml:space="preserve"> SUMIF(tblGoogleUnits[Products],$A64, tblGoogleUnits[cv_2018]) + SUMIF(tblMetaUnits[Products],$A64, tblMetaUnits[cv_2018]) + SUMIF(tblAmazonUnits[Products],$A64, tblAmazonUnits[cv_2018]) + SUMIF(tblMicrosoftUnits[Products],$A64, tblMicrosoftUnits[cv_2018]) + SUMIF(tblAppleUnits[Products],$A64, tblAppleUnits[cv_2018]) + SUMIF(tblAlibabaUnits[Products],$A64, tblAlibabaUnits[cv_2018]) + SUMIF(tblHuaweiUnits[Products],$A64, tblHuaweiUnits[cv_2018]) + SUMIF(tblTencentUnits[Products],$A64, tblTencentUnits[cv_2018]) + SUMIF(tblBaiduUnits[Products],$A64, tblBaiduUnits[cv_2018]) + SUMIF(tblByteDanceUnits[Products],$A64, tblByteDanceUnits[cv_2018]) + SUMIF(tblCloudAOUnits[Products],$A64, tblCloudAOUnits[cv_2018]) + SUMIF(tblTelecomUnits[Products],$A64, tblTelecomUnits[cv_2018]) + SUMIF(tblEnterpriseUnits[Products],$A64, tblEnterpriseUnits[cv_2018])</f>
        <v>514311</v>
      </c>
      <c r="C64" s="8">
        <f xml:space="preserve"> SUMIF(tblGoogleUnits[Products],$A64, tblGoogleUnits[cv_2019]) + SUMIF(tblMetaUnits[Products],$A64, tblMetaUnits[cv_2019]) + SUMIF(tblAmazonUnits[Products],$A64, tblAmazonUnits[cv_2019]) + SUMIF(tblMicrosoftUnits[Products],$A64, tblMicrosoftUnits[cv_2019]) + SUMIF(tblAppleUnits[Products],$A64, tblAppleUnits[cv_2019]) + SUMIF(tblAlibabaUnits[Products],$A64, tblAlibabaUnits[cv_2019]) + SUMIF(tblHuaweiUnits[Products],$A64, tblHuaweiUnits[cv_2019]) + SUMIF(tblTencentUnits[Products],$A64, tblTencentUnits[cv_2019]) + SUMIF(tblBaiduUnits[Products],$A64, tblBaiduUnits[cv_2019]) + SUMIF(tblByteDanceUnits[Products],$A64, tblByteDanceUnits[cv_2019]) + SUMIF(tblCloudAOUnits[Products],$A64, tblCloudAOUnits[cv_2019]) + SUMIF(tblTelecomUnits[Products],$A64, tblTelecomUnits[cv_2019]) + SUMIF(tblEnterpriseUnits[Products],$A64, tblEnterpriseUnits[cv_2019])</f>
        <v>829300</v>
      </c>
      <c r="D64" s="8">
        <f xml:space="preserve"> SUMIF(tblGoogleUnits[Products],$A64, tblGoogleUnits[cv_2020]) + SUMIF(tblMetaUnits[Products],$A64, tblMetaUnits[cv_2020]) + SUMIF(tblAmazonUnits[Products],$A64, tblAmazonUnits[cv_2020]) + SUMIF(tblMicrosoftUnits[Products],$A64, tblMicrosoftUnits[cv_2020]) + SUMIF(tblAppleUnits[Products],$A64, tblAppleUnits[cv_2020]) + SUMIF(tblAlibabaUnits[Products],$A64, tblAlibabaUnits[cv_2020]) + SUMIF(tblHuaweiUnits[Products],$A64, tblHuaweiUnits[cv_2020]) + SUMIF(tblTencentUnits[Products],$A64, tblTencentUnits[cv_2020]) + SUMIF(tblBaiduUnits[Products],$A64, tblBaiduUnits[cv_2020]) + SUMIF(tblByteDanceUnits[Products],$A64, tblByteDanceUnits[cv_2020]) + SUMIF(tblCloudAOUnits[Products],$A64, tblCloudAOUnits[cv_2020]) + SUMIF(tblTelecomUnits[Products],$A64, tblTelecomUnits[cv_2020]) + SUMIF(tblEnterpriseUnits[Products],$A64, tblEnterpriseUnits[cv_2020])</f>
        <v>0</v>
      </c>
      <c r="E64" s="8">
        <f xml:space="preserve"> SUMIF(tblGoogleUnits[Products],$A64, tblGoogleUnits[cv_2021]) + SUMIF(tblMetaUnits[Products],$A64, tblMetaUnits[cv_2021]) + SUMIF(tblAmazonUnits[Products],$A64, tblAmazonUnits[cv_2021]) + SUMIF(tblMicrosoftUnits[Products],$A64, tblMicrosoftUnits[cv_2021]) + SUMIF(tblAppleUnits[Products],$A64, tblAppleUnits[cv_2021]) + SUMIF(tblAlibabaUnits[Products],$A64, tblAlibabaUnits[cv_2021]) + SUMIF(tblHuaweiUnits[Products],$A64, tblHuaweiUnits[cv_2021]) + SUMIF(tblTencentUnits[Products],$A64, tblTencentUnits[cv_2021]) + SUMIF(tblBaiduUnits[Products],$A64, tblBaiduUnits[cv_2021]) + SUMIF(tblByteDanceUnits[Products],$A64, tblByteDanceUnits[cv_2021]) + SUMIF(tblCloudAOUnits[Products],$A64, tblCloudAOUnits[cv_2021]) + SUMIF(tblTelecomUnits[Products],$A64, tblTelecomUnits[cv_2021]) + SUMIF(tblEnterpriseUnits[Products],$A64, tblEnterpriseUnits[cv_2021])</f>
        <v>0</v>
      </c>
      <c r="F64" s="8">
        <f xml:space="preserve"> SUMIF(tblGoogleUnits[Products],$A64, tblGoogleUnits[cv_2022]) + SUMIF(tblMetaUnits[Products],$A64, tblMetaUnits[cv_2022]) + SUMIF(tblAmazonUnits[Products],$A64, tblAmazonUnits[cv_2022]) + SUMIF(tblMicrosoftUnits[Products],$A64, tblMicrosoftUnits[cv_2022]) + SUMIF(tblAppleUnits[Products],$A64, tblAppleUnits[cv_2022]) + SUMIF(tblAlibabaUnits[Products],$A64, tblAlibabaUnits[cv_2022]) + SUMIF(tblHuaweiUnits[Products],$A64, tblHuaweiUnits[cv_2022]) + SUMIF(tblTencentUnits[Products],$A64, tblTencentUnits[cv_2022]) + SUMIF(tblBaiduUnits[Products],$A64, tblBaiduUnits[cv_2022]) + SUMIF(tblByteDanceUnits[Products],$A64, tblByteDanceUnits[cv_2022]) + SUMIF(tblCloudAOUnits[Products],$A64, tblCloudAOUnits[cv_2022]) + SUMIF(tblTelecomUnits[Products],$A64, tblTelecomUnits[cv_2022]) + SUMIF(tblEnterpriseUnits[Products],$A64, tblEnterpriseUnits[cv_2022])</f>
        <v>0</v>
      </c>
      <c r="G64" s="8">
        <f xml:space="preserve"> SUMIF(tblGoogleUnits[Products],$A64, tblGoogleUnits[cv_2023]) + SUMIF(tblMetaUnits[Products],$A64, tblMetaUnits[cv_2023]) + SUMIF(tblAmazonUnits[Products],$A64, tblAmazonUnits[cv_2023]) + SUMIF(tblMicrosoftUnits[Products],$A64, tblMicrosoftUnits[cv_2023]) + SUMIF(tblAppleUnits[Products],$A64, tblAppleUnits[cv_2023]) + SUMIF(tblAlibabaUnits[Products],$A64, tblAlibabaUnits[cv_2023]) + SUMIF(tblHuaweiUnits[Products],$A64, tblHuaweiUnits[cv_2023]) + SUMIF(tblTencentUnits[Products],$A64, tblTencentUnits[cv_2023]) + SUMIF(tblBaiduUnits[Products],$A64, tblBaiduUnits[cv_2023]) + SUMIF(tblByteDanceUnits[Products],$A64, tblByteDanceUnits[cv_2023]) + SUMIF(tblCloudAOUnits[Products],$A64, tblCloudAOUnits[cv_2023]) + SUMIF(tblTelecomUnits[Products],$A64, tblTelecomUnits[cv_2023]) + SUMIF(tblEnterpriseUnits[Products],$A64, tblEnterpriseUnits[cv_2023])</f>
        <v>0</v>
      </c>
      <c r="H64" s="8">
        <f xml:space="preserve"> SUMIF(tblGoogleUnits[Products],$A64, tblGoogleUnits[cv_2024]) + SUMIF(tblMetaUnits[Products],$A64, tblMetaUnits[cv_2024]) + SUMIF(tblAmazonUnits[Products],$A64, tblAmazonUnits[cv_2024]) + SUMIF(tblMicrosoftUnits[Products],$A64, tblMicrosoftUnits[cv_2024]) + SUMIF(tblAppleUnits[Products],$A64, tblAppleUnits[cv_2024]) + SUMIF(tblAlibabaUnits[Products],$A64, tblAlibabaUnits[cv_2024]) + SUMIF(tblHuaweiUnits[Products],$A64, tblHuaweiUnits[cv_2024]) + SUMIF(tblTencentUnits[Products],$A64, tblTencentUnits[cv_2024]) + SUMIF(tblBaiduUnits[Products],$A64, tblBaiduUnits[cv_2024]) + SUMIF(tblByteDanceUnits[Products],$A64, tblByteDanceUnits[cv_2024]) + SUMIF(tblCloudAOUnits[Products],$A64, tblCloudAOUnits[cv_2024]) + SUMIF(tblTelecomUnits[Products],$A64, tblTelecomUnits[cv_2024]) + SUMIF(tblEnterpriseUnits[Products],$A64, tblEnterpriseUnits[cv_2024])</f>
        <v>0</v>
      </c>
      <c r="I64" s="8">
        <f xml:space="preserve"> SUMIF(tblGoogleUnits[Products],$A64, tblGoogleUnits[cv_2025]) + SUMIF(tblMetaUnits[Products],$A64, tblMetaUnits[cv_2025]) + SUMIF(tblAmazonUnits[Products],$A64, tblAmazonUnits[cv_2025]) + SUMIF(tblMicrosoftUnits[Products],$A64, tblMicrosoftUnits[cv_2025]) + SUMIF(tblAppleUnits[Products],$A64, tblAppleUnits[cv_2025]) + SUMIF(tblAlibabaUnits[Products],$A64, tblAlibabaUnits[cv_2025]) + SUMIF(tblHuaweiUnits[Products],$A64, tblHuaweiUnits[cv_2025]) + SUMIF(tblTencentUnits[Products],$A64, tblTencentUnits[cv_2025]) + SUMIF(tblBaiduUnits[Products],$A64, tblBaiduUnits[cv_2025]) + SUMIF(tblByteDanceUnits[Products],$A64, tblByteDanceUnits[cv_2025]) + SUMIF(tblCloudAOUnits[Products],$A64, tblCloudAOUnits[cv_2025]) + SUMIF(tblTelecomUnits[Products],$A64, tblTelecomUnits[cv_2025]) + SUMIF(tblEnterpriseUnits[Products],$A64, tblEnterpriseUnits[cv_2025])</f>
        <v>0</v>
      </c>
      <c r="J64" s="8">
        <f xml:space="preserve"> SUMIF(tblGoogleUnits[Products],$A64, tblGoogleUnits[cv_2026]) + SUMIF(tblMetaUnits[Products],$A64, tblMetaUnits[cv_2026]) + SUMIF(tblAmazonUnits[Products],$A64, tblAmazonUnits[cv_2026]) + SUMIF(tblMicrosoftUnits[Products],$A64, tblMicrosoftUnits[cv_2026]) + SUMIF(tblAppleUnits[Products],$A64, tblAppleUnits[cv_2026]) + SUMIF(tblAlibabaUnits[Products],$A64, tblAlibabaUnits[cv_2026]) + SUMIF(tblHuaweiUnits[Products],$A64, tblHuaweiUnits[cv_2026]) + SUMIF(tblTencentUnits[Products],$A64, tblTencentUnits[cv_2026]) + SUMIF(tblBaiduUnits[Products],$A64, tblBaiduUnits[cv_2026]) + SUMIF(tblByteDanceUnits[Products],$A64, tblByteDanceUnits[cv_2026]) + SUMIF(tblCloudAOUnits[Products],$A64, tblCloudAOUnits[cv_2026]) + SUMIF(tblTelecomUnits[Products],$A64, tblTelecomUnits[cv_2026]) + SUMIF(tblEnterpriseUnits[Products],$A64, tblEnterpriseUnits[cv_2026])</f>
        <v>0</v>
      </c>
      <c r="K64" s="8">
        <f xml:space="preserve"> SUMIF(tblGoogleUnits[Products],$A64, tblGoogleUnits[cv_2027]) + SUMIF(tblMetaUnits[Products],$A64, tblMetaUnits[cv_2027]) + SUMIF(tblAmazonUnits[Products],$A64, tblAmazonUnits[cv_2027]) + SUMIF(tblMicrosoftUnits[Products],$A64, tblMicrosoftUnits[cv_2027]) + SUMIF(tblAppleUnits[Products],$A64, tblAppleUnits[cv_2027]) + SUMIF(tblAlibabaUnits[Products],$A64, tblAlibabaUnits[cv_2027]) + SUMIF(tblHuaweiUnits[Products],$A64, tblHuaweiUnits[cv_2027]) + SUMIF(tblTencentUnits[Products],$A64, tblTencentUnits[cv_2027]) + SUMIF(tblBaiduUnits[Products],$A64, tblBaiduUnits[cv_2027]) + SUMIF(tblByteDanceUnits[Products],$A64, tblByteDanceUnits[cv_2027]) + SUMIF(tblCloudAOUnits[Products],$A64, tblCloudAOUnits[cv_2027]) + SUMIF(tblTelecomUnits[Products],$A64, tblTelecomUnits[cv_2027]) + SUMIF(tblEnterpriseUnits[Products],$A64, tblEnterpriseUnits[cv_2027])</f>
        <v>0</v>
      </c>
      <c r="L64" s="8">
        <f xml:space="preserve"> SUMIF(tblGoogleUnits[Products],$A64, tblGoogleUnits[cv_2028]) + SUMIF(tblMetaUnits[Products],$A64, tblMetaUnits[cv_2028]) + SUMIF(tblAmazonUnits[Products],$A64, tblAmazonUnits[cv_2028]) + SUMIF(tblMicrosoftUnits[Products],$A64, tblMicrosoftUnits[cv_2028]) + SUMIF(tblAppleUnits[Products],$A64, tblAppleUnits[cv_2028]) + SUMIF(tblAlibabaUnits[Products],$A64, tblAlibabaUnits[cv_2028]) + SUMIF(tblHuaweiUnits[Products],$A64, tblHuaweiUnits[cv_2028]) + SUMIF(tblTencentUnits[Products],$A64, tblTencentUnits[cv_2028]) + SUMIF(tblBaiduUnits[Products],$A64, tblBaiduUnits[cv_2028]) + SUMIF(tblByteDanceUnits[Products],$A64, tblByteDanceUnits[cv_2028]) + SUMIF(tblCloudAOUnits[Products],$A64, tblCloudAOUnits[cv_2028]) + SUMIF(tblTelecomUnits[Products],$A64, tblTelecomUnits[cv_2028]) + SUMIF(tblEnterpriseUnits[Products],$A64, tblEnterpriseUnits[cv_2028])</f>
        <v>0</v>
      </c>
      <c r="M64" s="105" cm="1">
        <f t="array" ref="M64">INDEX(tblPrices[cv_2018], MATCH($A64,tblPrices[Products],0), 0)</f>
        <v>188.02033788894266</v>
      </c>
      <c r="N64" s="105" cm="1">
        <f t="array" ref="N64">INDEX(tblPrices[cv_2019], MATCH($A64,tblPrices[Products],0), 0)</f>
        <v>160.00527287107832</v>
      </c>
      <c r="O64" s="105" cm="1">
        <f t="array" ref="O64">INDEX(tblPrices[cv_2020], MATCH($A64,tblPrices[Products],0), 0)</f>
        <v>0</v>
      </c>
      <c r="P64" s="105" cm="1">
        <f t="array" ref="P64">INDEX(tblPrices[cv_2021], MATCH($A64,tblPrices[Products],0), 0)</f>
        <v>0</v>
      </c>
      <c r="Q64" s="105" cm="1">
        <f t="array" ref="Q64">INDEX(tblPrices[cv_2022], MATCH($A64,tblPrices[Products],0), 0)</f>
        <v>0</v>
      </c>
      <c r="R64" s="105" cm="1">
        <f t="array" ref="R64">INDEX(tblPrices[cv_2023], MATCH($A64,tblPrices[Products],0), 0)</f>
        <v>0</v>
      </c>
      <c r="S64" s="105" cm="1">
        <f t="array" ref="S64">INDEX(tblPrices[cv_2024], MATCH($A64,tblPrices[Products],0), 0)</f>
        <v>0</v>
      </c>
      <c r="T64" s="105" cm="1">
        <f t="array" ref="T64">INDEX(tblPrices[cv_2025], MATCH($A64,tblPrices[Products],0), 0)</f>
        <v>0</v>
      </c>
      <c r="U64" s="105" cm="1">
        <f t="array" ref="U64">INDEX(tblPrices[cv_2026], MATCH($A64,tblPrices[Products],0), 0)</f>
        <v>0</v>
      </c>
      <c r="V64" s="105" cm="1">
        <f t="array" ref="V64">INDEX(tblPrices[cv_2027], MATCH($A64,tblPrices[Products],0), 0)</f>
        <v>0</v>
      </c>
      <c r="W64" s="105" cm="1">
        <f t="array" ref="W64">INDEX(tblPrices[cv_2028], MATCH($A64,tblPrices[Products],0), 0)</f>
        <v>0</v>
      </c>
      <c r="X64" s="106" cm="1">
        <f t="array" ref="X64">INDEX(tblPrices[cv_2018], MATCH($A64,tblPrices[Products],0), 0)* tblForecast[[#This Row],[un_2018]]/10^6</f>
        <v>96.70092799999999</v>
      </c>
      <c r="Y64" s="106" cm="1">
        <f t="array" ref="Y64">INDEX(tblPrices[cv_2019], MATCH($A64,tblPrices[Products],0), 0)* tblForecast[[#This Row],[un_2019]]/10^6</f>
        <v>132.69237279198524</v>
      </c>
      <c r="Z64" s="106" cm="1">
        <f t="array" ref="Z64">INDEX(tblPrices[cv_2020], MATCH($A64,tblPrices[Products],0), 0)* tblForecast[[#This Row],[un_2020]]/10^6</f>
        <v>0</v>
      </c>
      <c r="AA64" s="106" cm="1">
        <f t="array" ref="AA64">INDEX(tblPrices[cv_2021], MATCH($A64,tblPrices[Products],0), 0)* tblForecast[[#This Row],[un_2021]]/10^6</f>
        <v>0</v>
      </c>
      <c r="AB64" s="106" cm="1">
        <f t="array" ref="AB64">INDEX(tblPrices[cv_2022], MATCH($A64,tblPrices[Products],0), 0)* tblForecast[[#This Row],[un_2022]]/10^6</f>
        <v>0</v>
      </c>
      <c r="AC64" s="106" cm="1">
        <f t="array" ref="AC64">INDEX(tblPrices[cv_2023], MATCH($A64,tblPrices[Products],0), 0)* tblForecast[[#This Row],[un_2023]]/10^6</f>
        <v>0</v>
      </c>
      <c r="AD64" s="106" cm="1">
        <f t="array" ref="AD64">INDEX(tblPrices[cv_2024], MATCH($A64,tblPrices[Products],0), 0)* tblForecast[[#This Row],[un_2024]]/10^6</f>
        <v>0</v>
      </c>
      <c r="AE64" s="106" cm="1">
        <f t="array" ref="AE64">INDEX(tblPrices[cv_2025], MATCH($A64,tblPrices[Products],0), 0)* tblForecast[[#This Row],[un_2025]]/10^6</f>
        <v>0</v>
      </c>
      <c r="AF64" s="106" cm="1">
        <f t="array" ref="AF64">INDEX(tblPrices[cv_2026], MATCH($A64,tblPrices[Products],0), 0)* tblForecast[[#This Row],[un_2026]]/10^6</f>
        <v>0</v>
      </c>
      <c r="AG64" s="106" cm="1">
        <f t="array" ref="AG64">INDEX(tblPrices[cv_2027], MATCH($A64,tblPrices[Products],0), 0)* tblForecast[[#This Row],[un_2027]]/10^6</f>
        <v>0</v>
      </c>
      <c r="AH64" s="106" cm="1">
        <f t="array" ref="AH64">INDEX(tblPrices[cv_2028], MATCH($A64,tblPrices[Products],0), 0)* tblForecast[[#This Row],[un_2028]]/10^6</f>
        <v>0</v>
      </c>
      <c r="AI64" s="60">
        <f>VLOOKUP(A64,Products!$A$11:$F$110,6,FALSE)</f>
        <v>100</v>
      </c>
    </row>
    <row r="65" spans="1:35">
      <c r="A65" s="12" t="s">
        <v>44</v>
      </c>
      <c r="B65" s="8">
        <f xml:space="preserve"> SUMIF(tblGoogleUnits[Products],$A65, tblGoogleUnits[cv_2018]) + SUMIF(tblMetaUnits[Products],$A65, tblMetaUnits[cv_2018]) + SUMIF(tblAmazonUnits[Products],$A65, tblAmazonUnits[cv_2018]) + SUMIF(tblMicrosoftUnits[Products],$A65, tblMicrosoftUnits[cv_2018]) + SUMIF(tblAppleUnits[Products],$A65, tblAppleUnits[cv_2018]) + SUMIF(tblAlibabaUnits[Products],$A65, tblAlibabaUnits[cv_2018]) + SUMIF(tblHuaweiUnits[Products],$A65, tblHuaweiUnits[cv_2018]) + SUMIF(tblTencentUnits[Products],$A65, tblTencentUnits[cv_2018]) + SUMIF(tblBaiduUnits[Products],$A65, tblBaiduUnits[cv_2018]) + SUMIF(tblByteDanceUnits[Products],$A65, tblByteDanceUnits[cv_2018]) + SUMIF(tblCloudAOUnits[Products],$A65, tblCloudAOUnits[cv_2018]) + SUMIF(tblTelecomUnits[Products],$A65, tblTelecomUnits[cv_2018]) + SUMIF(tblEnterpriseUnits[Products],$A65, tblEnterpriseUnits[cv_2018])</f>
        <v>0</v>
      </c>
      <c r="C65" s="8">
        <f xml:space="preserve"> SUMIF(tblGoogleUnits[Products],$A65, tblGoogleUnits[cv_2019]) + SUMIF(tblMetaUnits[Products],$A65, tblMetaUnits[cv_2019]) + SUMIF(tblAmazonUnits[Products],$A65, tblAmazonUnits[cv_2019]) + SUMIF(tblMicrosoftUnits[Products],$A65, tblMicrosoftUnits[cv_2019]) + SUMIF(tblAppleUnits[Products],$A65, tblAppleUnits[cv_2019]) + SUMIF(tblAlibabaUnits[Products],$A65, tblAlibabaUnits[cv_2019]) + SUMIF(tblHuaweiUnits[Products],$A65, tblHuaweiUnits[cv_2019]) + SUMIF(tblTencentUnits[Products],$A65, tblTencentUnits[cv_2019]) + SUMIF(tblBaiduUnits[Products],$A65, tblBaiduUnits[cv_2019]) + SUMIF(tblByteDanceUnits[Products],$A65, tblByteDanceUnits[cv_2019]) + SUMIF(tblCloudAOUnits[Products],$A65, tblCloudAOUnits[cv_2019]) + SUMIF(tblTelecomUnits[Products],$A65, tblTelecomUnits[cv_2019]) + SUMIF(tblEnterpriseUnits[Products],$A65, tblEnterpriseUnits[cv_2019])</f>
        <v>0</v>
      </c>
      <c r="D65" s="8">
        <f xml:space="preserve"> SUMIF(tblGoogleUnits[Products],$A65, tblGoogleUnits[cv_2020]) + SUMIF(tblMetaUnits[Products],$A65, tblMetaUnits[cv_2020]) + SUMIF(tblAmazonUnits[Products],$A65, tblAmazonUnits[cv_2020]) + SUMIF(tblMicrosoftUnits[Products],$A65, tblMicrosoftUnits[cv_2020]) + SUMIF(tblAppleUnits[Products],$A65, tblAppleUnits[cv_2020]) + SUMIF(tblAlibabaUnits[Products],$A65, tblAlibabaUnits[cv_2020]) + SUMIF(tblHuaweiUnits[Products],$A65, tblHuaweiUnits[cv_2020]) + SUMIF(tblTencentUnits[Products],$A65, tblTencentUnits[cv_2020]) + SUMIF(tblBaiduUnits[Products],$A65, tblBaiduUnits[cv_2020]) + SUMIF(tblByteDanceUnits[Products],$A65, tblByteDanceUnits[cv_2020]) + SUMIF(tblCloudAOUnits[Products],$A65, tblCloudAOUnits[cv_2020]) + SUMIF(tblTelecomUnits[Products],$A65, tblTelecomUnits[cv_2020]) + SUMIF(tblEnterpriseUnits[Products],$A65, tblEnterpriseUnits[cv_2020])</f>
        <v>0</v>
      </c>
      <c r="E65" s="8">
        <f xml:space="preserve"> SUMIF(tblGoogleUnits[Products],$A65, tblGoogleUnits[cv_2021]) + SUMIF(tblMetaUnits[Products],$A65, tblMetaUnits[cv_2021]) + SUMIF(tblAmazonUnits[Products],$A65, tblAmazonUnits[cv_2021]) + SUMIF(tblMicrosoftUnits[Products],$A65, tblMicrosoftUnits[cv_2021]) + SUMIF(tblAppleUnits[Products],$A65, tblAppleUnits[cv_2021]) + SUMIF(tblAlibabaUnits[Products],$A65, tblAlibabaUnits[cv_2021]) + SUMIF(tblHuaweiUnits[Products],$A65, tblHuaweiUnits[cv_2021]) + SUMIF(tblTencentUnits[Products],$A65, tblTencentUnits[cv_2021]) + SUMIF(tblBaiduUnits[Products],$A65, tblBaiduUnits[cv_2021]) + SUMIF(tblByteDanceUnits[Products],$A65, tblByteDanceUnits[cv_2021]) + SUMIF(tblCloudAOUnits[Products],$A65, tblCloudAOUnits[cv_2021]) + SUMIF(tblTelecomUnits[Products],$A65, tblTelecomUnits[cv_2021]) + SUMIF(tblEnterpriseUnits[Products],$A65, tblEnterpriseUnits[cv_2021])</f>
        <v>0</v>
      </c>
      <c r="F65" s="8">
        <f xml:space="preserve"> SUMIF(tblGoogleUnits[Products],$A65, tblGoogleUnits[cv_2022]) + SUMIF(tblMetaUnits[Products],$A65, tblMetaUnits[cv_2022]) + SUMIF(tblAmazonUnits[Products],$A65, tblAmazonUnits[cv_2022]) + SUMIF(tblMicrosoftUnits[Products],$A65, tblMicrosoftUnits[cv_2022]) + SUMIF(tblAppleUnits[Products],$A65, tblAppleUnits[cv_2022]) + SUMIF(tblAlibabaUnits[Products],$A65, tblAlibabaUnits[cv_2022]) + SUMIF(tblHuaweiUnits[Products],$A65, tblHuaweiUnits[cv_2022]) + SUMIF(tblTencentUnits[Products],$A65, tblTencentUnits[cv_2022]) + SUMIF(tblBaiduUnits[Products],$A65, tblBaiduUnits[cv_2022]) + SUMIF(tblByteDanceUnits[Products],$A65, tblByteDanceUnits[cv_2022]) + SUMIF(tblCloudAOUnits[Products],$A65, tblCloudAOUnits[cv_2022]) + SUMIF(tblTelecomUnits[Products],$A65, tblTelecomUnits[cv_2022]) + SUMIF(tblEnterpriseUnits[Products],$A65, tblEnterpriseUnits[cv_2022])</f>
        <v>0</v>
      </c>
      <c r="G65" s="8">
        <f xml:space="preserve"> SUMIF(tblGoogleUnits[Products],$A65, tblGoogleUnits[cv_2023]) + SUMIF(tblMetaUnits[Products],$A65, tblMetaUnits[cv_2023]) + SUMIF(tblAmazonUnits[Products],$A65, tblAmazonUnits[cv_2023]) + SUMIF(tblMicrosoftUnits[Products],$A65, tblMicrosoftUnits[cv_2023]) + SUMIF(tblAppleUnits[Products],$A65, tblAppleUnits[cv_2023]) + SUMIF(tblAlibabaUnits[Products],$A65, tblAlibabaUnits[cv_2023]) + SUMIF(tblHuaweiUnits[Products],$A65, tblHuaweiUnits[cv_2023]) + SUMIF(tblTencentUnits[Products],$A65, tblTencentUnits[cv_2023]) + SUMIF(tblBaiduUnits[Products],$A65, tblBaiduUnits[cv_2023]) + SUMIF(tblByteDanceUnits[Products],$A65, tblByteDanceUnits[cv_2023]) + SUMIF(tblCloudAOUnits[Products],$A65, tblCloudAOUnits[cv_2023]) + SUMIF(tblTelecomUnits[Products],$A65, tblTelecomUnits[cv_2023]) + SUMIF(tblEnterpriseUnits[Products],$A65, tblEnterpriseUnits[cv_2023])</f>
        <v>0</v>
      </c>
      <c r="H65" s="8">
        <f xml:space="preserve"> SUMIF(tblGoogleUnits[Products],$A65, tblGoogleUnits[cv_2024]) + SUMIF(tblMetaUnits[Products],$A65, tblMetaUnits[cv_2024]) + SUMIF(tblAmazonUnits[Products],$A65, tblAmazonUnits[cv_2024]) + SUMIF(tblMicrosoftUnits[Products],$A65, tblMicrosoftUnits[cv_2024]) + SUMIF(tblAppleUnits[Products],$A65, tblAppleUnits[cv_2024]) + SUMIF(tblAlibabaUnits[Products],$A65, tblAlibabaUnits[cv_2024]) + SUMIF(tblHuaweiUnits[Products],$A65, tblHuaweiUnits[cv_2024]) + SUMIF(tblTencentUnits[Products],$A65, tblTencentUnits[cv_2024]) + SUMIF(tblBaiduUnits[Products],$A65, tblBaiduUnits[cv_2024]) + SUMIF(tblByteDanceUnits[Products],$A65, tblByteDanceUnits[cv_2024]) + SUMIF(tblCloudAOUnits[Products],$A65, tblCloudAOUnits[cv_2024]) + SUMIF(tblTelecomUnits[Products],$A65, tblTelecomUnits[cv_2024]) + SUMIF(tblEnterpriseUnits[Products],$A65, tblEnterpriseUnits[cv_2024])</f>
        <v>0</v>
      </c>
      <c r="I65" s="8">
        <f xml:space="preserve"> SUMIF(tblGoogleUnits[Products],$A65, tblGoogleUnits[cv_2025]) + SUMIF(tblMetaUnits[Products],$A65, tblMetaUnits[cv_2025]) + SUMIF(tblAmazonUnits[Products],$A65, tblAmazonUnits[cv_2025]) + SUMIF(tblMicrosoftUnits[Products],$A65, tblMicrosoftUnits[cv_2025]) + SUMIF(tblAppleUnits[Products],$A65, tblAppleUnits[cv_2025]) + SUMIF(tblAlibabaUnits[Products],$A65, tblAlibabaUnits[cv_2025]) + SUMIF(tblHuaweiUnits[Products],$A65, tblHuaweiUnits[cv_2025]) + SUMIF(tblTencentUnits[Products],$A65, tblTencentUnits[cv_2025]) + SUMIF(tblBaiduUnits[Products],$A65, tblBaiduUnits[cv_2025]) + SUMIF(tblByteDanceUnits[Products],$A65, tblByteDanceUnits[cv_2025]) + SUMIF(tblCloudAOUnits[Products],$A65, tblCloudAOUnits[cv_2025]) + SUMIF(tblTelecomUnits[Products],$A65, tblTelecomUnits[cv_2025]) + SUMIF(tblEnterpriseUnits[Products],$A65, tblEnterpriseUnits[cv_2025])</f>
        <v>0</v>
      </c>
      <c r="J65" s="8">
        <f xml:space="preserve"> SUMIF(tblGoogleUnits[Products],$A65, tblGoogleUnits[cv_2026]) + SUMIF(tblMetaUnits[Products],$A65, tblMetaUnits[cv_2026]) + SUMIF(tblAmazonUnits[Products],$A65, tblAmazonUnits[cv_2026]) + SUMIF(tblMicrosoftUnits[Products],$A65, tblMicrosoftUnits[cv_2026]) + SUMIF(tblAppleUnits[Products],$A65, tblAppleUnits[cv_2026]) + SUMIF(tblAlibabaUnits[Products],$A65, tblAlibabaUnits[cv_2026]) + SUMIF(tblHuaweiUnits[Products],$A65, tblHuaweiUnits[cv_2026]) + SUMIF(tblTencentUnits[Products],$A65, tblTencentUnits[cv_2026]) + SUMIF(tblBaiduUnits[Products],$A65, tblBaiduUnits[cv_2026]) + SUMIF(tblByteDanceUnits[Products],$A65, tblByteDanceUnits[cv_2026]) + SUMIF(tblCloudAOUnits[Products],$A65, tblCloudAOUnits[cv_2026]) + SUMIF(tblTelecomUnits[Products],$A65, tblTelecomUnits[cv_2026]) + SUMIF(tblEnterpriseUnits[Products],$A65, tblEnterpriseUnits[cv_2026])</f>
        <v>0</v>
      </c>
      <c r="K65" s="8">
        <f xml:space="preserve"> SUMIF(tblGoogleUnits[Products],$A65, tblGoogleUnits[cv_2027]) + SUMIF(tblMetaUnits[Products],$A65, tblMetaUnits[cv_2027]) + SUMIF(tblAmazonUnits[Products],$A65, tblAmazonUnits[cv_2027]) + SUMIF(tblMicrosoftUnits[Products],$A65, tblMicrosoftUnits[cv_2027]) + SUMIF(tblAppleUnits[Products],$A65, tblAppleUnits[cv_2027]) + SUMIF(tblAlibabaUnits[Products],$A65, tblAlibabaUnits[cv_2027]) + SUMIF(tblHuaweiUnits[Products],$A65, tblHuaweiUnits[cv_2027]) + SUMIF(tblTencentUnits[Products],$A65, tblTencentUnits[cv_2027]) + SUMIF(tblBaiduUnits[Products],$A65, tblBaiduUnits[cv_2027]) + SUMIF(tblByteDanceUnits[Products],$A65, tblByteDanceUnits[cv_2027]) + SUMIF(tblCloudAOUnits[Products],$A65, tblCloudAOUnits[cv_2027]) + SUMIF(tblTelecomUnits[Products],$A65, tblTelecomUnits[cv_2027]) + SUMIF(tblEnterpriseUnits[Products],$A65, tblEnterpriseUnits[cv_2027])</f>
        <v>0</v>
      </c>
      <c r="L65" s="8">
        <f xml:space="preserve"> SUMIF(tblGoogleUnits[Products],$A65, tblGoogleUnits[cv_2028]) + SUMIF(tblMetaUnits[Products],$A65, tblMetaUnits[cv_2028]) + SUMIF(tblAmazonUnits[Products],$A65, tblAmazonUnits[cv_2028]) + SUMIF(tblMicrosoftUnits[Products],$A65, tblMicrosoftUnits[cv_2028]) + SUMIF(tblAppleUnits[Products],$A65, tblAppleUnits[cv_2028]) + SUMIF(tblAlibabaUnits[Products],$A65, tblAlibabaUnits[cv_2028]) + SUMIF(tblHuaweiUnits[Products],$A65, tblHuaweiUnits[cv_2028]) + SUMIF(tblTencentUnits[Products],$A65, tblTencentUnits[cv_2028]) + SUMIF(tblBaiduUnits[Products],$A65, tblBaiduUnits[cv_2028]) + SUMIF(tblByteDanceUnits[Products],$A65, tblByteDanceUnits[cv_2028]) + SUMIF(tblCloudAOUnits[Products],$A65, tblCloudAOUnits[cv_2028]) + SUMIF(tblTelecomUnits[Products],$A65, tblTelecomUnits[cv_2028]) + SUMIF(tblEnterpriseUnits[Products],$A65, tblEnterpriseUnits[cv_2028])</f>
        <v>0</v>
      </c>
      <c r="M65" s="105" cm="1">
        <f t="array" ref="M65">INDEX(tblPrices[cv_2018], MATCH($A65,tblPrices[Products],0), 0)</f>
        <v>0</v>
      </c>
      <c r="N65" s="105" cm="1">
        <f t="array" ref="N65">INDEX(tblPrices[cv_2019], MATCH($A65,tblPrices[Products],0), 0)</f>
        <v>0</v>
      </c>
      <c r="O65" s="105" cm="1">
        <f t="array" ref="O65">INDEX(tblPrices[cv_2020], MATCH($A65,tblPrices[Products],0), 0)</f>
        <v>0</v>
      </c>
      <c r="P65" s="105" cm="1">
        <f t="array" ref="P65">INDEX(tblPrices[cv_2021], MATCH($A65,tblPrices[Products],0), 0)</f>
        <v>0</v>
      </c>
      <c r="Q65" s="105" cm="1">
        <f t="array" ref="Q65">INDEX(tblPrices[cv_2022], MATCH($A65,tblPrices[Products],0), 0)</f>
        <v>0</v>
      </c>
      <c r="R65" s="105" cm="1">
        <f t="array" ref="R65">INDEX(tblPrices[cv_2023], MATCH($A65,tblPrices[Products],0), 0)</f>
        <v>0</v>
      </c>
      <c r="S65" s="105" cm="1">
        <f t="array" ref="S65">INDEX(tblPrices[cv_2024], MATCH($A65,tblPrices[Products],0), 0)</f>
        <v>0</v>
      </c>
      <c r="T65" s="105" cm="1">
        <f t="array" ref="T65">INDEX(tblPrices[cv_2025], MATCH($A65,tblPrices[Products],0), 0)</f>
        <v>0</v>
      </c>
      <c r="U65" s="105" cm="1">
        <f t="array" ref="U65">INDEX(tblPrices[cv_2026], MATCH($A65,tblPrices[Products],0), 0)</f>
        <v>0</v>
      </c>
      <c r="V65" s="105" cm="1">
        <f t="array" ref="V65">INDEX(tblPrices[cv_2027], MATCH($A65,tblPrices[Products],0), 0)</f>
        <v>0</v>
      </c>
      <c r="W65" s="105" cm="1">
        <f t="array" ref="W65">INDEX(tblPrices[cv_2028], MATCH($A65,tblPrices[Products],0), 0)</f>
        <v>0</v>
      </c>
      <c r="X65" s="106" cm="1">
        <f t="array" ref="X65">INDEX(tblPrices[cv_2018], MATCH($A65,tblPrices[Products],0), 0)* tblForecast[[#This Row],[un_2018]]/10^6</f>
        <v>0</v>
      </c>
      <c r="Y65" s="106" cm="1">
        <f t="array" ref="Y65">INDEX(tblPrices[cv_2019], MATCH($A65,tblPrices[Products],0), 0)* tblForecast[[#This Row],[un_2019]]/10^6</f>
        <v>0</v>
      </c>
      <c r="Z65" s="106" cm="1">
        <f t="array" ref="Z65">INDEX(tblPrices[cv_2020], MATCH($A65,tblPrices[Products],0), 0)* tblForecast[[#This Row],[un_2020]]/10^6</f>
        <v>0</v>
      </c>
      <c r="AA65" s="106" cm="1">
        <f t="array" ref="AA65">INDEX(tblPrices[cv_2021], MATCH($A65,tblPrices[Products],0), 0)* tblForecast[[#This Row],[un_2021]]/10^6</f>
        <v>0</v>
      </c>
      <c r="AB65" s="106" cm="1">
        <f t="array" ref="AB65">INDEX(tblPrices[cv_2022], MATCH($A65,tblPrices[Products],0), 0)* tblForecast[[#This Row],[un_2022]]/10^6</f>
        <v>0</v>
      </c>
      <c r="AC65" s="106" cm="1">
        <f t="array" ref="AC65">INDEX(tblPrices[cv_2023], MATCH($A65,tblPrices[Products],0), 0)* tblForecast[[#This Row],[un_2023]]/10^6</f>
        <v>0</v>
      </c>
      <c r="AD65" s="106" cm="1">
        <f t="array" ref="AD65">INDEX(tblPrices[cv_2024], MATCH($A65,tblPrices[Products],0), 0)* tblForecast[[#This Row],[un_2024]]/10^6</f>
        <v>0</v>
      </c>
      <c r="AE65" s="106" cm="1">
        <f t="array" ref="AE65">INDEX(tblPrices[cv_2025], MATCH($A65,tblPrices[Products],0), 0)* tblForecast[[#This Row],[un_2025]]/10^6</f>
        <v>0</v>
      </c>
      <c r="AF65" s="106" cm="1">
        <f t="array" ref="AF65">INDEX(tblPrices[cv_2026], MATCH($A65,tblPrices[Products],0), 0)* tblForecast[[#This Row],[un_2026]]/10^6</f>
        <v>0</v>
      </c>
      <c r="AG65" s="106" cm="1">
        <f t="array" ref="AG65">INDEX(tblPrices[cv_2027], MATCH($A65,tblPrices[Products],0), 0)* tblForecast[[#This Row],[un_2027]]/10^6</f>
        <v>0</v>
      </c>
      <c r="AH65" s="106" cm="1">
        <f t="array" ref="AH65">INDEX(tblPrices[cv_2028], MATCH($A65,tblPrices[Products],0), 0)* tblForecast[[#This Row],[un_2028]]/10^6</f>
        <v>0</v>
      </c>
      <c r="AI65" s="60">
        <f>VLOOKUP(A65,Products!$A$11:$F$110,6,FALSE)</f>
        <v>100</v>
      </c>
    </row>
    <row r="66" spans="1:35">
      <c r="A66" s="12" t="s">
        <v>40</v>
      </c>
      <c r="B66" s="8">
        <f xml:space="preserve"> SUMIF(tblGoogleUnits[Products],$A66, tblGoogleUnits[cv_2018]) + SUMIF(tblMetaUnits[Products],$A66, tblMetaUnits[cv_2018]) + SUMIF(tblAmazonUnits[Products],$A66, tblAmazonUnits[cv_2018]) + SUMIF(tblMicrosoftUnits[Products],$A66, tblMicrosoftUnits[cv_2018]) + SUMIF(tblAppleUnits[Products],$A66, tblAppleUnits[cv_2018]) + SUMIF(tblAlibabaUnits[Products],$A66, tblAlibabaUnits[cv_2018]) + SUMIF(tblHuaweiUnits[Products],$A66, tblHuaweiUnits[cv_2018]) + SUMIF(tblTencentUnits[Products],$A66, tblTencentUnits[cv_2018]) + SUMIF(tblBaiduUnits[Products],$A66, tblBaiduUnits[cv_2018]) + SUMIF(tblByteDanceUnits[Products],$A66, tblByteDanceUnits[cv_2018]) + SUMIF(tblCloudAOUnits[Products],$A66, tblCloudAOUnits[cv_2018]) + SUMIF(tblTelecomUnits[Products],$A66, tblTelecomUnits[cv_2018]) + SUMIF(tblEnterpriseUnits[Products],$A66, tblEnterpriseUnits[cv_2018])</f>
        <v>1100000</v>
      </c>
      <c r="C66" s="8">
        <f xml:space="preserve"> SUMIF(tblGoogleUnits[Products],$A66, tblGoogleUnits[cv_2019]) + SUMIF(tblMetaUnits[Products],$A66, tblMetaUnits[cv_2019]) + SUMIF(tblAmazonUnits[Products],$A66, tblAmazonUnits[cv_2019]) + SUMIF(tblMicrosoftUnits[Products],$A66, tblMicrosoftUnits[cv_2019]) + SUMIF(tblAppleUnits[Products],$A66, tblAppleUnits[cv_2019]) + SUMIF(tblAlibabaUnits[Products],$A66, tblAlibabaUnits[cv_2019]) + SUMIF(tblHuaweiUnits[Products],$A66, tblHuaweiUnits[cv_2019]) + SUMIF(tblTencentUnits[Products],$A66, tblTencentUnits[cv_2019]) + SUMIF(tblBaiduUnits[Products],$A66, tblBaiduUnits[cv_2019]) + SUMIF(tblByteDanceUnits[Products],$A66, tblByteDanceUnits[cv_2019]) + SUMIF(tblCloudAOUnits[Products],$A66, tblCloudAOUnits[cv_2019]) + SUMIF(tblTelecomUnits[Products],$A66, tblTelecomUnits[cv_2019]) + SUMIF(tblEnterpriseUnits[Products],$A66, tblEnterpriseUnits[cv_2019])</f>
        <v>1700000</v>
      </c>
      <c r="D66" s="8">
        <f xml:space="preserve"> SUMIF(tblGoogleUnits[Products],$A66, tblGoogleUnits[cv_2020]) + SUMIF(tblMetaUnits[Products],$A66, tblMetaUnits[cv_2020]) + SUMIF(tblAmazonUnits[Products],$A66, tblAmazonUnits[cv_2020]) + SUMIF(tblMicrosoftUnits[Products],$A66, tblMicrosoftUnits[cv_2020]) + SUMIF(tblAppleUnits[Products],$A66, tblAppleUnits[cv_2020]) + SUMIF(tblAlibabaUnits[Products],$A66, tblAlibabaUnits[cv_2020]) + SUMIF(tblHuaweiUnits[Products],$A66, tblHuaweiUnits[cv_2020]) + SUMIF(tblTencentUnits[Products],$A66, tblTencentUnits[cv_2020]) + SUMIF(tblBaiduUnits[Products],$A66, tblBaiduUnits[cv_2020]) + SUMIF(tblByteDanceUnits[Products],$A66, tblByteDanceUnits[cv_2020]) + SUMIF(tblCloudAOUnits[Products],$A66, tblCloudAOUnits[cv_2020]) + SUMIF(tblTelecomUnits[Products],$A66, tblTelecomUnits[cv_2020]) + SUMIF(tblEnterpriseUnits[Products],$A66, tblEnterpriseUnits[cv_2020])</f>
        <v>0</v>
      </c>
      <c r="E66" s="8">
        <f xml:space="preserve"> SUMIF(tblGoogleUnits[Products],$A66, tblGoogleUnits[cv_2021]) + SUMIF(tblMetaUnits[Products],$A66, tblMetaUnits[cv_2021]) + SUMIF(tblAmazonUnits[Products],$A66, tblAmazonUnits[cv_2021]) + SUMIF(tblMicrosoftUnits[Products],$A66, tblMicrosoftUnits[cv_2021]) + SUMIF(tblAppleUnits[Products],$A66, tblAppleUnits[cv_2021]) + SUMIF(tblAlibabaUnits[Products],$A66, tblAlibabaUnits[cv_2021]) + SUMIF(tblHuaweiUnits[Products],$A66, tblHuaweiUnits[cv_2021]) + SUMIF(tblTencentUnits[Products],$A66, tblTencentUnits[cv_2021]) + SUMIF(tblBaiduUnits[Products],$A66, tblBaiduUnits[cv_2021]) + SUMIF(tblByteDanceUnits[Products],$A66, tblByteDanceUnits[cv_2021]) + SUMIF(tblCloudAOUnits[Products],$A66, tblCloudAOUnits[cv_2021]) + SUMIF(tblTelecomUnits[Products],$A66, tblTelecomUnits[cv_2021]) + SUMIF(tblEnterpriseUnits[Products],$A66, tblEnterpriseUnits[cv_2021])</f>
        <v>0</v>
      </c>
      <c r="F66" s="8">
        <f xml:space="preserve"> SUMIF(tblGoogleUnits[Products],$A66, tblGoogleUnits[cv_2022]) + SUMIF(tblMetaUnits[Products],$A66, tblMetaUnits[cv_2022]) + SUMIF(tblAmazonUnits[Products],$A66, tblAmazonUnits[cv_2022]) + SUMIF(tblMicrosoftUnits[Products],$A66, tblMicrosoftUnits[cv_2022]) + SUMIF(tblAppleUnits[Products],$A66, tblAppleUnits[cv_2022]) + SUMIF(tblAlibabaUnits[Products],$A66, tblAlibabaUnits[cv_2022]) + SUMIF(tblHuaweiUnits[Products],$A66, tblHuaweiUnits[cv_2022]) + SUMIF(tblTencentUnits[Products],$A66, tblTencentUnits[cv_2022]) + SUMIF(tblBaiduUnits[Products],$A66, tblBaiduUnits[cv_2022]) + SUMIF(tblByteDanceUnits[Products],$A66, tblByteDanceUnits[cv_2022]) + SUMIF(tblCloudAOUnits[Products],$A66, tblCloudAOUnits[cv_2022]) + SUMIF(tblTelecomUnits[Products],$A66, tblTelecomUnits[cv_2022]) + SUMIF(tblEnterpriseUnits[Products],$A66, tblEnterpriseUnits[cv_2022])</f>
        <v>0</v>
      </c>
      <c r="G66" s="8">
        <f xml:space="preserve"> SUMIF(tblGoogleUnits[Products],$A66, tblGoogleUnits[cv_2023]) + SUMIF(tblMetaUnits[Products],$A66, tblMetaUnits[cv_2023]) + SUMIF(tblAmazonUnits[Products],$A66, tblAmazonUnits[cv_2023]) + SUMIF(tblMicrosoftUnits[Products],$A66, tblMicrosoftUnits[cv_2023]) + SUMIF(tblAppleUnits[Products],$A66, tblAppleUnits[cv_2023]) + SUMIF(tblAlibabaUnits[Products],$A66, tblAlibabaUnits[cv_2023]) + SUMIF(tblHuaweiUnits[Products],$A66, tblHuaweiUnits[cv_2023]) + SUMIF(tblTencentUnits[Products],$A66, tblTencentUnits[cv_2023]) + SUMIF(tblBaiduUnits[Products],$A66, tblBaiduUnits[cv_2023]) + SUMIF(tblByteDanceUnits[Products],$A66, tblByteDanceUnits[cv_2023]) + SUMIF(tblCloudAOUnits[Products],$A66, tblCloudAOUnits[cv_2023]) + SUMIF(tblTelecomUnits[Products],$A66, tblTelecomUnits[cv_2023]) + SUMIF(tblEnterpriseUnits[Products],$A66, tblEnterpriseUnits[cv_2023])</f>
        <v>0</v>
      </c>
      <c r="H66" s="8">
        <f xml:space="preserve"> SUMIF(tblGoogleUnits[Products],$A66, tblGoogleUnits[cv_2024]) + SUMIF(tblMetaUnits[Products],$A66, tblMetaUnits[cv_2024]) + SUMIF(tblAmazonUnits[Products],$A66, tblAmazonUnits[cv_2024]) + SUMIF(tblMicrosoftUnits[Products],$A66, tblMicrosoftUnits[cv_2024]) + SUMIF(tblAppleUnits[Products],$A66, tblAppleUnits[cv_2024]) + SUMIF(tblAlibabaUnits[Products],$A66, tblAlibabaUnits[cv_2024]) + SUMIF(tblHuaweiUnits[Products],$A66, tblHuaweiUnits[cv_2024]) + SUMIF(tblTencentUnits[Products],$A66, tblTencentUnits[cv_2024]) + SUMIF(tblBaiduUnits[Products],$A66, tblBaiduUnits[cv_2024]) + SUMIF(tblByteDanceUnits[Products],$A66, tblByteDanceUnits[cv_2024]) + SUMIF(tblCloudAOUnits[Products],$A66, tblCloudAOUnits[cv_2024]) + SUMIF(tblTelecomUnits[Products],$A66, tblTelecomUnits[cv_2024]) + SUMIF(tblEnterpriseUnits[Products],$A66, tblEnterpriseUnits[cv_2024])</f>
        <v>0</v>
      </c>
      <c r="I66" s="8">
        <f xml:space="preserve"> SUMIF(tblGoogleUnits[Products],$A66, tblGoogleUnits[cv_2025]) + SUMIF(tblMetaUnits[Products],$A66, tblMetaUnits[cv_2025]) + SUMIF(tblAmazonUnits[Products],$A66, tblAmazonUnits[cv_2025]) + SUMIF(tblMicrosoftUnits[Products],$A66, tblMicrosoftUnits[cv_2025]) + SUMIF(tblAppleUnits[Products],$A66, tblAppleUnits[cv_2025]) + SUMIF(tblAlibabaUnits[Products],$A66, tblAlibabaUnits[cv_2025]) + SUMIF(tblHuaweiUnits[Products],$A66, tblHuaweiUnits[cv_2025]) + SUMIF(tblTencentUnits[Products],$A66, tblTencentUnits[cv_2025]) + SUMIF(tblBaiduUnits[Products],$A66, tblBaiduUnits[cv_2025]) + SUMIF(tblByteDanceUnits[Products],$A66, tblByteDanceUnits[cv_2025]) + SUMIF(tblCloudAOUnits[Products],$A66, tblCloudAOUnits[cv_2025]) + SUMIF(tblTelecomUnits[Products],$A66, tblTelecomUnits[cv_2025]) + SUMIF(tblEnterpriseUnits[Products],$A66, tblEnterpriseUnits[cv_2025])</f>
        <v>0</v>
      </c>
      <c r="J66" s="8">
        <f xml:space="preserve"> SUMIF(tblGoogleUnits[Products],$A66, tblGoogleUnits[cv_2026]) + SUMIF(tblMetaUnits[Products],$A66, tblMetaUnits[cv_2026]) + SUMIF(tblAmazonUnits[Products],$A66, tblAmazonUnits[cv_2026]) + SUMIF(tblMicrosoftUnits[Products],$A66, tblMicrosoftUnits[cv_2026]) + SUMIF(tblAppleUnits[Products],$A66, tblAppleUnits[cv_2026]) + SUMIF(tblAlibabaUnits[Products],$A66, tblAlibabaUnits[cv_2026]) + SUMIF(tblHuaweiUnits[Products],$A66, tblHuaweiUnits[cv_2026]) + SUMIF(tblTencentUnits[Products],$A66, tblTencentUnits[cv_2026]) + SUMIF(tblBaiduUnits[Products],$A66, tblBaiduUnits[cv_2026]) + SUMIF(tblByteDanceUnits[Products],$A66, tblByteDanceUnits[cv_2026]) + SUMIF(tblCloudAOUnits[Products],$A66, tblCloudAOUnits[cv_2026]) + SUMIF(tblTelecomUnits[Products],$A66, tblTelecomUnits[cv_2026]) + SUMIF(tblEnterpriseUnits[Products],$A66, tblEnterpriseUnits[cv_2026])</f>
        <v>0</v>
      </c>
      <c r="K66" s="8">
        <f xml:space="preserve"> SUMIF(tblGoogleUnits[Products],$A66, tblGoogleUnits[cv_2027]) + SUMIF(tblMetaUnits[Products],$A66, tblMetaUnits[cv_2027]) + SUMIF(tblAmazonUnits[Products],$A66, tblAmazonUnits[cv_2027]) + SUMIF(tblMicrosoftUnits[Products],$A66, tblMicrosoftUnits[cv_2027]) + SUMIF(tblAppleUnits[Products],$A66, tblAppleUnits[cv_2027]) + SUMIF(tblAlibabaUnits[Products],$A66, tblAlibabaUnits[cv_2027]) + SUMIF(tblHuaweiUnits[Products],$A66, tblHuaweiUnits[cv_2027]) + SUMIF(tblTencentUnits[Products],$A66, tblTencentUnits[cv_2027]) + SUMIF(tblBaiduUnits[Products],$A66, tblBaiduUnits[cv_2027]) + SUMIF(tblByteDanceUnits[Products],$A66, tblByteDanceUnits[cv_2027]) + SUMIF(tblCloudAOUnits[Products],$A66, tblCloudAOUnits[cv_2027]) + SUMIF(tblTelecomUnits[Products],$A66, tblTelecomUnits[cv_2027]) + SUMIF(tblEnterpriseUnits[Products],$A66, tblEnterpriseUnits[cv_2027])</f>
        <v>0</v>
      </c>
      <c r="L66" s="8">
        <f xml:space="preserve"> SUMIF(tblGoogleUnits[Products],$A66, tblGoogleUnits[cv_2028]) + SUMIF(tblMetaUnits[Products],$A66, tblMetaUnits[cv_2028]) + SUMIF(tblAmazonUnits[Products],$A66, tblAmazonUnits[cv_2028]) + SUMIF(tblMicrosoftUnits[Products],$A66, tblMicrosoftUnits[cv_2028]) + SUMIF(tblAppleUnits[Products],$A66, tblAppleUnits[cv_2028]) + SUMIF(tblAlibabaUnits[Products],$A66, tblAlibabaUnits[cv_2028]) + SUMIF(tblHuaweiUnits[Products],$A66, tblHuaweiUnits[cv_2028]) + SUMIF(tblTencentUnits[Products],$A66, tblTencentUnits[cv_2028]) + SUMIF(tblBaiduUnits[Products],$A66, tblBaiduUnits[cv_2028]) + SUMIF(tblByteDanceUnits[Products],$A66, tblByteDanceUnits[cv_2028]) + SUMIF(tblCloudAOUnits[Products],$A66, tblCloudAOUnits[cv_2028]) + SUMIF(tblTelecomUnits[Products],$A66, tblTelecomUnits[cv_2028]) + SUMIF(tblEnterpriseUnits[Products],$A66, tblEnterpriseUnits[cv_2028])</f>
        <v>0</v>
      </c>
      <c r="M66" s="105" cm="1">
        <f t="array" ref="M66">INDEX(tblPrices[cv_2018], MATCH($A66,tblPrices[Products],0), 0)</f>
        <v>280</v>
      </c>
      <c r="N66" s="105" cm="1">
        <f t="array" ref="N66">INDEX(tblPrices[cv_2019], MATCH($A66,tblPrices[Products],0), 0)</f>
        <v>180</v>
      </c>
      <c r="O66" s="105" cm="1">
        <f t="array" ref="O66">INDEX(tblPrices[cv_2020], MATCH($A66,tblPrices[Products],0), 0)</f>
        <v>0</v>
      </c>
      <c r="P66" s="105" cm="1">
        <f t="array" ref="P66">INDEX(tblPrices[cv_2021], MATCH($A66,tblPrices[Products],0), 0)</f>
        <v>0</v>
      </c>
      <c r="Q66" s="105" cm="1">
        <f t="array" ref="Q66">INDEX(tblPrices[cv_2022], MATCH($A66,tblPrices[Products],0), 0)</f>
        <v>0</v>
      </c>
      <c r="R66" s="105" cm="1">
        <f t="array" ref="R66">INDEX(tblPrices[cv_2023], MATCH($A66,tblPrices[Products],0), 0)</f>
        <v>0</v>
      </c>
      <c r="S66" s="105" cm="1">
        <f t="array" ref="S66">INDEX(tblPrices[cv_2024], MATCH($A66,tblPrices[Products],0), 0)</f>
        <v>0</v>
      </c>
      <c r="T66" s="105" cm="1">
        <f t="array" ref="T66">INDEX(tblPrices[cv_2025], MATCH($A66,tblPrices[Products],0), 0)</f>
        <v>0</v>
      </c>
      <c r="U66" s="105" cm="1">
        <f t="array" ref="U66">INDEX(tblPrices[cv_2026], MATCH($A66,tblPrices[Products],0), 0)</f>
        <v>0</v>
      </c>
      <c r="V66" s="105" cm="1">
        <f t="array" ref="V66">INDEX(tblPrices[cv_2027], MATCH($A66,tblPrices[Products],0), 0)</f>
        <v>0</v>
      </c>
      <c r="W66" s="105" cm="1">
        <f t="array" ref="W66">INDEX(tblPrices[cv_2028], MATCH($A66,tblPrices[Products],0), 0)</f>
        <v>0</v>
      </c>
      <c r="X66" s="106" cm="1">
        <f t="array" ref="X66">INDEX(tblPrices[cv_2018], MATCH($A66,tblPrices[Products],0), 0)* tblForecast[[#This Row],[un_2018]]/10^6</f>
        <v>308</v>
      </c>
      <c r="Y66" s="106" cm="1">
        <f t="array" ref="Y66">INDEX(tblPrices[cv_2019], MATCH($A66,tblPrices[Products],0), 0)* tblForecast[[#This Row],[un_2019]]/10^6</f>
        <v>306</v>
      </c>
      <c r="Z66" s="106" cm="1">
        <f t="array" ref="Z66">INDEX(tblPrices[cv_2020], MATCH($A66,tblPrices[Products],0), 0)* tblForecast[[#This Row],[un_2020]]/10^6</f>
        <v>0</v>
      </c>
      <c r="AA66" s="106" cm="1">
        <f t="array" ref="AA66">INDEX(tblPrices[cv_2021], MATCH($A66,tblPrices[Products],0), 0)* tblForecast[[#This Row],[un_2021]]/10^6</f>
        <v>0</v>
      </c>
      <c r="AB66" s="106" cm="1">
        <f t="array" ref="AB66">INDEX(tblPrices[cv_2022], MATCH($A66,tblPrices[Products],0), 0)* tblForecast[[#This Row],[un_2022]]/10^6</f>
        <v>0</v>
      </c>
      <c r="AC66" s="106" cm="1">
        <f t="array" ref="AC66">INDEX(tblPrices[cv_2023], MATCH($A66,tblPrices[Products],0), 0)* tblForecast[[#This Row],[un_2023]]/10^6</f>
        <v>0</v>
      </c>
      <c r="AD66" s="106" cm="1">
        <f t="array" ref="AD66">INDEX(tblPrices[cv_2024], MATCH($A66,tblPrices[Products],0), 0)* tblForecast[[#This Row],[un_2024]]/10^6</f>
        <v>0</v>
      </c>
      <c r="AE66" s="106" cm="1">
        <f t="array" ref="AE66">INDEX(tblPrices[cv_2025], MATCH($A66,tblPrices[Products],0), 0)* tblForecast[[#This Row],[un_2025]]/10^6</f>
        <v>0</v>
      </c>
      <c r="AF66" s="106" cm="1">
        <f t="array" ref="AF66">INDEX(tblPrices[cv_2026], MATCH($A66,tblPrices[Products],0), 0)* tblForecast[[#This Row],[un_2026]]/10^6</f>
        <v>0</v>
      </c>
      <c r="AG66" s="106" cm="1">
        <f t="array" ref="AG66">INDEX(tblPrices[cv_2027], MATCH($A66,tblPrices[Products],0), 0)* tblForecast[[#This Row],[un_2027]]/10^6</f>
        <v>0</v>
      </c>
      <c r="AH66" s="106" cm="1">
        <f t="array" ref="AH66">INDEX(tblPrices[cv_2028], MATCH($A66,tblPrices[Products],0), 0)* tblForecast[[#This Row],[un_2028]]/10^6</f>
        <v>0</v>
      </c>
      <c r="AI66" s="60">
        <f>VLOOKUP(A66,Products!$A$11:$F$110,6,FALSE)</f>
        <v>100</v>
      </c>
    </row>
    <row r="67" spans="1:35">
      <c r="A67" s="12" t="s">
        <v>5</v>
      </c>
      <c r="B67" s="8">
        <f xml:space="preserve"> SUMIF(tblGoogleUnits[Products],$A67, tblGoogleUnits[cv_2018]) + SUMIF(tblMetaUnits[Products],$A67, tblMetaUnits[cv_2018]) + SUMIF(tblAmazonUnits[Products],$A67, tblAmazonUnits[cv_2018]) + SUMIF(tblMicrosoftUnits[Products],$A67, tblMicrosoftUnits[cv_2018]) + SUMIF(tblAppleUnits[Products],$A67, tblAppleUnits[cv_2018]) + SUMIF(tblAlibabaUnits[Products],$A67, tblAlibabaUnits[cv_2018]) + SUMIF(tblHuaweiUnits[Products],$A67, tblHuaweiUnits[cv_2018]) + SUMIF(tblTencentUnits[Products],$A67, tblTencentUnits[cv_2018]) + SUMIF(tblBaiduUnits[Products],$A67, tblBaiduUnits[cv_2018]) + SUMIF(tblByteDanceUnits[Products],$A67, tblByteDanceUnits[cv_2018]) + SUMIF(tblCloudAOUnits[Products],$A67, tblCloudAOUnits[cv_2018]) + SUMIF(tblTelecomUnits[Products],$A67, tblTelecomUnits[cv_2018]) + SUMIF(tblEnterpriseUnits[Products],$A67, tblEnterpriseUnits[cv_2018])</f>
        <v>1866292.6190476189</v>
      </c>
      <c r="C67" s="8">
        <f xml:space="preserve"> SUMIF(tblGoogleUnits[Products],$A67, tblGoogleUnits[cv_2019]) + SUMIF(tblMetaUnits[Products],$A67, tblMetaUnits[cv_2019]) + SUMIF(tblAmazonUnits[Products],$A67, tblAmazonUnits[cv_2019]) + SUMIF(tblMicrosoftUnits[Products],$A67, tblMicrosoftUnits[cv_2019]) + SUMIF(tblAppleUnits[Products],$A67, tblAppleUnits[cv_2019]) + SUMIF(tblAlibabaUnits[Products],$A67, tblAlibabaUnits[cv_2019]) + SUMIF(tblHuaweiUnits[Products],$A67, tblHuaweiUnits[cv_2019]) + SUMIF(tblTencentUnits[Products],$A67, tblTencentUnits[cv_2019]) + SUMIF(tblBaiduUnits[Products],$A67, tblBaiduUnits[cv_2019]) + SUMIF(tblByteDanceUnits[Products],$A67, tblByteDanceUnits[cv_2019]) + SUMIF(tblCloudAOUnits[Products],$A67, tblCloudAOUnits[cv_2019]) + SUMIF(tblTelecomUnits[Products],$A67, tblTelecomUnits[cv_2019]) + SUMIF(tblEnterpriseUnits[Products],$A67, tblEnterpriseUnits[cv_2019])</f>
        <v>2392959</v>
      </c>
      <c r="D67" s="8">
        <f xml:space="preserve"> SUMIF(tblGoogleUnits[Products],$A67, tblGoogleUnits[cv_2020]) + SUMIF(tblMetaUnits[Products],$A67, tblMetaUnits[cv_2020]) + SUMIF(tblAmazonUnits[Products],$A67, tblAmazonUnits[cv_2020]) + SUMIF(tblMicrosoftUnits[Products],$A67, tblMicrosoftUnits[cv_2020]) + SUMIF(tblAppleUnits[Products],$A67, tblAppleUnits[cv_2020]) + SUMIF(tblAlibabaUnits[Products],$A67, tblAlibabaUnits[cv_2020]) + SUMIF(tblHuaweiUnits[Products],$A67, tblHuaweiUnits[cv_2020]) + SUMIF(tblTencentUnits[Products],$A67, tblTencentUnits[cv_2020]) + SUMIF(tblBaiduUnits[Products],$A67, tblBaiduUnits[cv_2020]) + SUMIF(tblByteDanceUnits[Products],$A67, tblByteDanceUnits[cv_2020]) + SUMIF(tblCloudAOUnits[Products],$A67, tblCloudAOUnits[cv_2020]) + SUMIF(tblTelecomUnits[Products],$A67, tblTelecomUnits[cv_2020]) + SUMIF(tblEnterpriseUnits[Products],$A67, tblEnterpriseUnits[cv_2020])</f>
        <v>0</v>
      </c>
      <c r="E67" s="8">
        <f xml:space="preserve"> SUMIF(tblGoogleUnits[Products],$A67, tblGoogleUnits[cv_2021]) + SUMIF(tblMetaUnits[Products],$A67, tblMetaUnits[cv_2021]) + SUMIF(tblAmazonUnits[Products],$A67, tblAmazonUnits[cv_2021]) + SUMIF(tblMicrosoftUnits[Products],$A67, tblMicrosoftUnits[cv_2021]) + SUMIF(tblAppleUnits[Products],$A67, tblAppleUnits[cv_2021]) + SUMIF(tblAlibabaUnits[Products],$A67, tblAlibabaUnits[cv_2021]) + SUMIF(tblHuaweiUnits[Products],$A67, tblHuaweiUnits[cv_2021]) + SUMIF(tblTencentUnits[Products],$A67, tblTencentUnits[cv_2021]) + SUMIF(tblBaiduUnits[Products],$A67, tblBaiduUnits[cv_2021]) + SUMIF(tblByteDanceUnits[Products],$A67, tblByteDanceUnits[cv_2021]) + SUMIF(tblCloudAOUnits[Products],$A67, tblCloudAOUnits[cv_2021]) + SUMIF(tblTelecomUnits[Products],$A67, tblTelecomUnits[cv_2021]) + SUMIF(tblEnterpriseUnits[Products],$A67, tblEnterpriseUnits[cv_2021])</f>
        <v>0</v>
      </c>
      <c r="F67" s="8">
        <f xml:space="preserve"> SUMIF(tblGoogleUnits[Products],$A67, tblGoogleUnits[cv_2022]) + SUMIF(tblMetaUnits[Products],$A67, tblMetaUnits[cv_2022]) + SUMIF(tblAmazonUnits[Products],$A67, tblAmazonUnits[cv_2022]) + SUMIF(tblMicrosoftUnits[Products],$A67, tblMicrosoftUnits[cv_2022]) + SUMIF(tblAppleUnits[Products],$A67, tblAppleUnits[cv_2022]) + SUMIF(tblAlibabaUnits[Products],$A67, tblAlibabaUnits[cv_2022]) + SUMIF(tblHuaweiUnits[Products],$A67, tblHuaweiUnits[cv_2022]) + SUMIF(tblTencentUnits[Products],$A67, tblTencentUnits[cv_2022]) + SUMIF(tblBaiduUnits[Products],$A67, tblBaiduUnits[cv_2022]) + SUMIF(tblByteDanceUnits[Products],$A67, tblByteDanceUnits[cv_2022]) + SUMIF(tblCloudAOUnits[Products],$A67, tblCloudAOUnits[cv_2022]) + SUMIF(tblTelecomUnits[Products],$A67, tblTelecomUnits[cv_2022]) + SUMIF(tblEnterpriseUnits[Products],$A67, tblEnterpriseUnits[cv_2022])</f>
        <v>0</v>
      </c>
      <c r="G67" s="8">
        <f xml:space="preserve"> SUMIF(tblGoogleUnits[Products],$A67, tblGoogleUnits[cv_2023]) + SUMIF(tblMetaUnits[Products],$A67, tblMetaUnits[cv_2023]) + SUMIF(tblAmazonUnits[Products],$A67, tblAmazonUnits[cv_2023]) + SUMIF(tblMicrosoftUnits[Products],$A67, tblMicrosoftUnits[cv_2023]) + SUMIF(tblAppleUnits[Products],$A67, tblAppleUnits[cv_2023]) + SUMIF(tblAlibabaUnits[Products],$A67, tblAlibabaUnits[cv_2023]) + SUMIF(tblHuaweiUnits[Products],$A67, tblHuaweiUnits[cv_2023]) + SUMIF(tblTencentUnits[Products],$A67, tblTencentUnits[cv_2023]) + SUMIF(tblBaiduUnits[Products],$A67, tblBaiduUnits[cv_2023]) + SUMIF(tblByteDanceUnits[Products],$A67, tblByteDanceUnits[cv_2023]) + SUMIF(tblCloudAOUnits[Products],$A67, tblCloudAOUnits[cv_2023]) + SUMIF(tblTelecomUnits[Products],$A67, tblTelecomUnits[cv_2023]) + SUMIF(tblEnterpriseUnits[Products],$A67, tblEnterpriseUnits[cv_2023])</f>
        <v>0</v>
      </c>
      <c r="H67" s="8">
        <f xml:space="preserve"> SUMIF(tblGoogleUnits[Products],$A67, tblGoogleUnits[cv_2024]) + SUMIF(tblMetaUnits[Products],$A67, tblMetaUnits[cv_2024]) + SUMIF(tblAmazonUnits[Products],$A67, tblAmazonUnits[cv_2024]) + SUMIF(tblMicrosoftUnits[Products],$A67, tblMicrosoftUnits[cv_2024]) + SUMIF(tblAppleUnits[Products],$A67, tblAppleUnits[cv_2024]) + SUMIF(tblAlibabaUnits[Products],$A67, tblAlibabaUnits[cv_2024]) + SUMIF(tblHuaweiUnits[Products],$A67, tblHuaweiUnits[cv_2024]) + SUMIF(tblTencentUnits[Products],$A67, tblTencentUnits[cv_2024]) + SUMIF(tblBaiduUnits[Products],$A67, tblBaiduUnits[cv_2024]) + SUMIF(tblByteDanceUnits[Products],$A67, tblByteDanceUnits[cv_2024]) + SUMIF(tblCloudAOUnits[Products],$A67, tblCloudAOUnits[cv_2024]) + SUMIF(tblTelecomUnits[Products],$A67, tblTelecomUnits[cv_2024]) + SUMIF(tblEnterpriseUnits[Products],$A67, tblEnterpriseUnits[cv_2024])</f>
        <v>0</v>
      </c>
      <c r="I67" s="8">
        <f xml:space="preserve"> SUMIF(tblGoogleUnits[Products],$A67, tblGoogleUnits[cv_2025]) + SUMIF(tblMetaUnits[Products],$A67, tblMetaUnits[cv_2025]) + SUMIF(tblAmazonUnits[Products],$A67, tblAmazonUnits[cv_2025]) + SUMIF(tblMicrosoftUnits[Products],$A67, tblMicrosoftUnits[cv_2025]) + SUMIF(tblAppleUnits[Products],$A67, tblAppleUnits[cv_2025]) + SUMIF(tblAlibabaUnits[Products],$A67, tblAlibabaUnits[cv_2025]) + SUMIF(tblHuaweiUnits[Products],$A67, tblHuaweiUnits[cv_2025]) + SUMIF(tblTencentUnits[Products],$A67, tblTencentUnits[cv_2025]) + SUMIF(tblBaiduUnits[Products],$A67, tblBaiduUnits[cv_2025]) + SUMIF(tblByteDanceUnits[Products],$A67, tblByteDanceUnits[cv_2025]) + SUMIF(tblCloudAOUnits[Products],$A67, tblCloudAOUnits[cv_2025]) + SUMIF(tblTelecomUnits[Products],$A67, tblTelecomUnits[cv_2025]) + SUMIF(tblEnterpriseUnits[Products],$A67, tblEnterpriseUnits[cv_2025])</f>
        <v>0</v>
      </c>
      <c r="J67" s="8">
        <f xml:space="preserve"> SUMIF(tblGoogleUnits[Products],$A67, tblGoogleUnits[cv_2026]) + SUMIF(tblMetaUnits[Products],$A67, tblMetaUnits[cv_2026]) + SUMIF(tblAmazonUnits[Products],$A67, tblAmazonUnits[cv_2026]) + SUMIF(tblMicrosoftUnits[Products],$A67, tblMicrosoftUnits[cv_2026]) + SUMIF(tblAppleUnits[Products],$A67, tblAppleUnits[cv_2026]) + SUMIF(tblAlibabaUnits[Products],$A67, tblAlibabaUnits[cv_2026]) + SUMIF(tblHuaweiUnits[Products],$A67, tblHuaweiUnits[cv_2026]) + SUMIF(tblTencentUnits[Products],$A67, tblTencentUnits[cv_2026]) + SUMIF(tblBaiduUnits[Products],$A67, tblBaiduUnits[cv_2026]) + SUMIF(tblByteDanceUnits[Products],$A67, tblByteDanceUnits[cv_2026]) + SUMIF(tblCloudAOUnits[Products],$A67, tblCloudAOUnits[cv_2026]) + SUMIF(tblTelecomUnits[Products],$A67, tblTelecomUnits[cv_2026]) + SUMIF(tblEnterpriseUnits[Products],$A67, tblEnterpriseUnits[cv_2026])</f>
        <v>0</v>
      </c>
      <c r="K67" s="8">
        <f xml:space="preserve"> SUMIF(tblGoogleUnits[Products],$A67, tblGoogleUnits[cv_2027]) + SUMIF(tblMetaUnits[Products],$A67, tblMetaUnits[cv_2027]) + SUMIF(tblAmazonUnits[Products],$A67, tblAmazonUnits[cv_2027]) + SUMIF(tblMicrosoftUnits[Products],$A67, tblMicrosoftUnits[cv_2027]) + SUMIF(tblAppleUnits[Products],$A67, tblAppleUnits[cv_2027]) + SUMIF(tblAlibabaUnits[Products],$A67, tblAlibabaUnits[cv_2027]) + SUMIF(tblHuaweiUnits[Products],$A67, tblHuaweiUnits[cv_2027]) + SUMIF(tblTencentUnits[Products],$A67, tblTencentUnits[cv_2027]) + SUMIF(tblBaiduUnits[Products],$A67, tblBaiduUnits[cv_2027]) + SUMIF(tblByteDanceUnits[Products],$A67, tblByteDanceUnits[cv_2027]) + SUMIF(tblCloudAOUnits[Products],$A67, tblCloudAOUnits[cv_2027]) + SUMIF(tblTelecomUnits[Products],$A67, tblTelecomUnits[cv_2027]) + SUMIF(tblEnterpriseUnits[Products],$A67, tblEnterpriseUnits[cv_2027])</f>
        <v>0</v>
      </c>
      <c r="L67" s="8">
        <f xml:space="preserve"> SUMIF(tblGoogleUnits[Products],$A67, tblGoogleUnits[cv_2028]) + SUMIF(tblMetaUnits[Products],$A67, tblMetaUnits[cv_2028]) + SUMIF(tblAmazonUnits[Products],$A67, tblAmazonUnits[cv_2028]) + SUMIF(tblMicrosoftUnits[Products],$A67, tblMicrosoftUnits[cv_2028]) + SUMIF(tblAppleUnits[Products],$A67, tblAppleUnits[cv_2028]) + SUMIF(tblAlibabaUnits[Products],$A67, tblAlibabaUnits[cv_2028]) + SUMIF(tblHuaweiUnits[Products],$A67, tblHuaweiUnits[cv_2028]) + SUMIF(tblTencentUnits[Products],$A67, tblTencentUnits[cv_2028]) + SUMIF(tblBaiduUnits[Products],$A67, tblBaiduUnits[cv_2028]) + SUMIF(tblByteDanceUnits[Products],$A67, tblByteDanceUnits[cv_2028]) + SUMIF(tblCloudAOUnits[Products],$A67, tblCloudAOUnits[cv_2028]) + SUMIF(tblTelecomUnits[Products],$A67, tblTelecomUnits[cv_2028]) + SUMIF(tblEnterpriseUnits[Products],$A67, tblEnterpriseUnits[cv_2028])</f>
        <v>0</v>
      </c>
      <c r="M67" s="105" cm="1">
        <f t="array" ref="M67">INDEX(tblPrices[cv_2018], MATCH($A67,tblPrices[Products],0), 0)</f>
        <v>490</v>
      </c>
      <c r="N67" s="105" cm="1">
        <f t="array" ref="N67">INDEX(tblPrices[cv_2019], MATCH($A67,tblPrices[Products],0), 0)</f>
        <v>240</v>
      </c>
      <c r="O67" s="105" cm="1">
        <f t="array" ref="O67">INDEX(tblPrices[cv_2020], MATCH($A67,tblPrices[Products],0), 0)</f>
        <v>0</v>
      </c>
      <c r="P67" s="105" cm="1">
        <f t="array" ref="P67">INDEX(tblPrices[cv_2021], MATCH($A67,tblPrices[Products],0), 0)</f>
        <v>0</v>
      </c>
      <c r="Q67" s="105" cm="1">
        <f t="array" ref="Q67">INDEX(tblPrices[cv_2022], MATCH($A67,tblPrices[Products],0), 0)</f>
        <v>0</v>
      </c>
      <c r="R67" s="105" cm="1">
        <f t="array" ref="R67">INDEX(tblPrices[cv_2023], MATCH($A67,tblPrices[Products],0), 0)</f>
        <v>0</v>
      </c>
      <c r="S67" s="105" cm="1">
        <f t="array" ref="S67">INDEX(tblPrices[cv_2024], MATCH($A67,tblPrices[Products],0), 0)</f>
        <v>0</v>
      </c>
      <c r="T67" s="105" cm="1">
        <f t="array" ref="T67">INDEX(tblPrices[cv_2025], MATCH($A67,tblPrices[Products],0), 0)</f>
        <v>0</v>
      </c>
      <c r="U67" s="105" cm="1">
        <f t="array" ref="U67">INDEX(tblPrices[cv_2026], MATCH($A67,tblPrices[Products],0), 0)</f>
        <v>0</v>
      </c>
      <c r="V67" s="105" cm="1">
        <f t="array" ref="V67">INDEX(tblPrices[cv_2027], MATCH($A67,tblPrices[Products],0), 0)</f>
        <v>0</v>
      </c>
      <c r="W67" s="105" cm="1">
        <f t="array" ref="W67">INDEX(tblPrices[cv_2028], MATCH($A67,tblPrices[Products],0), 0)</f>
        <v>0</v>
      </c>
      <c r="X67" s="106" cm="1">
        <f t="array" ref="X67">INDEX(tblPrices[cv_2018], MATCH($A67,tblPrices[Products],0), 0)* tblForecast[[#This Row],[un_2018]]/10^6</f>
        <v>914.48338333333322</v>
      </c>
      <c r="Y67" s="106" cm="1">
        <f t="array" ref="Y67">INDEX(tblPrices[cv_2019], MATCH($A67,tblPrices[Products],0), 0)* tblForecast[[#This Row],[un_2019]]/10^6</f>
        <v>574.31016</v>
      </c>
      <c r="Z67" s="106" cm="1">
        <f t="array" ref="Z67">INDEX(tblPrices[cv_2020], MATCH($A67,tblPrices[Products],0), 0)* tblForecast[[#This Row],[un_2020]]/10^6</f>
        <v>0</v>
      </c>
      <c r="AA67" s="106" cm="1">
        <f t="array" ref="AA67">INDEX(tblPrices[cv_2021], MATCH($A67,tblPrices[Products],0), 0)* tblForecast[[#This Row],[un_2021]]/10^6</f>
        <v>0</v>
      </c>
      <c r="AB67" s="106" cm="1">
        <f t="array" ref="AB67">INDEX(tblPrices[cv_2022], MATCH($A67,tblPrices[Products],0), 0)* tblForecast[[#This Row],[un_2022]]/10^6</f>
        <v>0</v>
      </c>
      <c r="AC67" s="106" cm="1">
        <f t="array" ref="AC67">INDEX(tblPrices[cv_2023], MATCH($A67,tblPrices[Products],0), 0)* tblForecast[[#This Row],[un_2023]]/10^6</f>
        <v>0</v>
      </c>
      <c r="AD67" s="106" cm="1">
        <f t="array" ref="AD67">INDEX(tblPrices[cv_2024], MATCH($A67,tblPrices[Products],0), 0)* tblForecast[[#This Row],[un_2024]]/10^6</f>
        <v>0</v>
      </c>
      <c r="AE67" s="106" cm="1">
        <f t="array" ref="AE67">INDEX(tblPrices[cv_2025], MATCH($A67,tblPrices[Products],0), 0)* tblForecast[[#This Row],[un_2025]]/10^6</f>
        <v>0</v>
      </c>
      <c r="AF67" s="106" cm="1">
        <f t="array" ref="AF67">INDEX(tblPrices[cv_2026], MATCH($A67,tblPrices[Products],0), 0)* tblForecast[[#This Row],[un_2026]]/10^6</f>
        <v>0</v>
      </c>
      <c r="AG67" s="106" cm="1">
        <f t="array" ref="AG67">INDEX(tblPrices[cv_2027], MATCH($A67,tblPrices[Products],0), 0)* tblForecast[[#This Row],[un_2027]]/10^6</f>
        <v>0</v>
      </c>
      <c r="AH67" s="106" cm="1">
        <f t="array" ref="AH67">INDEX(tblPrices[cv_2028], MATCH($A67,tblPrices[Products],0), 0)* tblForecast[[#This Row],[un_2028]]/10^6</f>
        <v>0</v>
      </c>
      <c r="AI67" s="60">
        <f>VLOOKUP(A67,Products!$A$11:$F$110,6,FALSE)</f>
        <v>100</v>
      </c>
    </row>
    <row r="68" spans="1:35">
      <c r="A68" s="12" t="s">
        <v>45</v>
      </c>
      <c r="B68" s="8">
        <f xml:space="preserve"> SUMIF(tblGoogleUnits[Products],$A68, tblGoogleUnits[cv_2018]) + SUMIF(tblMetaUnits[Products],$A68, tblMetaUnits[cv_2018]) + SUMIF(tblAmazonUnits[Products],$A68, tblAmazonUnits[cv_2018]) + SUMIF(tblMicrosoftUnits[Products],$A68, tblMicrosoftUnits[cv_2018]) + SUMIF(tblAppleUnits[Products],$A68, tblAppleUnits[cv_2018]) + SUMIF(tblAlibabaUnits[Products],$A68, tblAlibabaUnits[cv_2018]) + SUMIF(tblHuaweiUnits[Products],$A68, tblHuaweiUnits[cv_2018]) + SUMIF(tblTencentUnits[Products],$A68, tblTencentUnits[cv_2018]) + SUMIF(tblBaiduUnits[Products],$A68, tblBaiduUnits[cv_2018]) + SUMIF(tblByteDanceUnits[Products],$A68, tblByteDanceUnits[cv_2018]) + SUMIF(tblCloudAOUnits[Products],$A68, tblCloudAOUnits[cv_2018]) + SUMIF(tblTelecomUnits[Products],$A68, tblTelecomUnits[cv_2018]) + SUMIF(tblEnterpriseUnits[Products],$A68, tblEnterpriseUnits[cv_2018])</f>
        <v>3000</v>
      </c>
      <c r="C68" s="8">
        <f xml:space="preserve"> SUMIF(tblGoogleUnits[Products],$A68, tblGoogleUnits[cv_2019]) + SUMIF(tblMetaUnits[Products],$A68, tblMetaUnits[cv_2019]) + SUMIF(tblAmazonUnits[Products],$A68, tblAmazonUnits[cv_2019]) + SUMIF(tblMicrosoftUnits[Products],$A68, tblMicrosoftUnits[cv_2019]) + SUMIF(tblAppleUnits[Products],$A68, tblAppleUnits[cv_2019]) + SUMIF(tblAlibabaUnits[Products],$A68, tblAlibabaUnits[cv_2019]) + SUMIF(tblHuaweiUnits[Products],$A68, tblHuaweiUnits[cv_2019]) + SUMIF(tblTencentUnits[Products],$A68, tblTencentUnits[cv_2019]) + SUMIF(tblBaiduUnits[Products],$A68, tblBaiduUnits[cv_2019]) + SUMIF(tblByteDanceUnits[Products],$A68, tblByteDanceUnits[cv_2019]) + SUMIF(tblCloudAOUnits[Products],$A68, tblCloudAOUnits[cv_2019]) + SUMIF(tblTelecomUnits[Products],$A68, tblTelecomUnits[cv_2019]) + SUMIF(tblEnterpriseUnits[Products],$A68, tblEnterpriseUnits[cv_2019])</f>
        <v>25083</v>
      </c>
      <c r="D68" s="8">
        <f xml:space="preserve"> SUMIF(tblGoogleUnits[Products],$A68, tblGoogleUnits[cv_2020]) + SUMIF(tblMetaUnits[Products],$A68, tblMetaUnits[cv_2020]) + SUMIF(tblAmazonUnits[Products],$A68, tblAmazonUnits[cv_2020]) + SUMIF(tblMicrosoftUnits[Products],$A68, tblMicrosoftUnits[cv_2020]) + SUMIF(tblAppleUnits[Products],$A68, tblAppleUnits[cv_2020]) + SUMIF(tblAlibabaUnits[Products],$A68, tblAlibabaUnits[cv_2020]) + SUMIF(tblHuaweiUnits[Products],$A68, tblHuaweiUnits[cv_2020]) + SUMIF(tblTencentUnits[Products],$A68, tblTencentUnits[cv_2020]) + SUMIF(tblBaiduUnits[Products],$A68, tblBaiduUnits[cv_2020]) + SUMIF(tblByteDanceUnits[Products],$A68, tblByteDanceUnits[cv_2020]) + SUMIF(tblCloudAOUnits[Products],$A68, tblCloudAOUnits[cv_2020]) + SUMIF(tblTelecomUnits[Products],$A68, tblTelecomUnits[cv_2020]) + SUMIF(tblEnterpriseUnits[Products],$A68, tblEnterpriseUnits[cv_2020])</f>
        <v>0</v>
      </c>
      <c r="E68" s="8">
        <f xml:space="preserve"> SUMIF(tblGoogleUnits[Products],$A68, tblGoogleUnits[cv_2021]) + SUMIF(tblMetaUnits[Products],$A68, tblMetaUnits[cv_2021]) + SUMIF(tblAmazonUnits[Products],$A68, tblAmazonUnits[cv_2021]) + SUMIF(tblMicrosoftUnits[Products],$A68, tblMicrosoftUnits[cv_2021]) + SUMIF(tblAppleUnits[Products],$A68, tblAppleUnits[cv_2021]) + SUMIF(tblAlibabaUnits[Products],$A68, tblAlibabaUnits[cv_2021]) + SUMIF(tblHuaweiUnits[Products],$A68, tblHuaweiUnits[cv_2021]) + SUMIF(tblTencentUnits[Products],$A68, tblTencentUnits[cv_2021]) + SUMIF(tblBaiduUnits[Products],$A68, tblBaiduUnits[cv_2021]) + SUMIF(tblByteDanceUnits[Products],$A68, tblByteDanceUnits[cv_2021]) + SUMIF(tblCloudAOUnits[Products],$A68, tblCloudAOUnits[cv_2021]) + SUMIF(tblTelecomUnits[Products],$A68, tblTelecomUnits[cv_2021]) + SUMIF(tblEnterpriseUnits[Products],$A68, tblEnterpriseUnits[cv_2021])</f>
        <v>0</v>
      </c>
      <c r="F68" s="8">
        <f xml:space="preserve"> SUMIF(tblGoogleUnits[Products],$A68, tblGoogleUnits[cv_2022]) + SUMIF(tblMetaUnits[Products],$A68, tblMetaUnits[cv_2022]) + SUMIF(tblAmazonUnits[Products],$A68, tblAmazonUnits[cv_2022]) + SUMIF(tblMicrosoftUnits[Products],$A68, tblMicrosoftUnits[cv_2022]) + SUMIF(tblAppleUnits[Products],$A68, tblAppleUnits[cv_2022]) + SUMIF(tblAlibabaUnits[Products],$A68, tblAlibabaUnits[cv_2022]) + SUMIF(tblHuaweiUnits[Products],$A68, tblHuaweiUnits[cv_2022]) + SUMIF(tblTencentUnits[Products],$A68, tblTencentUnits[cv_2022]) + SUMIF(tblBaiduUnits[Products],$A68, tblBaiduUnits[cv_2022]) + SUMIF(tblByteDanceUnits[Products],$A68, tblByteDanceUnits[cv_2022]) + SUMIF(tblCloudAOUnits[Products],$A68, tblCloudAOUnits[cv_2022]) + SUMIF(tblTelecomUnits[Products],$A68, tblTelecomUnits[cv_2022]) + SUMIF(tblEnterpriseUnits[Products],$A68, tblEnterpriseUnits[cv_2022])</f>
        <v>0</v>
      </c>
      <c r="G68" s="8">
        <f xml:space="preserve"> SUMIF(tblGoogleUnits[Products],$A68, tblGoogleUnits[cv_2023]) + SUMIF(tblMetaUnits[Products],$A68, tblMetaUnits[cv_2023]) + SUMIF(tblAmazonUnits[Products],$A68, tblAmazonUnits[cv_2023]) + SUMIF(tblMicrosoftUnits[Products],$A68, tblMicrosoftUnits[cv_2023]) + SUMIF(tblAppleUnits[Products],$A68, tblAppleUnits[cv_2023]) + SUMIF(tblAlibabaUnits[Products],$A68, tblAlibabaUnits[cv_2023]) + SUMIF(tblHuaweiUnits[Products],$A68, tblHuaweiUnits[cv_2023]) + SUMIF(tblTencentUnits[Products],$A68, tblTencentUnits[cv_2023]) + SUMIF(tblBaiduUnits[Products],$A68, tblBaiduUnits[cv_2023]) + SUMIF(tblByteDanceUnits[Products],$A68, tblByteDanceUnits[cv_2023]) + SUMIF(tblCloudAOUnits[Products],$A68, tblCloudAOUnits[cv_2023]) + SUMIF(tblTelecomUnits[Products],$A68, tblTelecomUnits[cv_2023]) + SUMIF(tblEnterpriseUnits[Products],$A68, tblEnterpriseUnits[cv_2023])</f>
        <v>0</v>
      </c>
      <c r="H68" s="8">
        <f xml:space="preserve"> SUMIF(tblGoogleUnits[Products],$A68, tblGoogleUnits[cv_2024]) + SUMIF(tblMetaUnits[Products],$A68, tblMetaUnits[cv_2024]) + SUMIF(tblAmazonUnits[Products],$A68, tblAmazonUnits[cv_2024]) + SUMIF(tblMicrosoftUnits[Products],$A68, tblMicrosoftUnits[cv_2024]) + SUMIF(tblAppleUnits[Products],$A68, tblAppleUnits[cv_2024]) + SUMIF(tblAlibabaUnits[Products],$A68, tblAlibabaUnits[cv_2024]) + SUMIF(tblHuaweiUnits[Products],$A68, tblHuaweiUnits[cv_2024]) + SUMIF(tblTencentUnits[Products],$A68, tblTencentUnits[cv_2024]) + SUMIF(tblBaiduUnits[Products],$A68, tblBaiduUnits[cv_2024]) + SUMIF(tblByteDanceUnits[Products],$A68, tblByteDanceUnits[cv_2024]) + SUMIF(tblCloudAOUnits[Products],$A68, tblCloudAOUnits[cv_2024]) + SUMIF(tblTelecomUnits[Products],$A68, tblTelecomUnits[cv_2024]) + SUMIF(tblEnterpriseUnits[Products],$A68, tblEnterpriseUnits[cv_2024])</f>
        <v>0</v>
      </c>
      <c r="I68" s="8">
        <f xml:space="preserve"> SUMIF(tblGoogleUnits[Products],$A68, tblGoogleUnits[cv_2025]) + SUMIF(tblMetaUnits[Products],$A68, tblMetaUnits[cv_2025]) + SUMIF(tblAmazonUnits[Products],$A68, tblAmazonUnits[cv_2025]) + SUMIF(tblMicrosoftUnits[Products],$A68, tblMicrosoftUnits[cv_2025]) + SUMIF(tblAppleUnits[Products],$A68, tblAppleUnits[cv_2025]) + SUMIF(tblAlibabaUnits[Products],$A68, tblAlibabaUnits[cv_2025]) + SUMIF(tblHuaweiUnits[Products],$A68, tblHuaweiUnits[cv_2025]) + SUMIF(tblTencentUnits[Products],$A68, tblTencentUnits[cv_2025]) + SUMIF(tblBaiduUnits[Products],$A68, tblBaiduUnits[cv_2025]) + SUMIF(tblByteDanceUnits[Products],$A68, tblByteDanceUnits[cv_2025]) + SUMIF(tblCloudAOUnits[Products],$A68, tblCloudAOUnits[cv_2025]) + SUMIF(tblTelecomUnits[Products],$A68, tblTelecomUnits[cv_2025]) + SUMIF(tblEnterpriseUnits[Products],$A68, tblEnterpriseUnits[cv_2025])</f>
        <v>0</v>
      </c>
      <c r="J68" s="8">
        <f xml:space="preserve"> SUMIF(tblGoogleUnits[Products],$A68, tblGoogleUnits[cv_2026]) + SUMIF(tblMetaUnits[Products],$A68, tblMetaUnits[cv_2026]) + SUMIF(tblAmazonUnits[Products],$A68, tblAmazonUnits[cv_2026]) + SUMIF(tblMicrosoftUnits[Products],$A68, tblMicrosoftUnits[cv_2026]) + SUMIF(tblAppleUnits[Products],$A68, tblAppleUnits[cv_2026]) + SUMIF(tblAlibabaUnits[Products],$A68, tblAlibabaUnits[cv_2026]) + SUMIF(tblHuaweiUnits[Products],$A68, tblHuaweiUnits[cv_2026]) + SUMIF(tblTencentUnits[Products],$A68, tblTencentUnits[cv_2026]) + SUMIF(tblBaiduUnits[Products],$A68, tblBaiduUnits[cv_2026]) + SUMIF(tblByteDanceUnits[Products],$A68, tblByteDanceUnits[cv_2026]) + SUMIF(tblCloudAOUnits[Products],$A68, tblCloudAOUnits[cv_2026]) + SUMIF(tblTelecomUnits[Products],$A68, tblTelecomUnits[cv_2026]) + SUMIF(tblEnterpriseUnits[Products],$A68, tblEnterpriseUnits[cv_2026])</f>
        <v>0</v>
      </c>
      <c r="K68" s="8">
        <f xml:space="preserve"> SUMIF(tblGoogleUnits[Products],$A68, tblGoogleUnits[cv_2027]) + SUMIF(tblMetaUnits[Products],$A68, tblMetaUnits[cv_2027]) + SUMIF(tblAmazonUnits[Products],$A68, tblAmazonUnits[cv_2027]) + SUMIF(tblMicrosoftUnits[Products],$A68, tblMicrosoftUnits[cv_2027]) + SUMIF(tblAppleUnits[Products],$A68, tblAppleUnits[cv_2027]) + SUMIF(tblAlibabaUnits[Products],$A68, tblAlibabaUnits[cv_2027]) + SUMIF(tblHuaweiUnits[Products],$A68, tblHuaweiUnits[cv_2027]) + SUMIF(tblTencentUnits[Products],$A68, tblTencentUnits[cv_2027]) + SUMIF(tblBaiduUnits[Products],$A68, tblBaiduUnits[cv_2027]) + SUMIF(tblByteDanceUnits[Products],$A68, tblByteDanceUnits[cv_2027]) + SUMIF(tblCloudAOUnits[Products],$A68, tblCloudAOUnits[cv_2027]) + SUMIF(tblTelecomUnits[Products],$A68, tblTelecomUnits[cv_2027]) + SUMIF(tblEnterpriseUnits[Products],$A68, tblEnterpriseUnits[cv_2027])</f>
        <v>0</v>
      </c>
      <c r="L68" s="8">
        <f xml:space="preserve"> SUMIF(tblGoogleUnits[Products],$A68, tblGoogleUnits[cv_2028]) + SUMIF(tblMetaUnits[Products],$A68, tblMetaUnits[cv_2028]) + SUMIF(tblAmazonUnits[Products],$A68, tblAmazonUnits[cv_2028]) + SUMIF(tblMicrosoftUnits[Products],$A68, tblMicrosoftUnits[cv_2028]) + SUMIF(tblAppleUnits[Products],$A68, tblAppleUnits[cv_2028]) + SUMIF(tblAlibabaUnits[Products],$A68, tblAlibabaUnits[cv_2028]) + SUMIF(tblHuaweiUnits[Products],$A68, tblHuaweiUnits[cv_2028]) + SUMIF(tblTencentUnits[Products],$A68, tblTencentUnits[cv_2028]) + SUMIF(tblBaiduUnits[Products],$A68, tblBaiduUnits[cv_2028]) + SUMIF(tblByteDanceUnits[Products],$A68, tblByteDanceUnits[cv_2028]) + SUMIF(tblCloudAOUnits[Products],$A68, tblCloudAOUnits[cv_2028]) + SUMIF(tblTelecomUnits[Products],$A68, tblTelecomUnits[cv_2028]) + SUMIF(tblEnterpriseUnits[Products],$A68, tblEnterpriseUnits[cv_2028])</f>
        <v>0</v>
      </c>
      <c r="M68" s="105" cm="1">
        <f t="array" ref="M68">INDEX(tblPrices[cv_2018], MATCH($A68,tblPrices[Products],0), 0)</f>
        <v>400</v>
      </c>
      <c r="N68" s="105" cm="1">
        <f t="array" ref="N68">INDEX(tblPrices[cv_2019], MATCH($A68,tblPrices[Products],0), 0)</f>
        <v>206</v>
      </c>
      <c r="O68" s="105" cm="1">
        <f t="array" ref="O68">INDEX(tblPrices[cv_2020], MATCH($A68,tblPrices[Products],0), 0)</f>
        <v>0</v>
      </c>
      <c r="P68" s="105" cm="1">
        <f t="array" ref="P68">INDEX(tblPrices[cv_2021], MATCH($A68,tblPrices[Products],0), 0)</f>
        <v>0</v>
      </c>
      <c r="Q68" s="105" cm="1">
        <f t="array" ref="Q68">INDEX(tblPrices[cv_2022], MATCH($A68,tblPrices[Products],0), 0)</f>
        <v>0</v>
      </c>
      <c r="R68" s="105" cm="1">
        <f t="array" ref="R68">INDEX(tblPrices[cv_2023], MATCH($A68,tblPrices[Products],0), 0)</f>
        <v>0</v>
      </c>
      <c r="S68" s="105" cm="1">
        <f t="array" ref="S68">INDEX(tblPrices[cv_2024], MATCH($A68,tblPrices[Products],0), 0)</f>
        <v>0</v>
      </c>
      <c r="T68" s="105" cm="1">
        <f t="array" ref="T68">INDEX(tblPrices[cv_2025], MATCH($A68,tblPrices[Products],0), 0)</f>
        <v>0</v>
      </c>
      <c r="U68" s="105" cm="1">
        <f t="array" ref="U68">INDEX(tblPrices[cv_2026], MATCH($A68,tblPrices[Products],0), 0)</f>
        <v>0</v>
      </c>
      <c r="V68" s="105" cm="1">
        <f t="array" ref="V68">INDEX(tblPrices[cv_2027], MATCH($A68,tblPrices[Products],0), 0)</f>
        <v>0</v>
      </c>
      <c r="W68" s="105" cm="1">
        <f t="array" ref="W68">INDEX(tblPrices[cv_2028], MATCH($A68,tblPrices[Products],0), 0)</f>
        <v>0</v>
      </c>
      <c r="X68" s="106" cm="1">
        <f t="array" ref="X68">INDEX(tblPrices[cv_2018], MATCH($A68,tblPrices[Products],0), 0)* tblForecast[[#This Row],[un_2018]]/10^6</f>
        <v>1.2</v>
      </c>
      <c r="Y68" s="106" cm="1">
        <f t="array" ref="Y68">INDEX(tblPrices[cv_2019], MATCH($A68,tblPrices[Products],0), 0)* tblForecast[[#This Row],[un_2019]]/10^6</f>
        <v>5.1670980000000002</v>
      </c>
      <c r="Z68" s="106" cm="1">
        <f t="array" ref="Z68">INDEX(tblPrices[cv_2020], MATCH($A68,tblPrices[Products],0), 0)* tblForecast[[#This Row],[un_2020]]/10^6</f>
        <v>0</v>
      </c>
      <c r="AA68" s="106" cm="1">
        <f t="array" ref="AA68">INDEX(tblPrices[cv_2021], MATCH($A68,tblPrices[Products],0), 0)* tblForecast[[#This Row],[un_2021]]/10^6</f>
        <v>0</v>
      </c>
      <c r="AB68" s="106" cm="1">
        <f t="array" ref="AB68">INDEX(tblPrices[cv_2022], MATCH($A68,tblPrices[Products],0), 0)* tblForecast[[#This Row],[un_2022]]/10^6</f>
        <v>0</v>
      </c>
      <c r="AC68" s="106" cm="1">
        <f t="array" ref="AC68">INDEX(tblPrices[cv_2023], MATCH($A68,tblPrices[Products],0), 0)* tblForecast[[#This Row],[un_2023]]/10^6</f>
        <v>0</v>
      </c>
      <c r="AD68" s="106" cm="1">
        <f t="array" ref="AD68">INDEX(tblPrices[cv_2024], MATCH($A68,tblPrices[Products],0), 0)* tblForecast[[#This Row],[un_2024]]/10^6</f>
        <v>0</v>
      </c>
      <c r="AE68" s="106" cm="1">
        <f t="array" ref="AE68">INDEX(tblPrices[cv_2025], MATCH($A68,tblPrices[Products],0), 0)* tblForecast[[#This Row],[un_2025]]/10^6</f>
        <v>0</v>
      </c>
      <c r="AF68" s="106" cm="1">
        <f t="array" ref="AF68">INDEX(tblPrices[cv_2026], MATCH($A68,tblPrices[Products],0), 0)* tblForecast[[#This Row],[un_2026]]/10^6</f>
        <v>0</v>
      </c>
      <c r="AG68" s="106" cm="1">
        <f t="array" ref="AG68">INDEX(tblPrices[cv_2027], MATCH($A68,tblPrices[Products],0), 0)* tblForecast[[#This Row],[un_2027]]/10^6</f>
        <v>0</v>
      </c>
      <c r="AH68" s="106" cm="1">
        <f t="array" ref="AH68">INDEX(tblPrices[cv_2028], MATCH($A68,tblPrices[Products],0), 0)* tblForecast[[#This Row],[un_2028]]/10^6</f>
        <v>0</v>
      </c>
      <c r="AI68" s="60">
        <f>VLOOKUP(A68,Products!$A$11:$F$110,6,FALSE)</f>
        <v>100</v>
      </c>
    </row>
    <row r="69" spans="1:35">
      <c r="A69" s="12" t="s">
        <v>182</v>
      </c>
      <c r="B69" s="8">
        <f xml:space="preserve"> SUMIF(tblGoogleUnits[Products],$A69, tblGoogleUnits[cv_2018]) + SUMIF(tblMetaUnits[Products],$A69, tblMetaUnits[cv_2018]) + SUMIF(tblAmazonUnits[Products],$A69, tblAmazonUnits[cv_2018]) + SUMIF(tblMicrosoftUnits[Products],$A69, tblMicrosoftUnits[cv_2018]) + SUMIF(tblAppleUnits[Products],$A69, tblAppleUnits[cv_2018]) + SUMIF(tblAlibabaUnits[Products],$A69, tblAlibabaUnits[cv_2018]) + SUMIF(tblHuaweiUnits[Products],$A69, tblHuaweiUnits[cv_2018]) + SUMIF(tblTencentUnits[Products],$A69, tblTencentUnits[cv_2018]) + SUMIF(tblBaiduUnits[Products],$A69, tblBaiduUnits[cv_2018]) + SUMIF(tblByteDanceUnits[Products],$A69, tblByteDanceUnits[cv_2018]) + SUMIF(tblCloudAOUnits[Products],$A69, tblCloudAOUnits[cv_2018]) + SUMIF(tblTelecomUnits[Products],$A69, tblTelecomUnits[cv_2018]) + SUMIF(tblEnterpriseUnits[Products],$A69, tblEnterpriseUnits[cv_2018])</f>
        <v>38716</v>
      </c>
      <c r="C69" s="8">
        <f xml:space="preserve"> SUMIF(tblGoogleUnits[Products],$A69, tblGoogleUnits[cv_2019]) + SUMIF(tblMetaUnits[Products],$A69, tblMetaUnits[cv_2019]) + SUMIF(tblAmazonUnits[Products],$A69, tblAmazonUnits[cv_2019]) + SUMIF(tblMicrosoftUnits[Products],$A69, tblMicrosoftUnits[cv_2019]) + SUMIF(tblAppleUnits[Products],$A69, tblAppleUnits[cv_2019]) + SUMIF(tblAlibabaUnits[Products],$A69, tblAlibabaUnits[cv_2019]) + SUMIF(tblHuaweiUnits[Products],$A69, tblHuaweiUnits[cv_2019]) + SUMIF(tblTencentUnits[Products],$A69, tblTencentUnits[cv_2019]) + SUMIF(tblBaiduUnits[Products],$A69, tblBaiduUnits[cv_2019]) + SUMIF(tblByteDanceUnits[Products],$A69, tblByteDanceUnits[cv_2019]) + SUMIF(tblCloudAOUnits[Products],$A69, tblCloudAOUnits[cv_2019]) + SUMIF(tblTelecomUnits[Products],$A69, tblTelecomUnits[cv_2019]) + SUMIF(tblEnterpriseUnits[Products],$A69, tblEnterpriseUnits[cv_2019])</f>
        <v>28569</v>
      </c>
      <c r="D69" s="8">
        <f xml:space="preserve"> SUMIF(tblGoogleUnits[Products],$A69, tblGoogleUnits[cv_2020]) + SUMIF(tblMetaUnits[Products],$A69, tblMetaUnits[cv_2020]) + SUMIF(tblAmazonUnits[Products],$A69, tblAmazonUnits[cv_2020]) + SUMIF(tblMicrosoftUnits[Products],$A69, tblMicrosoftUnits[cv_2020]) + SUMIF(tblAppleUnits[Products],$A69, tblAppleUnits[cv_2020]) + SUMIF(tblAlibabaUnits[Products],$A69, tblAlibabaUnits[cv_2020]) + SUMIF(tblHuaweiUnits[Products],$A69, tblHuaweiUnits[cv_2020]) + SUMIF(tblTencentUnits[Products],$A69, tblTencentUnits[cv_2020]) + SUMIF(tblBaiduUnits[Products],$A69, tblBaiduUnits[cv_2020]) + SUMIF(tblByteDanceUnits[Products],$A69, tblByteDanceUnits[cv_2020]) + SUMIF(tblCloudAOUnits[Products],$A69, tblCloudAOUnits[cv_2020]) + SUMIF(tblTelecomUnits[Products],$A69, tblTelecomUnits[cv_2020]) + SUMIF(tblEnterpriseUnits[Products],$A69, tblEnterpriseUnits[cv_2020])</f>
        <v>0</v>
      </c>
      <c r="E69" s="8">
        <f xml:space="preserve"> SUMIF(tblGoogleUnits[Products],$A69, tblGoogleUnits[cv_2021]) + SUMIF(tblMetaUnits[Products],$A69, tblMetaUnits[cv_2021]) + SUMIF(tblAmazonUnits[Products],$A69, tblAmazonUnits[cv_2021]) + SUMIF(tblMicrosoftUnits[Products],$A69, tblMicrosoftUnits[cv_2021]) + SUMIF(tblAppleUnits[Products],$A69, tblAppleUnits[cv_2021]) + SUMIF(tblAlibabaUnits[Products],$A69, tblAlibabaUnits[cv_2021]) + SUMIF(tblHuaweiUnits[Products],$A69, tblHuaweiUnits[cv_2021]) + SUMIF(tblTencentUnits[Products],$A69, tblTencentUnits[cv_2021]) + SUMIF(tblBaiduUnits[Products],$A69, tblBaiduUnits[cv_2021]) + SUMIF(tblByteDanceUnits[Products],$A69, tblByteDanceUnits[cv_2021]) + SUMIF(tblCloudAOUnits[Products],$A69, tblCloudAOUnits[cv_2021]) + SUMIF(tblTelecomUnits[Products],$A69, tblTelecomUnits[cv_2021]) + SUMIF(tblEnterpriseUnits[Products],$A69, tblEnterpriseUnits[cv_2021])</f>
        <v>0</v>
      </c>
      <c r="F69" s="8">
        <f xml:space="preserve"> SUMIF(tblGoogleUnits[Products],$A69, tblGoogleUnits[cv_2022]) + SUMIF(tblMetaUnits[Products],$A69, tblMetaUnits[cv_2022]) + SUMIF(tblAmazonUnits[Products],$A69, tblAmazonUnits[cv_2022]) + SUMIF(tblMicrosoftUnits[Products],$A69, tblMicrosoftUnits[cv_2022]) + SUMIF(tblAppleUnits[Products],$A69, tblAppleUnits[cv_2022]) + SUMIF(tblAlibabaUnits[Products],$A69, tblAlibabaUnits[cv_2022]) + SUMIF(tblHuaweiUnits[Products],$A69, tblHuaweiUnits[cv_2022]) + SUMIF(tblTencentUnits[Products],$A69, tblTencentUnits[cv_2022]) + SUMIF(tblBaiduUnits[Products],$A69, tblBaiduUnits[cv_2022]) + SUMIF(tblByteDanceUnits[Products],$A69, tblByteDanceUnits[cv_2022]) + SUMIF(tblCloudAOUnits[Products],$A69, tblCloudAOUnits[cv_2022]) + SUMIF(tblTelecomUnits[Products],$A69, tblTelecomUnits[cv_2022]) + SUMIF(tblEnterpriseUnits[Products],$A69, tblEnterpriseUnits[cv_2022])</f>
        <v>0</v>
      </c>
      <c r="G69" s="8">
        <f xml:space="preserve"> SUMIF(tblGoogleUnits[Products],$A69, tblGoogleUnits[cv_2023]) + SUMIF(tblMetaUnits[Products],$A69, tblMetaUnits[cv_2023]) + SUMIF(tblAmazonUnits[Products],$A69, tblAmazonUnits[cv_2023]) + SUMIF(tblMicrosoftUnits[Products],$A69, tblMicrosoftUnits[cv_2023]) + SUMIF(tblAppleUnits[Products],$A69, tblAppleUnits[cv_2023]) + SUMIF(tblAlibabaUnits[Products],$A69, tblAlibabaUnits[cv_2023]) + SUMIF(tblHuaweiUnits[Products],$A69, tblHuaweiUnits[cv_2023]) + SUMIF(tblTencentUnits[Products],$A69, tblTencentUnits[cv_2023]) + SUMIF(tblBaiduUnits[Products],$A69, tblBaiduUnits[cv_2023]) + SUMIF(tblByteDanceUnits[Products],$A69, tblByteDanceUnits[cv_2023]) + SUMIF(tblCloudAOUnits[Products],$A69, tblCloudAOUnits[cv_2023]) + SUMIF(tblTelecomUnits[Products],$A69, tblTelecomUnits[cv_2023]) + SUMIF(tblEnterpriseUnits[Products],$A69, tblEnterpriseUnits[cv_2023])</f>
        <v>0</v>
      </c>
      <c r="H69" s="8">
        <f xml:space="preserve"> SUMIF(tblGoogleUnits[Products],$A69, tblGoogleUnits[cv_2024]) + SUMIF(tblMetaUnits[Products],$A69, tblMetaUnits[cv_2024]) + SUMIF(tblAmazonUnits[Products],$A69, tblAmazonUnits[cv_2024]) + SUMIF(tblMicrosoftUnits[Products],$A69, tblMicrosoftUnits[cv_2024]) + SUMIF(tblAppleUnits[Products],$A69, tblAppleUnits[cv_2024]) + SUMIF(tblAlibabaUnits[Products],$A69, tblAlibabaUnits[cv_2024]) + SUMIF(tblHuaweiUnits[Products],$A69, tblHuaweiUnits[cv_2024]) + SUMIF(tblTencentUnits[Products],$A69, tblTencentUnits[cv_2024]) + SUMIF(tblBaiduUnits[Products],$A69, tblBaiduUnits[cv_2024]) + SUMIF(tblByteDanceUnits[Products],$A69, tblByteDanceUnits[cv_2024]) + SUMIF(tblCloudAOUnits[Products],$A69, tblCloudAOUnits[cv_2024]) + SUMIF(tblTelecomUnits[Products],$A69, tblTelecomUnits[cv_2024]) + SUMIF(tblEnterpriseUnits[Products],$A69, tblEnterpriseUnits[cv_2024])</f>
        <v>0</v>
      </c>
      <c r="I69" s="8">
        <f xml:space="preserve"> SUMIF(tblGoogleUnits[Products],$A69, tblGoogleUnits[cv_2025]) + SUMIF(tblMetaUnits[Products],$A69, tblMetaUnits[cv_2025]) + SUMIF(tblAmazonUnits[Products],$A69, tblAmazonUnits[cv_2025]) + SUMIF(tblMicrosoftUnits[Products],$A69, tblMicrosoftUnits[cv_2025]) + SUMIF(tblAppleUnits[Products],$A69, tblAppleUnits[cv_2025]) + SUMIF(tblAlibabaUnits[Products],$A69, tblAlibabaUnits[cv_2025]) + SUMIF(tblHuaweiUnits[Products],$A69, tblHuaweiUnits[cv_2025]) + SUMIF(tblTencentUnits[Products],$A69, tblTencentUnits[cv_2025]) + SUMIF(tblBaiduUnits[Products],$A69, tblBaiduUnits[cv_2025]) + SUMIF(tblByteDanceUnits[Products],$A69, tblByteDanceUnits[cv_2025]) + SUMIF(tblCloudAOUnits[Products],$A69, tblCloudAOUnits[cv_2025]) + SUMIF(tblTelecomUnits[Products],$A69, tblTelecomUnits[cv_2025]) + SUMIF(tblEnterpriseUnits[Products],$A69, tblEnterpriseUnits[cv_2025])</f>
        <v>0</v>
      </c>
      <c r="J69" s="8">
        <f xml:space="preserve"> SUMIF(tblGoogleUnits[Products],$A69, tblGoogleUnits[cv_2026]) + SUMIF(tblMetaUnits[Products],$A69, tblMetaUnits[cv_2026]) + SUMIF(tblAmazonUnits[Products],$A69, tblAmazonUnits[cv_2026]) + SUMIF(tblMicrosoftUnits[Products],$A69, tblMicrosoftUnits[cv_2026]) + SUMIF(tblAppleUnits[Products],$A69, tblAppleUnits[cv_2026]) + SUMIF(tblAlibabaUnits[Products],$A69, tblAlibabaUnits[cv_2026]) + SUMIF(tblHuaweiUnits[Products],$A69, tblHuaweiUnits[cv_2026]) + SUMIF(tblTencentUnits[Products],$A69, tblTencentUnits[cv_2026]) + SUMIF(tblBaiduUnits[Products],$A69, tblBaiduUnits[cv_2026]) + SUMIF(tblByteDanceUnits[Products],$A69, tblByteDanceUnits[cv_2026]) + SUMIF(tblCloudAOUnits[Products],$A69, tblCloudAOUnits[cv_2026]) + SUMIF(tblTelecomUnits[Products],$A69, tblTelecomUnits[cv_2026]) + SUMIF(tblEnterpriseUnits[Products],$A69, tblEnterpriseUnits[cv_2026])</f>
        <v>0</v>
      </c>
      <c r="K69" s="8">
        <f xml:space="preserve"> SUMIF(tblGoogleUnits[Products],$A69, tblGoogleUnits[cv_2027]) + SUMIF(tblMetaUnits[Products],$A69, tblMetaUnits[cv_2027]) + SUMIF(tblAmazonUnits[Products],$A69, tblAmazonUnits[cv_2027]) + SUMIF(tblMicrosoftUnits[Products],$A69, tblMicrosoftUnits[cv_2027]) + SUMIF(tblAppleUnits[Products],$A69, tblAppleUnits[cv_2027]) + SUMIF(tblAlibabaUnits[Products],$A69, tblAlibabaUnits[cv_2027]) + SUMIF(tblHuaweiUnits[Products],$A69, tblHuaweiUnits[cv_2027]) + SUMIF(tblTencentUnits[Products],$A69, tblTencentUnits[cv_2027]) + SUMIF(tblBaiduUnits[Products],$A69, tblBaiduUnits[cv_2027]) + SUMIF(tblByteDanceUnits[Products],$A69, tblByteDanceUnits[cv_2027]) + SUMIF(tblCloudAOUnits[Products],$A69, tblCloudAOUnits[cv_2027]) + SUMIF(tblTelecomUnits[Products],$A69, tblTelecomUnits[cv_2027]) + SUMIF(tblEnterpriseUnits[Products],$A69, tblEnterpriseUnits[cv_2027])</f>
        <v>0</v>
      </c>
      <c r="L69" s="8">
        <f xml:space="preserve"> SUMIF(tblGoogleUnits[Products],$A69, tblGoogleUnits[cv_2028]) + SUMIF(tblMetaUnits[Products],$A69, tblMetaUnits[cv_2028]) + SUMIF(tblAmazonUnits[Products],$A69, tblAmazonUnits[cv_2028]) + SUMIF(tblMicrosoftUnits[Products],$A69, tblMicrosoftUnits[cv_2028]) + SUMIF(tblAppleUnits[Products],$A69, tblAppleUnits[cv_2028]) + SUMIF(tblAlibabaUnits[Products],$A69, tblAlibabaUnits[cv_2028]) + SUMIF(tblHuaweiUnits[Products],$A69, tblHuaweiUnits[cv_2028]) + SUMIF(tblTencentUnits[Products],$A69, tblTencentUnits[cv_2028]) + SUMIF(tblBaiduUnits[Products],$A69, tblBaiduUnits[cv_2028]) + SUMIF(tblByteDanceUnits[Products],$A69, tblByteDanceUnits[cv_2028]) + SUMIF(tblCloudAOUnits[Products],$A69, tblCloudAOUnits[cv_2028]) + SUMIF(tblTelecomUnits[Products],$A69, tblTelecomUnits[cv_2028]) + SUMIF(tblEnterpriseUnits[Products],$A69, tblEnterpriseUnits[cv_2028])</f>
        <v>0</v>
      </c>
      <c r="M69" s="105" cm="1">
        <f t="array" ref="M69">INDEX(tblPrices[cv_2018], MATCH($A69,tblPrices[Products],0), 0)</f>
        <v>2103.9330552211131</v>
      </c>
      <c r="N69" s="105" cm="1">
        <f t="array" ref="N69">INDEX(tblPrices[cv_2019], MATCH($A69,tblPrices[Products],0), 0)</f>
        <v>1472.9284542064104</v>
      </c>
      <c r="O69" s="105" cm="1">
        <f t="array" ref="O69">INDEX(tblPrices[cv_2020], MATCH($A69,tblPrices[Products],0), 0)</f>
        <v>0</v>
      </c>
      <c r="P69" s="105" cm="1">
        <f t="array" ref="P69">INDEX(tblPrices[cv_2021], MATCH($A69,tblPrices[Products],0), 0)</f>
        <v>0</v>
      </c>
      <c r="Q69" s="105" cm="1">
        <f t="array" ref="Q69">INDEX(tblPrices[cv_2022], MATCH($A69,tblPrices[Products],0), 0)</f>
        <v>0</v>
      </c>
      <c r="R69" s="105" cm="1">
        <f t="array" ref="R69">INDEX(tblPrices[cv_2023], MATCH($A69,tblPrices[Products],0), 0)</f>
        <v>0</v>
      </c>
      <c r="S69" s="105" cm="1">
        <f t="array" ref="S69">INDEX(tblPrices[cv_2024], MATCH($A69,tblPrices[Products],0), 0)</f>
        <v>0</v>
      </c>
      <c r="T69" s="105" cm="1">
        <f t="array" ref="T69">INDEX(tblPrices[cv_2025], MATCH($A69,tblPrices[Products],0), 0)</f>
        <v>0</v>
      </c>
      <c r="U69" s="105" cm="1">
        <f t="array" ref="U69">INDEX(tblPrices[cv_2026], MATCH($A69,tblPrices[Products],0), 0)</f>
        <v>0</v>
      </c>
      <c r="V69" s="105" cm="1">
        <f t="array" ref="V69">INDEX(tblPrices[cv_2027], MATCH($A69,tblPrices[Products],0), 0)</f>
        <v>0</v>
      </c>
      <c r="W69" s="105" cm="1">
        <f t="array" ref="W69">INDEX(tblPrices[cv_2028], MATCH($A69,tblPrices[Products],0), 0)</f>
        <v>0</v>
      </c>
      <c r="X69" s="106" cm="1">
        <f t="array" ref="X69">INDEX(tblPrices[cv_2018], MATCH($A69,tblPrices[Products],0), 0)* tblForecast[[#This Row],[un_2018]]/10^6</f>
        <v>81.455872165940619</v>
      </c>
      <c r="Y69" s="106" cm="1">
        <f t="array" ref="Y69">INDEX(tblPrices[cv_2019], MATCH($A69,tblPrices[Products],0), 0)* tblForecast[[#This Row],[un_2019]]/10^6</f>
        <v>42.080093008222939</v>
      </c>
      <c r="Z69" s="106" cm="1">
        <f t="array" ref="Z69">INDEX(tblPrices[cv_2020], MATCH($A69,tblPrices[Products],0), 0)* tblForecast[[#This Row],[un_2020]]/10^6</f>
        <v>0</v>
      </c>
      <c r="AA69" s="106" cm="1">
        <f t="array" ref="AA69">INDEX(tblPrices[cv_2021], MATCH($A69,tblPrices[Products],0), 0)* tblForecast[[#This Row],[un_2021]]/10^6</f>
        <v>0</v>
      </c>
      <c r="AB69" s="106" cm="1">
        <f t="array" ref="AB69">INDEX(tblPrices[cv_2022], MATCH($A69,tblPrices[Products],0), 0)* tblForecast[[#This Row],[un_2022]]/10^6</f>
        <v>0</v>
      </c>
      <c r="AC69" s="106" cm="1">
        <f t="array" ref="AC69">INDEX(tblPrices[cv_2023], MATCH($A69,tblPrices[Products],0), 0)* tblForecast[[#This Row],[un_2023]]/10^6</f>
        <v>0</v>
      </c>
      <c r="AD69" s="106" cm="1">
        <f t="array" ref="AD69">INDEX(tblPrices[cv_2024], MATCH($A69,tblPrices[Products],0), 0)* tblForecast[[#This Row],[un_2024]]/10^6</f>
        <v>0</v>
      </c>
      <c r="AE69" s="106" cm="1">
        <f t="array" ref="AE69">INDEX(tblPrices[cv_2025], MATCH($A69,tblPrices[Products],0), 0)* tblForecast[[#This Row],[un_2025]]/10^6</f>
        <v>0</v>
      </c>
      <c r="AF69" s="106" cm="1">
        <f t="array" ref="AF69">INDEX(tblPrices[cv_2026], MATCH($A69,tblPrices[Products],0), 0)* tblForecast[[#This Row],[un_2026]]/10^6</f>
        <v>0</v>
      </c>
      <c r="AG69" s="106" cm="1">
        <f t="array" ref="AG69">INDEX(tblPrices[cv_2027], MATCH($A69,tblPrices[Products],0), 0)* tblForecast[[#This Row],[un_2027]]/10^6</f>
        <v>0</v>
      </c>
      <c r="AH69" s="106" cm="1">
        <f t="array" ref="AH69">INDEX(tblPrices[cv_2028], MATCH($A69,tblPrices[Products],0), 0)* tblForecast[[#This Row],[un_2028]]/10^6</f>
        <v>0</v>
      </c>
      <c r="AI69" s="60">
        <f>VLOOKUP(A69,Products!$A$11:$F$110,6,FALSE)</f>
        <v>100</v>
      </c>
    </row>
    <row r="70" spans="1:35">
      <c r="A70" s="12" t="s">
        <v>183</v>
      </c>
      <c r="B70" s="8">
        <f xml:space="preserve"> SUMIF(tblGoogleUnits[Products],$A70, tblGoogleUnits[cv_2018]) + SUMIF(tblMetaUnits[Products],$A70, tblMetaUnits[cv_2018]) + SUMIF(tblAmazonUnits[Products],$A70, tblAmazonUnits[cv_2018]) + SUMIF(tblMicrosoftUnits[Products],$A70, tblMicrosoftUnits[cv_2018]) + SUMIF(tblAppleUnits[Products],$A70, tblAppleUnits[cv_2018]) + SUMIF(tblAlibabaUnits[Products],$A70, tblAlibabaUnits[cv_2018]) + SUMIF(tblHuaweiUnits[Products],$A70, tblHuaweiUnits[cv_2018]) + SUMIF(tblTencentUnits[Products],$A70, tblTencentUnits[cv_2018]) + SUMIF(tblBaiduUnits[Products],$A70, tblBaiduUnits[cv_2018]) + SUMIF(tblByteDanceUnits[Products],$A70, tblByteDanceUnits[cv_2018]) + SUMIF(tblCloudAOUnits[Products],$A70, tblCloudAOUnits[cv_2018]) + SUMIF(tblTelecomUnits[Products],$A70, tblTelecomUnits[cv_2018]) + SUMIF(tblEnterpriseUnits[Products],$A70, tblEnterpriseUnits[cv_2018])</f>
        <v>73797</v>
      </c>
      <c r="C70" s="8">
        <f xml:space="preserve"> SUMIF(tblGoogleUnits[Products],$A70, tblGoogleUnits[cv_2019]) + SUMIF(tblMetaUnits[Products],$A70, tblMetaUnits[cv_2019]) + SUMIF(tblAmazonUnits[Products],$A70, tblAmazonUnits[cv_2019]) + SUMIF(tblMicrosoftUnits[Products],$A70, tblMicrosoftUnits[cv_2019]) + SUMIF(tblAppleUnits[Products],$A70, tblAppleUnits[cv_2019]) + SUMIF(tblAlibabaUnits[Products],$A70, tblAlibabaUnits[cv_2019]) + SUMIF(tblHuaweiUnits[Products],$A70, tblHuaweiUnits[cv_2019]) + SUMIF(tblTencentUnits[Products],$A70, tblTencentUnits[cv_2019]) + SUMIF(tblBaiduUnits[Products],$A70, tblBaiduUnits[cv_2019]) + SUMIF(tblByteDanceUnits[Products],$A70, tblByteDanceUnits[cv_2019]) + SUMIF(tblCloudAOUnits[Products],$A70, tblCloudAOUnits[cv_2019]) + SUMIF(tblTelecomUnits[Products],$A70, tblTelecomUnits[cv_2019]) + SUMIF(tblEnterpriseUnits[Products],$A70, tblEnterpriseUnits[cv_2019])</f>
        <v>44060</v>
      </c>
      <c r="D70" s="8">
        <f xml:space="preserve"> SUMIF(tblGoogleUnits[Products],$A70, tblGoogleUnits[cv_2020]) + SUMIF(tblMetaUnits[Products],$A70, tblMetaUnits[cv_2020]) + SUMIF(tblAmazonUnits[Products],$A70, tblAmazonUnits[cv_2020]) + SUMIF(tblMicrosoftUnits[Products],$A70, tblMicrosoftUnits[cv_2020]) + SUMIF(tblAppleUnits[Products],$A70, tblAppleUnits[cv_2020]) + SUMIF(tblAlibabaUnits[Products],$A70, tblAlibabaUnits[cv_2020]) + SUMIF(tblHuaweiUnits[Products],$A70, tblHuaweiUnits[cv_2020]) + SUMIF(tblTencentUnits[Products],$A70, tblTencentUnits[cv_2020]) + SUMIF(tblBaiduUnits[Products],$A70, tblBaiduUnits[cv_2020]) + SUMIF(tblByteDanceUnits[Products],$A70, tblByteDanceUnits[cv_2020]) + SUMIF(tblCloudAOUnits[Products],$A70, tblCloudAOUnits[cv_2020]) + SUMIF(tblTelecomUnits[Products],$A70, tblTelecomUnits[cv_2020]) + SUMIF(tblEnterpriseUnits[Products],$A70, tblEnterpriseUnits[cv_2020])</f>
        <v>0</v>
      </c>
      <c r="E70" s="8">
        <f xml:space="preserve"> SUMIF(tblGoogleUnits[Products],$A70, tblGoogleUnits[cv_2021]) + SUMIF(tblMetaUnits[Products],$A70, tblMetaUnits[cv_2021]) + SUMIF(tblAmazonUnits[Products],$A70, tblAmazonUnits[cv_2021]) + SUMIF(tblMicrosoftUnits[Products],$A70, tblMicrosoftUnits[cv_2021]) + SUMIF(tblAppleUnits[Products],$A70, tblAppleUnits[cv_2021]) + SUMIF(tblAlibabaUnits[Products],$A70, tblAlibabaUnits[cv_2021]) + SUMIF(tblHuaweiUnits[Products],$A70, tblHuaweiUnits[cv_2021]) + SUMIF(tblTencentUnits[Products],$A70, tblTencentUnits[cv_2021]) + SUMIF(tblBaiduUnits[Products],$A70, tblBaiduUnits[cv_2021]) + SUMIF(tblByteDanceUnits[Products],$A70, tblByteDanceUnits[cv_2021]) + SUMIF(tblCloudAOUnits[Products],$A70, tblCloudAOUnits[cv_2021]) + SUMIF(tblTelecomUnits[Products],$A70, tblTelecomUnits[cv_2021]) + SUMIF(tblEnterpriseUnits[Products],$A70, tblEnterpriseUnits[cv_2021])</f>
        <v>0</v>
      </c>
      <c r="F70" s="8">
        <f xml:space="preserve"> SUMIF(tblGoogleUnits[Products],$A70, tblGoogleUnits[cv_2022]) + SUMIF(tblMetaUnits[Products],$A70, tblMetaUnits[cv_2022]) + SUMIF(tblAmazonUnits[Products],$A70, tblAmazonUnits[cv_2022]) + SUMIF(tblMicrosoftUnits[Products],$A70, tblMicrosoftUnits[cv_2022]) + SUMIF(tblAppleUnits[Products],$A70, tblAppleUnits[cv_2022]) + SUMIF(tblAlibabaUnits[Products],$A70, tblAlibabaUnits[cv_2022]) + SUMIF(tblHuaweiUnits[Products],$A70, tblHuaweiUnits[cv_2022]) + SUMIF(tblTencentUnits[Products],$A70, tblTencentUnits[cv_2022]) + SUMIF(tblBaiduUnits[Products],$A70, tblBaiduUnits[cv_2022]) + SUMIF(tblByteDanceUnits[Products],$A70, tblByteDanceUnits[cv_2022]) + SUMIF(tblCloudAOUnits[Products],$A70, tblCloudAOUnits[cv_2022]) + SUMIF(tblTelecomUnits[Products],$A70, tblTelecomUnits[cv_2022]) + SUMIF(tblEnterpriseUnits[Products],$A70, tblEnterpriseUnits[cv_2022])</f>
        <v>0</v>
      </c>
      <c r="G70" s="8">
        <f xml:space="preserve"> SUMIF(tblGoogleUnits[Products],$A70, tblGoogleUnits[cv_2023]) + SUMIF(tblMetaUnits[Products],$A70, tblMetaUnits[cv_2023]) + SUMIF(tblAmazonUnits[Products],$A70, tblAmazonUnits[cv_2023]) + SUMIF(tblMicrosoftUnits[Products],$A70, tblMicrosoftUnits[cv_2023]) + SUMIF(tblAppleUnits[Products],$A70, tblAppleUnits[cv_2023]) + SUMIF(tblAlibabaUnits[Products],$A70, tblAlibabaUnits[cv_2023]) + SUMIF(tblHuaweiUnits[Products],$A70, tblHuaweiUnits[cv_2023]) + SUMIF(tblTencentUnits[Products],$A70, tblTencentUnits[cv_2023]) + SUMIF(tblBaiduUnits[Products],$A70, tblBaiduUnits[cv_2023]) + SUMIF(tblByteDanceUnits[Products],$A70, tblByteDanceUnits[cv_2023]) + SUMIF(tblCloudAOUnits[Products],$A70, tblCloudAOUnits[cv_2023]) + SUMIF(tblTelecomUnits[Products],$A70, tblTelecomUnits[cv_2023]) + SUMIF(tblEnterpriseUnits[Products],$A70, tblEnterpriseUnits[cv_2023])</f>
        <v>0</v>
      </c>
      <c r="H70" s="8">
        <f xml:space="preserve"> SUMIF(tblGoogleUnits[Products],$A70, tblGoogleUnits[cv_2024]) + SUMIF(tblMetaUnits[Products],$A70, tblMetaUnits[cv_2024]) + SUMIF(tblAmazonUnits[Products],$A70, tblAmazonUnits[cv_2024]) + SUMIF(tblMicrosoftUnits[Products],$A70, tblMicrosoftUnits[cv_2024]) + SUMIF(tblAppleUnits[Products],$A70, tblAppleUnits[cv_2024]) + SUMIF(tblAlibabaUnits[Products],$A70, tblAlibabaUnits[cv_2024]) + SUMIF(tblHuaweiUnits[Products],$A70, tblHuaweiUnits[cv_2024]) + SUMIF(tblTencentUnits[Products],$A70, tblTencentUnits[cv_2024]) + SUMIF(tblBaiduUnits[Products],$A70, tblBaiduUnits[cv_2024]) + SUMIF(tblByteDanceUnits[Products],$A70, tblByteDanceUnits[cv_2024]) + SUMIF(tblCloudAOUnits[Products],$A70, tblCloudAOUnits[cv_2024]) + SUMIF(tblTelecomUnits[Products],$A70, tblTelecomUnits[cv_2024]) + SUMIF(tblEnterpriseUnits[Products],$A70, tblEnterpriseUnits[cv_2024])</f>
        <v>0</v>
      </c>
      <c r="I70" s="8">
        <f xml:space="preserve"> SUMIF(tblGoogleUnits[Products],$A70, tblGoogleUnits[cv_2025]) + SUMIF(tblMetaUnits[Products],$A70, tblMetaUnits[cv_2025]) + SUMIF(tblAmazonUnits[Products],$A70, tblAmazonUnits[cv_2025]) + SUMIF(tblMicrosoftUnits[Products],$A70, tblMicrosoftUnits[cv_2025]) + SUMIF(tblAppleUnits[Products],$A70, tblAppleUnits[cv_2025]) + SUMIF(tblAlibabaUnits[Products],$A70, tblAlibabaUnits[cv_2025]) + SUMIF(tblHuaweiUnits[Products],$A70, tblHuaweiUnits[cv_2025]) + SUMIF(tblTencentUnits[Products],$A70, tblTencentUnits[cv_2025]) + SUMIF(tblBaiduUnits[Products],$A70, tblBaiduUnits[cv_2025]) + SUMIF(tblByteDanceUnits[Products],$A70, tblByteDanceUnits[cv_2025]) + SUMIF(tblCloudAOUnits[Products],$A70, tblCloudAOUnits[cv_2025]) + SUMIF(tblTelecomUnits[Products],$A70, tblTelecomUnits[cv_2025]) + SUMIF(tblEnterpriseUnits[Products],$A70, tblEnterpriseUnits[cv_2025])</f>
        <v>0</v>
      </c>
      <c r="J70" s="8">
        <f xml:space="preserve"> SUMIF(tblGoogleUnits[Products],$A70, tblGoogleUnits[cv_2026]) + SUMIF(tblMetaUnits[Products],$A70, tblMetaUnits[cv_2026]) + SUMIF(tblAmazonUnits[Products],$A70, tblAmazonUnits[cv_2026]) + SUMIF(tblMicrosoftUnits[Products],$A70, tblMicrosoftUnits[cv_2026]) + SUMIF(tblAppleUnits[Products],$A70, tblAppleUnits[cv_2026]) + SUMIF(tblAlibabaUnits[Products],$A70, tblAlibabaUnits[cv_2026]) + SUMIF(tblHuaweiUnits[Products],$A70, tblHuaweiUnits[cv_2026]) + SUMIF(tblTencentUnits[Products],$A70, tblTencentUnits[cv_2026]) + SUMIF(tblBaiduUnits[Products],$A70, tblBaiduUnits[cv_2026]) + SUMIF(tblByteDanceUnits[Products],$A70, tblByteDanceUnits[cv_2026]) + SUMIF(tblCloudAOUnits[Products],$A70, tblCloudAOUnits[cv_2026]) + SUMIF(tblTelecomUnits[Products],$A70, tblTelecomUnits[cv_2026]) + SUMIF(tblEnterpriseUnits[Products],$A70, tblEnterpriseUnits[cv_2026])</f>
        <v>0</v>
      </c>
      <c r="K70" s="8">
        <f xml:space="preserve"> SUMIF(tblGoogleUnits[Products],$A70, tblGoogleUnits[cv_2027]) + SUMIF(tblMetaUnits[Products],$A70, tblMetaUnits[cv_2027]) + SUMIF(tblAmazonUnits[Products],$A70, tblAmazonUnits[cv_2027]) + SUMIF(tblMicrosoftUnits[Products],$A70, tblMicrosoftUnits[cv_2027]) + SUMIF(tblAppleUnits[Products],$A70, tblAppleUnits[cv_2027]) + SUMIF(tblAlibabaUnits[Products],$A70, tblAlibabaUnits[cv_2027]) + SUMIF(tblHuaweiUnits[Products],$A70, tblHuaweiUnits[cv_2027]) + SUMIF(tblTencentUnits[Products],$A70, tblTencentUnits[cv_2027]) + SUMIF(tblBaiduUnits[Products],$A70, tblBaiduUnits[cv_2027]) + SUMIF(tblByteDanceUnits[Products],$A70, tblByteDanceUnits[cv_2027]) + SUMIF(tblCloudAOUnits[Products],$A70, tblCloudAOUnits[cv_2027]) + SUMIF(tblTelecomUnits[Products],$A70, tblTelecomUnits[cv_2027]) + SUMIF(tblEnterpriseUnits[Products],$A70, tblEnterpriseUnits[cv_2027])</f>
        <v>0</v>
      </c>
      <c r="L70" s="8">
        <f xml:space="preserve"> SUMIF(tblGoogleUnits[Products],$A70, tblGoogleUnits[cv_2028]) + SUMIF(tblMetaUnits[Products],$A70, tblMetaUnits[cv_2028]) + SUMIF(tblAmazonUnits[Products],$A70, tblAmazonUnits[cv_2028]) + SUMIF(tblMicrosoftUnits[Products],$A70, tblMicrosoftUnits[cv_2028]) + SUMIF(tblAppleUnits[Products],$A70, tblAppleUnits[cv_2028]) + SUMIF(tblAlibabaUnits[Products],$A70, tblAlibabaUnits[cv_2028]) + SUMIF(tblHuaweiUnits[Products],$A70, tblHuaweiUnits[cv_2028]) + SUMIF(tblTencentUnits[Products],$A70, tblTencentUnits[cv_2028]) + SUMIF(tblBaiduUnits[Products],$A70, tblBaiduUnits[cv_2028]) + SUMIF(tblByteDanceUnits[Products],$A70, tblByteDanceUnits[cv_2028]) + SUMIF(tblCloudAOUnits[Products],$A70, tblCloudAOUnits[cv_2028]) + SUMIF(tblTelecomUnits[Products],$A70, tblTelecomUnits[cv_2028]) + SUMIF(tblEnterpriseUnits[Products],$A70, tblEnterpriseUnits[cv_2028])</f>
        <v>0</v>
      </c>
      <c r="M70" s="105" cm="1">
        <f t="array" ref="M70">INDEX(tblPrices[cv_2018], MATCH($A70,tblPrices[Products],0), 0)</f>
        <v>1371.5324877705048</v>
      </c>
      <c r="N70" s="105" cm="1">
        <f t="array" ref="N70">INDEX(tblPrices[cv_2019], MATCH($A70,tblPrices[Products],0), 0)</f>
        <v>997.97560145256466</v>
      </c>
      <c r="O70" s="105" cm="1">
        <f t="array" ref="O70">INDEX(tblPrices[cv_2020], MATCH($A70,tblPrices[Products],0), 0)</f>
        <v>0</v>
      </c>
      <c r="P70" s="105" cm="1">
        <f t="array" ref="P70">INDEX(tblPrices[cv_2021], MATCH($A70,tblPrices[Products],0), 0)</f>
        <v>0</v>
      </c>
      <c r="Q70" s="105" cm="1">
        <f t="array" ref="Q70">INDEX(tblPrices[cv_2022], MATCH($A70,tblPrices[Products],0), 0)</f>
        <v>0</v>
      </c>
      <c r="R70" s="105" cm="1">
        <f t="array" ref="R70">INDEX(tblPrices[cv_2023], MATCH($A70,tblPrices[Products],0), 0)</f>
        <v>0</v>
      </c>
      <c r="S70" s="105" cm="1">
        <f t="array" ref="S70">INDEX(tblPrices[cv_2024], MATCH($A70,tblPrices[Products],0), 0)</f>
        <v>0</v>
      </c>
      <c r="T70" s="105" cm="1">
        <f t="array" ref="T70">INDEX(tblPrices[cv_2025], MATCH($A70,tblPrices[Products],0), 0)</f>
        <v>0</v>
      </c>
      <c r="U70" s="105" cm="1">
        <f t="array" ref="U70">INDEX(tblPrices[cv_2026], MATCH($A70,tblPrices[Products],0), 0)</f>
        <v>0</v>
      </c>
      <c r="V70" s="105" cm="1">
        <f t="array" ref="V70">INDEX(tblPrices[cv_2027], MATCH($A70,tblPrices[Products],0), 0)</f>
        <v>0</v>
      </c>
      <c r="W70" s="105" cm="1">
        <f t="array" ref="W70">INDEX(tblPrices[cv_2028], MATCH($A70,tblPrices[Products],0), 0)</f>
        <v>0</v>
      </c>
      <c r="X70" s="106" cm="1">
        <f t="array" ref="X70">INDEX(tblPrices[cv_2018], MATCH($A70,tblPrices[Products],0), 0)* tblForecast[[#This Row],[un_2018]]/10^6</f>
        <v>101.21498299999995</v>
      </c>
      <c r="Y70" s="106" cm="1">
        <f t="array" ref="Y70">INDEX(tblPrices[cv_2019], MATCH($A70,tblPrices[Products],0), 0)* tblForecast[[#This Row],[un_2019]]/10^6</f>
        <v>43.970804999999999</v>
      </c>
      <c r="Z70" s="106" cm="1">
        <f t="array" ref="Z70">INDEX(tblPrices[cv_2020], MATCH($A70,tblPrices[Products],0), 0)* tblForecast[[#This Row],[un_2020]]/10^6</f>
        <v>0</v>
      </c>
      <c r="AA70" s="106" cm="1">
        <f t="array" ref="AA70">INDEX(tblPrices[cv_2021], MATCH($A70,tblPrices[Products],0), 0)* tblForecast[[#This Row],[un_2021]]/10^6</f>
        <v>0</v>
      </c>
      <c r="AB70" s="106" cm="1">
        <f t="array" ref="AB70">INDEX(tblPrices[cv_2022], MATCH($A70,tblPrices[Products],0), 0)* tblForecast[[#This Row],[un_2022]]/10^6</f>
        <v>0</v>
      </c>
      <c r="AC70" s="106" cm="1">
        <f t="array" ref="AC70">INDEX(tblPrices[cv_2023], MATCH($A70,tblPrices[Products],0), 0)* tblForecast[[#This Row],[un_2023]]/10^6</f>
        <v>0</v>
      </c>
      <c r="AD70" s="106" cm="1">
        <f t="array" ref="AD70">INDEX(tblPrices[cv_2024], MATCH($A70,tblPrices[Products],0), 0)* tblForecast[[#This Row],[un_2024]]/10^6</f>
        <v>0</v>
      </c>
      <c r="AE70" s="106" cm="1">
        <f t="array" ref="AE70">INDEX(tblPrices[cv_2025], MATCH($A70,tblPrices[Products],0), 0)* tblForecast[[#This Row],[un_2025]]/10^6</f>
        <v>0</v>
      </c>
      <c r="AF70" s="106" cm="1">
        <f t="array" ref="AF70">INDEX(tblPrices[cv_2026], MATCH($A70,tblPrices[Products],0), 0)* tblForecast[[#This Row],[un_2026]]/10^6</f>
        <v>0</v>
      </c>
      <c r="AG70" s="106" cm="1">
        <f t="array" ref="AG70">INDEX(tblPrices[cv_2027], MATCH($A70,tblPrices[Products],0), 0)* tblForecast[[#This Row],[un_2027]]/10^6</f>
        <v>0</v>
      </c>
      <c r="AH70" s="106" cm="1">
        <f t="array" ref="AH70">INDEX(tblPrices[cv_2028], MATCH($A70,tblPrices[Products],0), 0)* tblForecast[[#This Row],[un_2028]]/10^6</f>
        <v>0</v>
      </c>
      <c r="AI70" s="60">
        <f>VLOOKUP(A70,Products!$A$11:$F$110,6,FALSE)</f>
        <v>100</v>
      </c>
    </row>
    <row r="71" spans="1:35">
      <c r="A71" s="12" t="s">
        <v>6</v>
      </c>
      <c r="B71" s="8">
        <f xml:space="preserve"> SUMIF(tblGoogleUnits[Products],$A71, tblGoogleUnits[cv_2018]) + SUMIF(tblMetaUnits[Products],$A71, tblMetaUnits[cv_2018]) + SUMIF(tblAmazonUnits[Products],$A71, tblAmazonUnits[cv_2018]) + SUMIF(tblMicrosoftUnits[Products],$A71, tblMicrosoftUnits[cv_2018]) + SUMIF(tblAppleUnits[Products],$A71, tblAppleUnits[cv_2018]) + SUMIF(tblAlibabaUnits[Products],$A71, tblAlibabaUnits[cv_2018]) + SUMIF(tblHuaweiUnits[Products],$A71, tblHuaweiUnits[cv_2018]) + SUMIF(tblTencentUnits[Products],$A71, tblTencentUnits[cv_2018]) + SUMIF(tblBaiduUnits[Products],$A71, tblBaiduUnits[cv_2018]) + SUMIF(tblByteDanceUnits[Products],$A71, tblByteDanceUnits[cv_2018]) + SUMIF(tblCloudAOUnits[Products],$A71, tblCloudAOUnits[cv_2018]) + SUMIF(tblTelecomUnits[Products],$A71, tblTelecomUnits[cv_2018]) + SUMIF(tblEnterpriseUnits[Products],$A71, tblEnterpriseUnits[cv_2018])</f>
        <v>397891.11764705885</v>
      </c>
      <c r="C71" s="8">
        <f xml:space="preserve"> SUMIF(tblGoogleUnits[Products],$A71, tblGoogleUnits[cv_2019]) + SUMIF(tblMetaUnits[Products],$A71, tblMetaUnits[cv_2019]) + SUMIF(tblAmazonUnits[Products],$A71, tblAmazonUnits[cv_2019]) + SUMIF(tblMicrosoftUnits[Products],$A71, tblMicrosoftUnits[cv_2019]) + SUMIF(tblAppleUnits[Products],$A71, tblAppleUnits[cv_2019]) + SUMIF(tblAlibabaUnits[Products],$A71, tblAlibabaUnits[cv_2019]) + SUMIF(tblHuaweiUnits[Products],$A71, tblHuaweiUnits[cv_2019]) + SUMIF(tblTencentUnits[Products],$A71, tblTencentUnits[cv_2019]) + SUMIF(tblBaiduUnits[Products],$A71, tblBaiduUnits[cv_2019]) + SUMIF(tblByteDanceUnits[Products],$A71, tblByteDanceUnits[cv_2019]) + SUMIF(tblCloudAOUnits[Products],$A71, tblCloudAOUnits[cv_2019]) + SUMIF(tblTelecomUnits[Products],$A71, tblTelecomUnits[cv_2019]) + SUMIF(tblEnterpriseUnits[Products],$A71, tblEnterpriseUnits[cv_2019])</f>
        <v>543871</v>
      </c>
      <c r="D71" s="8">
        <f xml:space="preserve"> SUMIF(tblGoogleUnits[Products],$A71, tblGoogleUnits[cv_2020]) + SUMIF(tblMetaUnits[Products],$A71, tblMetaUnits[cv_2020]) + SUMIF(tblAmazonUnits[Products],$A71, tblAmazonUnits[cv_2020]) + SUMIF(tblMicrosoftUnits[Products],$A71, tblMicrosoftUnits[cv_2020]) + SUMIF(tblAppleUnits[Products],$A71, tblAppleUnits[cv_2020]) + SUMIF(tblAlibabaUnits[Products],$A71, tblAlibabaUnits[cv_2020]) + SUMIF(tblHuaweiUnits[Products],$A71, tblHuaweiUnits[cv_2020]) + SUMIF(tblTencentUnits[Products],$A71, tblTencentUnits[cv_2020]) + SUMIF(tblBaiduUnits[Products],$A71, tblBaiduUnits[cv_2020]) + SUMIF(tblByteDanceUnits[Products],$A71, tblByteDanceUnits[cv_2020]) + SUMIF(tblCloudAOUnits[Products],$A71, tblCloudAOUnits[cv_2020]) + SUMIF(tblTelecomUnits[Products],$A71, tblTelecomUnits[cv_2020]) + SUMIF(tblEnterpriseUnits[Products],$A71, tblEnterpriseUnits[cv_2020])</f>
        <v>0</v>
      </c>
      <c r="E71" s="8">
        <f xml:space="preserve"> SUMIF(tblGoogleUnits[Products],$A71, tblGoogleUnits[cv_2021]) + SUMIF(tblMetaUnits[Products],$A71, tblMetaUnits[cv_2021]) + SUMIF(tblAmazonUnits[Products],$A71, tblAmazonUnits[cv_2021]) + SUMIF(tblMicrosoftUnits[Products],$A71, tblMicrosoftUnits[cv_2021]) + SUMIF(tblAppleUnits[Products],$A71, tblAppleUnits[cv_2021]) + SUMIF(tblAlibabaUnits[Products],$A71, tblAlibabaUnits[cv_2021]) + SUMIF(tblHuaweiUnits[Products],$A71, tblHuaweiUnits[cv_2021]) + SUMIF(tblTencentUnits[Products],$A71, tblTencentUnits[cv_2021]) + SUMIF(tblBaiduUnits[Products],$A71, tblBaiduUnits[cv_2021]) + SUMIF(tblByteDanceUnits[Products],$A71, tblByteDanceUnits[cv_2021]) + SUMIF(tblCloudAOUnits[Products],$A71, tblCloudAOUnits[cv_2021]) + SUMIF(tblTelecomUnits[Products],$A71, tblTelecomUnits[cv_2021]) + SUMIF(tblEnterpriseUnits[Products],$A71, tblEnterpriseUnits[cv_2021])</f>
        <v>0</v>
      </c>
      <c r="F71" s="8">
        <f xml:space="preserve"> SUMIF(tblGoogleUnits[Products],$A71, tblGoogleUnits[cv_2022]) + SUMIF(tblMetaUnits[Products],$A71, tblMetaUnits[cv_2022]) + SUMIF(tblAmazonUnits[Products],$A71, tblAmazonUnits[cv_2022]) + SUMIF(tblMicrosoftUnits[Products],$A71, tblMicrosoftUnits[cv_2022]) + SUMIF(tblAppleUnits[Products],$A71, tblAppleUnits[cv_2022]) + SUMIF(tblAlibabaUnits[Products],$A71, tblAlibabaUnits[cv_2022]) + SUMIF(tblHuaweiUnits[Products],$A71, tblHuaweiUnits[cv_2022]) + SUMIF(tblTencentUnits[Products],$A71, tblTencentUnits[cv_2022]) + SUMIF(tblBaiduUnits[Products],$A71, tblBaiduUnits[cv_2022]) + SUMIF(tblByteDanceUnits[Products],$A71, tblByteDanceUnits[cv_2022]) + SUMIF(tblCloudAOUnits[Products],$A71, tblCloudAOUnits[cv_2022]) + SUMIF(tblTelecomUnits[Products],$A71, tblTelecomUnits[cv_2022]) + SUMIF(tblEnterpriseUnits[Products],$A71, tblEnterpriseUnits[cv_2022])</f>
        <v>0</v>
      </c>
      <c r="G71" s="8">
        <f xml:space="preserve"> SUMIF(tblGoogleUnits[Products],$A71, tblGoogleUnits[cv_2023]) + SUMIF(tblMetaUnits[Products],$A71, tblMetaUnits[cv_2023]) + SUMIF(tblAmazonUnits[Products],$A71, tblAmazonUnits[cv_2023]) + SUMIF(tblMicrosoftUnits[Products],$A71, tblMicrosoftUnits[cv_2023]) + SUMIF(tblAppleUnits[Products],$A71, tblAppleUnits[cv_2023]) + SUMIF(tblAlibabaUnits[Products],$A71, tblAlibabaUnits[cv_2023]) + SUMIF(tblHuaweiUnits[Products],$A71, tblHuaweiUnits[cv_2023]) + SUMIF(tblTencentUnits[Products],$A71, tblTencentUnits[cv_2023]) + SUMIF(tblBaiduUnits[Products],$A71, tblBaiduUnits[cv_2023]) + SUMIF(tblByteDanceUnits[Products],$A71, tblByteDanceUnits[cv_2023]) + SUMIF(tblCloudAOUnits[Products],$A71, tblCloudAOUnits[cv_2023]) + SUMIF(tblTelecomUnits[Products],$A71, tblTelecomUnits[cv_2023]) + SUMIF(tblEnterpriseUnits[Products],$A71, tblEnterpriseUnits[cv_2023])</f>
        <v>0</v>
      </c>
      <c r="H71" s="8">
        <f xml:space="preserve"> SUMIF(tblGoogleUnits[Products],$A71, tblGoogleUnits[cv_2024]) + SUMIF(tblMetaUnits[Products],$A71, tblMetaUnits[cv_2024]) + SUMIF(tblAmazonUnits[Products],$A71, tblAmazonUnits[cv_2024]) + SUMIF(tblMicrosoftUnits[Products],$A71, tblMicrosoftUnits[cv_2024]) + SUMIF(tblAppleUnits[Products],$A71, tblAppleUnits[cv_2024]) + SUMIF(tblAlibabaUnits[Products],$A71, tblAlibabaUnits[cv_2024]) + SUMIF(tblHuaweiUnits[Products],$A71, tblHuaweiUnits[cv_2024]) + SUMIF(tblTencentUnits[Products],$A71, tblTencentUnits[cv_2024]) + SUMIF(tblBaiduUnits[Products],$A71, tblBaiduUnits[cv_2024]) + SUMIF(tblByteDanceUnits[Products],$A71, tblByteDanceUnits[cv_2024]) + SUMIF(tblCloudAOUnits[Products],$A71, tblCloudAOUnits[cv_2024]) + SUMIF(tblTelecomUnits[Products],$A71, tblTelecomUnits[cv_2024]) + SUMIF(tblEnterpriseUnits[Products],$A71, tblEnterpriseUnits[cv_2024])</f>
        <v>0</v>
      </c>
      <c r="I71" s="8">
        <f xml:space="preserve"> SUMIF(tblGoogleUnits[Products],$A71, tblGoogleUnits[cv_2025]) + SUMIF(tblMetaUnits[Products],$A71, tblMetaUnits[cv_2025]) + SUMIF(tblAmazonUnits[Products],$A71, tblAmazonUnits[cv_2025]) + SUMIF(tblMicrosoftUnits[Products],$A71, tblMicrosoftUnits[cv_2025]) + SUMIF(tblAppleUnits[Products],$A71, tblAppleUnits[cv_2025]) + SUMIF(tblAlibabaUnits[Products],$A71, tblAlibabaUnits[cv_2025]) + SUMIF(tblHuaweiUnits[Products],$A71, tblHuaweiUnits[cv_2025]) + SUMIF(tblTencentUnits[Products],$A71, tblTencentUnits[cv_2025]) + SUMIF(tblBaiduUnits[Products],$A71, tblBaiduUnits[cv_2025]) + SUMIF(tblByteDanceUnits[Products],$A71, tblByteDanceUnits[cv_2025]) + SUMIF(tblCloudAOUnits[Products],$A71, tblCloudAOUnits[cv_2025]) + SUMIF(tblTelecomUnits[Products],$A71, tblTelecomUnits[cv_2025]) + SUMIF(tblEnterpriseUnits[Products],$A71, tblEnterpriseUnits[cv_2025])</f>
        <v>0</v>
      </c>
      <c r="J71" s="8">
        <f xml:space="preserve"> SUMIF(tblGoogleUnits[Products],$A71, tblGoogleUnits[cv_2026]) + SUMIF(tblMetaUnits[Products],$A71, tblMetaUnits[cv_2026]) + SUMIF(tblAmazonUnits[Products],$A71, tblAmazonUnits[cv_2026]) + SUMIF(tblMicrosoftUnits[Products],$A71, tblMicrosoftUnits[cv_2026]) + SUMIF(tblAppleUnits[Products],$A71, tblAppleUnits[cv_2026]) + SUMIF(tblAlibabaUnits[Products],$A71, tblAlibabaUnits[cv_2026]) + SUMIF(tblHuaweiUnits[Products],$A71, tblHuaweiUnits[cv_2026]) + SUMIF(tblTencentUnits[Products],$A71, tblTencentUnits[cv_2026]) + SUMIF(tblBaiduUnits[Products],$A71, tblBaiduUnits[cv_2026]) + SUMIF(tblByteDanceUnits[Products],$A71, tblByteDanceUnits[cv_2026]) + SUMIF(tblCloudAOUnits[Products],$A71, tblCloudAOUnits[cv_2026]) + SUMIF(tblTelecomUnits[Products],$A71, tblTelecomUnits[cv_2026]) + SUMIF(tblEnterpriseUnits[Products],$A71, tblEnterpriseUnits[cv_2026])</f>
        <v>0</v>
      </c>
      <c r="K71" s="8">
        <f xml:space="preserve"> SUMIF(tblGoogleUnits[Products],$A71, tblGoogleUnits[cv_2027]) + SUMIF(tblMetaUnits[Products],$A71, tblMetaUnits[cv_2027]) + SUMIF(tblAmazonUnits[Products],$A71, tblAmazonUnits[cv_2027]) + SUMIF(tblMicrosoftUnits[Products],$A71, tblMicrosoftUnits[cv_2027]) + SUMIF(tblAppleUnits[Products],$A71, tblAppleUnits[cv_2027]) + SUMIF(tblAlibabaUnits[Products],$A71, tblAlibabaUnits[cv_2027]) + SUMIF(tblHuaweiUnits[Products],$A71, tblHuaweiUnits[cv_2027]) + SUMIF(tblTencentUnits[Products],$A71, tblTencentUnits[cv_2027]) + SUMIF(tblBaiduUnits[Products],$A71, tblBaiduUnits[cv_2027]) + SUMIF(tblByteDanceUnits[Products],$A71, tblByteDanceUnits[cv_2027]) + SUMIF(tblCloudAOUnits[Products],$A71, tblCloudAOUnits[cv_2027]) + SUMIF(tblTelecomUnits[Products],$A71, tblTelecomUnits[cv_2027]) + SUMIF(tblEnterpriseUnits[Products],$A71, tblEnterpriseUnits[cv_2027])</f>
        <v>0</v>
      </c>
      <c r="L71" s="8">
        <f xml:space="preserve"> SUMIF(tblGoogleUnits[Products],$A71, tblGoogleUnits[cv_2028]) + SUMIF(tblMetaUnits[Products],$A71, tblMetaUnits[cv_2028]) + SUMIF(tblAmazonUnits[Products],$A71, tblAmazonUnits[cv_2028]) + SUMIF(tblMicrosoftUnits[Products],$A71, tblMicrosoftUnits[cv_2028]) + SUMIF(tblAppleUnits[Products],$A71, tblAppleUnits[cv_2028]) + SUMIF(tblAlibabaUnits[Products],$A71, tblAlibabaUnits[cv_2028]) + SUMIF(tblHuaweiUnits[Products],$A71, tblHuaweiUnits[cv_2028]) + SUMIF(tblTencentUnits[Products],$A71, tblTencentUnits[cv_2028]) + SUMIF(tblBaiduUnits[Products],$A71, tblBaiduUnits[cv_2028]) + SUMIF(tblByteDanceUnits[Products],$A71, tblByteDanceUnits[cv_2028]) + SUMIF(tblCloudAOUnits[Products],$A71, tblCloudAOUnits[cv_2028]) + SUMIF(tblTelecomUnits[Products],$A71, tblTelecomUnits[cv_2028]) + SUMIF(tblEnterpriseUnits[Products],$A71, tblEnterpriseUnits[cv_2028])</f>
        <v>0</v>
      </c>
      <c r="M71" s="105" cm="1">
        <f t="array" ref="M71">INDEX(tblPrices[cv_2018], MATCH($A71,tblPrices[Products],0), 0)</f>
        <v>833.83281288172873</v>
      </c>
      <c r="N71" s="105" cm="1">
        <f t="array" ref="N71">INDEX(tblPrices[cv_2019], MATCH($A71,tblPrices[Products],0), 0)</f>
        <v>527.08718409117773</v>
      </c>
      <c r="O71" s="105" cm="1">
        <f t="array" ref="O71">INDEX(tblPrices[cv_2020], MATCH($A71,tblPrices[Products],0), 0)</f>
        <v>0</v>
      </c>
      <c r="P71" s="105" cm="1">
        <f t="array" ref="P71">INDEX(tblPrices[cv_2021], MATCH($A71,tblPrices[Products],0), 0)</f>
        <v>0</v>
      </c>
      <c r="Q71" s="105" cm="1">
        <f t="array" ref="Q71">INDEX(tblPrices[cv_2022], MATCH($A71,tblPrices[Products],0), 0)</f>
        <v>0</v>
      </c>
      <c r="R71" s="105" cm="1">
        <f t="array" ref="R71">INDEX(tblPrices[cv_2023], MATCH($A71,tblPrices[Products],0), 0)</f>
        <v>0</v>
      </c>
      <c r="S71" s="105" cm="1">
        <f t="array" ref="S71">INDEX(tblPrices[cv_2024], MATCH($A71,tblPrices[Products],0), 0)</f>
        <v>0</v>
      </c>
      <c r="T71" s="105" cm="1">
        <f t="array" ref="T71">INDEX(tblPrices[cv_2025], MATCH($A71,tblPrices[Products],0), 0)</f>
        <v>0</v>
      </c>
      <c r="U71" s="105" cm="1">
        <f t="array" ref="U71">INDEX(tblPrices[cv_2026], MATCH($A71,tblPrices[Products],0), 0)</f>
        <v>0</v>
      </c>
      <c r="V71" s="105" cm="1">
        <f t="array" ref="V71">INDEX(tblPrices[cv_2027], MATCH($A71,tblPrices[Products],0), 0)</f>
        <v>0</v>
      </c>
      <c r="W71" s="105" cm="1">
        <f t="array" ref="W71">INDEX(tblPrices[cv_2028], MATCH($A71,tblPrices[Products],0), 0)</f>
        <v>0</v>
      </c>
      <c r="X71" s="106" cm="1">
        <f t="array" ref="X71">INDEX(tblPrices[cv_2018], MATCH($A71,tblPrices[Products],0), 0)* tblForecast[[#This Row],[un_2018]]/10^6</f>
        <v>331.77466984830193</v>
      </c>
      <c r="Y71" s="106" cm="1">
        <f t="array" ref="Y71">INDEX(tblPrices[cv_2019], MATCH($A71,tblPrices[Products],0), 0)* tblForecast[[#This Row],[un_2019]]/10^6</f>
        <v>286.66743389885295</v>
      </c>
      <c r="Z71" s="106" cm="1">
        <f t="array" ref="Z71">INDEX(tblPrices[cv_2020], MATCH($A71,tblPrices[Products],0), 0)* tblForecast[[#This Row],[un_2020]]/10^6</f>
        <v>0</v>
      </c>
      <c r="AA71" s="106" cm="1">
        <f t="array" ref="AA71">INDEX(tblPrices[cv_2021], MATCH($A71,tblPrices[Products],0), 0)* tblForecast[[#This Row],[un_2021]]/10^6</f>
        <v>0</v>
      </c>
      <c r="AB71" s="106" cm="1">
        <f t="array" ref="AB71">INDEX(tblPrices[cv_2022], MATCH($A71,tblPrices[Products],0), 0)* tblForecast[[#This Row],[un_2022]]/10^6</f>
        <v>0</v>
      </c>
      <c r="AC71" s="106" cm="1">
        <f t="array" ref="AC71">INDEX(tblPrices[cv_2023], MATCH($A71,tblPrices[Products],0), 0)* tblForecast[[#This Row],[un_2023]]/10^6</f>
        <v>0</v>
      </c>
      <c r="AD71" s="106" cm="1">
        <f t="array" ref="AD71">INDEX(tblPrices[cv_2024], MATCH($A71,tblPrices[Products],0), 0)* tblForecast[[#This Row],[un_2024]]/10^6</f>
        <v>0</v>
      </c>
      <c r="AE71" s="106" cm="1">
        <f t="array" ref="AE71">INDEX(tblPrices[cv_2025], MATCH($A71,tblPrices[Products],0), 0)* tblForecast[[#This Row],[un_2025]]/10^6</f>
        <v>0</v>
      </c>
      <c r="AF71" s="106" cm="1">
        <f t="array" ref="AF71">INDEX(tblPrices[cv_2026], MATCH($A71,tblPrices[Products],0), 0)* tblForecast[[#This Row],[un_2026]]/10^6</f>
        <v>0</v>
      </c>
      <c r="AG71" s="106" cm="1">
        <f t="array" ref="AG71">INDEX(tblPrices[cv_2027], MATCH($A71,tblPrices[Products],0), 0)* tblForecast[[#This Row],[un_2027]]/10^6</f>
        <v>0</v>
      </c>
      <c r="AH71" s="106" cm="1">
        <f t="array" ref="AH71">INDEX(tblPrices[cv_2028], MATCH($A71,tblPrices[Products],0), 0)* tblForecast[[#This Row],[un_2028]]/10^6</f>
        <v>0</v>
      </c>
      <c r="AI71" s="60">
        <f>VLOOKUP(A71,Products!$A$11:$F$110,6,FALSE)</f>
        <v>100</v>
      </c>
    </row>
    <row r="72" spans="1:35">
      <c r="A72" s="12" t="s">
        <v>7</v>
      </c>
      <c r="B72" s="8">
        <f xml:space="preserve"> SUMIF(tblGoogleUnits[Products],$A72, tblGoogleUnits[cv_2018]) + SUMIF(tblMetaUnits[Products],$A72, tblMetaUnits[cv_2018]) + SUMIF(tblAmazonUnits[Products],$A72, tblAmazonUnits[cv_2018]) + SUMIF(tblMicrosoftUnits[Products],$A72, tblMicrosoftUnits[cv_2018]) + SUMIF(tblAppleUnits[Products],$A72, tblAppleUnits[cv_2018]) + SUMIF(tblAlibabaUnits[Products],$A72, tblAlibabaUnits[cv_2018]) + SUMIF(tblHuaweiUnits[Products],$A72, tblHuaweiUnits[cv_2018]) + SUMIF(tblTencentUnits[Products],$A72, tblTencentUnits[cv_2018]) + SUMIF(tblBaiduUnits[Products],$A72, tblBaiduUnits[cv_2018]) + SUMIF(tblByteDanceUnits[Products],$A72, tblByteDanceUnits[cv_2018]) + SUMIF(tblCloudAOUnits[Products],$A72, tblCloudAOUnits[cv_2018]) + SUMIF(tblTelecomUnits[Products],$A72, tblTelecomUnits[cv_2018]) + SUMIF(tblEnterpriseUnits[Products],$A72, tblEnterpriseUnits[cv_2018])</f>
        <v>100000</v>
      </c>
      <c r="C72" s="8">
        <f xml:space="preserve"> SUMIF(tblGoogleUnits[Products],$A72, tblGoogleUnits[cv_2019]) + SUMIF(tblMetaUnits[Products],$A72, tblMetaUnits[cv_2019]) + SUMIF(tblAmazonUnits[Products],$A72, tblAmazonUnits[cv_2019]) + SUMIF(tblMicrosoftUnits[Products],$A72, tblMicrosoftUnits[cv_2019]) + SUMIF(tblAppleUnits[Products],$A72, tblAppleUnits[cv_2019]) + SUMIF(tblAlibabaUnits[Products],$A72, tblAlibabaUnits[cv_2019]) + SUMIF(tblHuaweiUnits[Products],$A72, tblHuaweiUnits[cv_2019]) + SUMIF(tblTencentUnits[Products],$A72, tblTencentUnits[cv_2019]) + SUMIF(tblBaiduUnits[Products],$A72, tblBaiduUnits[cv_2019]) + SUMIF(tblByteDanceUnits[Products],$A72, tblByteDanceUnits[cv_2019]) + SUMIF(tblCloudAOUnits[Products],$A72, tblCloudAOUnits[cv_2019]) + SUMIF(tblTelecomUnits[Products],$A72, tblTelecomUnits[cv_2019]) + SUMIF(tblEnterpriseUnits[Products],$A72, tblEnterpriseUnits[cv_2019])</f>
        <v>100158</v>
      </c>
      <c r="D72" s="8">
        <f xml:space="preserve"> SUMIF(tblGoogleUnits[Products],$A72, tblGoogleUnits[cv_2020]) + SUMIF(tblMetaUnits[Products],$A72, tblMetaUnits[cv_2020]) + SUMIF(tblAmazonUnits[Products],$A72, tblAmazonUnits[cv_2020]) + SUMIF(tblMicrosoftUnits[Products],$A72, tblMicrosoftUnits[cv_2020]) + SUMIF(tblAppleUnits[Products],$A72, tblAppleUnits[cv_2020]) + SUMIF(tblAlibabaUnits[Products],$A72, tblAlibabaUnits[cv_2020]) + SUMIF(tblHuaweiUnits[Products],$A72, tblHuaweiUnits[cv_2020]) + SUMIF(tblTencentUnits[Products],$A72, tblTencentUnits[cv_2020]) + SUMIF(tblBaiduUnits[Products],$A72, tblBaiduUnits[cv_2020]) + SUMIF(tblByteDanceUnits[Products],$A72, tblByteDanceUnits[cv_2020]) + SUMIF(tblCloudAOUnits[Products],$A72, tblCloudAOUnits[cv_2020]) + SUMIF(tblTelecomUnits[Products],$A72, tblTelecomUnits[cv_2020]) + SUMIF(tblEnterpriseUnits[Products],$A72, tblEnterpriseUnits[cv_2020])</f>
        <v>0</v>
      </c>
      <c r="E72" s="8">
        <f xml:space="preserve"> SUMIF(tblGoogleUnits[Products],$A72, tblGoogleUnits[cv_2021]) + SUMIF(tblMetaUnits[Products],$A72, tblMetaUnits[cv_2021]) + SUMIF(tblAmazonUnits[Products],$A72, tblAmazonUnits[cv_2021]) + SUMIF(tblMicrosoftUnits[Products],$A72, tblMicrosoftUnits[cv_2021]) + SUMIF(tblAppleUnits[Products],$A72, tblAppleUnits[cv_2021]) + SUMIF(tblAlibabaUnits[Products],$A72, tblAlibabaUnits[cv_2021]) + SUMIF(tblHuaweiUnits[Products],$A72, tblHuaweiUnits[cv_2021]) + SUMIF(tblTencentUnits[Products],$A72, tblTencentUnits[cv_2021]) + SUMIF(tblBaiduUnits[Products],$A72, tblBaiduUnits[cv_2021]) + SUMIF(tblByteDanceUnits[Products],$A72, tblByteDanceUnits[cv_2021]) + SUMIF(tblCloudAOUnits[Products],$A72, tblCloudAOUnits[cv_2021]) + SUMIF(tblTelecomUnits[Products],$A72, tblTelecomUnits[cv_2021]) + SUMIF(tblEnterpriseUnits[Products],$A72, tblEnterpriseUnits[cv_2021])</f>
        <v>0</v>
      </c>
      <c r="F72" s="8">
        <f xml:space="preserve"> SUMIF(tblGoogleUnits[Products],$A72, tblGoogleUnits[cv_2022]) + SUMIF(tblMetaUnits[Products],$A72, tblMetaUnits[cv_2022]) + SUMIF(tblAmazonUnits[Products],$A72, tblAmazonUnits[cv_2022]) + SUMIF(tblMicrosoftUnits[Products],$A72, tblMicrosoftUnits[cv_2022]) + SUMIF(tblAppleUnits[Products],$A72, tblAppleUnits[cv_2022]) + SUMIF(tblAlibabaUnits[Products],$A72, tblAlibabaUnits[cv_2022]) + SUMIF(tblHuaweiUnits[Products],$A72, tblHuaweiUnits[cv_2022]) + SUMIF(tblTencentUnits[Products],$A72, tblTencentUnits[cv_2022]) + SUMIF(tblBaiduUnits[Products],$A72, tblBaiduUnits[cv_2022]) + SUMIF(tblByteDanceUnits[Products],$A72, tblByteDanceUnits[cv_2022]) + SUMIF(tblCloudAOUnits[Products],$A72, tblCloudAOUnits[cv_2022]) + SUMIF(tblTelecomUnits[Products],$A72, tblTelecomUnits[cv_2022]) + SUMIF(tblEnterpriseUnits[Products],$A72, tblEnterpriseUnits[cv_2022])</f>
        <v>0</v>
      </c>
      <c r="G72" s="8">
        <f xml:space="preserve"> SUMIF(tblGoogleUnits[Products],$A72, tblGoogleUnits[cv_2023]) + SUMIF(tblMetaUnits[Products],$A72, tblMetaUnits[cv_2023]) + SUMIF(tblAmazonUnits[Products],$A72, tblAmazonUnits[cv_2023]) + SUMIF(tblMicrosoftUnits[Products],$A72, tblMicrosoftUnits[cv_2023]) + SUMIF(tblAppleUnits[Products],$A72, tblAppleUnits[cv_2023]) + SUMIF(tblAlibabaUnits[Products],$A72, tblAlibabaUnits[cv_2023]) + SUMIF(tblHuaweiUnits[Products],$A72, tblHuaweiUnits[cv_2023]) + SUMIF(tblTencentUnits[Products],$A72, tblTencentUnits[cv_2023]) + SUMIF(tblBaiduUnits[Products],$A72, tblBaiduUnits[cv_2023]) + SUMIF(tblByteDanceUnits[Products],$A72, tblByteDanceUnits[cv_2023]) + SUMIF(tblCloudAOUnits[Products],$A72, tblCloudAOUnits[cv_2023]) + SUMIF(tblTelecomUnits[Products],$A72, tblTelecomUnits[cv_2023]) + SUMIF(tblEnterpriseUnits[Products],$A72, tblEnterpriseUnits[cv_2023])</f>
        <v>0</v>
      </c>
      <c r="H72" s="8">
        <f xml:space="preserve"> SUMIF(tblGoogleUnits[Products],$A72, tblGoogleUnits[cv_2024]) + SUMIF(tblMetaUnits[Products],$A72, tblMetaUnits[cv_2024]) + SUMIF(tblAmazonUnits[Products],$A72, tblAmazonUnits[cv_2024]) + SUMIF(tblMicrosoftUnits[Products],$A72, tblMicrosoftUnits[cv_2024]) + SUMIF(tblAppleUnits[Products],$A72, tblAppleUnits[cv_2024]) + SUMIF(tblAlibabaUnits[Products],$A72, tblAlibabaUnits[cv_2024]) + SUMIF(tblHuaweiUnits[Products],$A72, tblHuaweiUnits[cv_2024]) + SUMIF(tblTencentUnits[Products],$A72, tblTencentUnits[cv_2024]) + SUMIF(tblBaiduUnits[Products],$A72, tblBaiduUnits[cv_2024]) + SUMIF(tblByteDanceUnits[Products],$A72, tblByteDanceUnits[cv_2024]) + SUMIF(tblCloudAOUnits[Products],$A72, tblCloudAOUnits[cv_2024]) + SUMIF(tblTelecomUnits[Products],$A72, tblTelecomUnits[cv_2024]) + SUMIF(tblEnterpriseUnits[Products],$A72, tblEnterpriseUnits[cv_2024])</f>
        <v>0</v>
      </c>
      <c r="I72" s="8">
        <f xml:space="preserve"> SUMIF(tblGoogleUnits[Products],$A72, tblGoogleUnits[cv_2025]) + SUMIF(tblMetaUnits[Products],$A72, tblMetaUnits[cv_2025]) + SUMIF(tblAmazonUnits[Products],$A72, tblAmazonUnits[cv_2025]) + SUMIF(tblMicrosoftUnits[Products],$A72, tblMicrosoftUnits[cv_2025]) + SUMIF(tblAppleUnits[Products],$A72, tblAppleUnits[cv_2025]) + SUMIF(tblAlibabaUnits[Products],$A72, tblAlibabaUnits[cv_2025]) + SUMIF(tblHuaweiUnits[Products],$A72, tblHuaweiUnits[cv_2025]) + SUMIF(tblTencentUnits[Products],$A72, tblTencentUnits[cv_2025]) + SUMIF(tblBaiduUnits[Products],$A72, tblBaiduUnits[cv_2025]) + SUMIF(tblByteDanceUnits[Products],$A72, tblByteDanceUnits[cv_2025]) + SUMIF(tblCloudAOUnits[Products],$A72, tblCloudAOUnits[cv_2025]) + SUMIF(tblTelecomUnits[Products],$A72, tblTelecomUnits[cv_2025]) + SUMIF(tblEnterpriseUnits[Products],$A72, tblEnterpriseUnits[cv_2025])</f>
        <v>0</v>
      </c>
      <c r="J72" s="8">
        <f xml:space="preserve"> SUMIF(tblGoogleUnits[Products],$A72, tblGoogleUnits[cv_2026]) + SUMIF(tblMetaUnits[Products],$A72, tblMetaUnits[cv_2026]) + SUMIF(tblAmazonUnits[Products],$A72, tblAmazonUnits[cv_2026]) + SUMIF(tblMicrosoftUnits[Products],$A72, tblMicrosoftUnits[cv_2026]) + SUMIF(tblAppleUnits[Products],$A72, tblAppleUnits[cv_2026]) + SUMIF(tblAlibabaUnits[Products],$A72, tblAlibabaUnits[cv_2026]) + SUMIF(tblHuaweiUnits[Products],$A72, tblHuaweiUnits[cv_2026]) + SUMIF(tblTencentUnits[Products],$A72, tblTencentUnits[cv_2026]) + SUMIF(tblBaiduUnits[Products],$A72, tblBaiduUnits[cv_2026]) + SUMIF(tblByteDanceUnits[Products],$A72, tblByteDanceUnits[cv_2026]) + SUMIF(tblCloudAOUnits[Products],$A72, tblCloudAOUnits[cv_2026]) + SUMIF(tblTelecomUnits[Products],$A72, tblTelecomUnits[cv_2026]) + SUMIF(tblEnterpriseUnits[Products],$A72, tblEnterpriseUnits[cv_2026])</f>
        <v>0</v>
      </c>
      <c r="K72" s="8">
        <f xml:space="preserve"> SUMIF(tblGoogleUnits[Products],$A72, tblGoogleUnits[cv_2027]) + SUMIF(tblMetaUnits[Products],$A72, tblMetaUnits[cv_2027]) + SUMIF(tblAmazonUnits[Products],$A72, tblAmazonUnits[cv_2027]) + SUMIF(tblMicrosoftUnits[Products],$A72, tblMicrosoftUnits[cv_2027]) + SUMIF(tblAppleUnits[Products],$A72, tblAppleUnits[cv_2027]) + SUMIF(tblAlibabaUnits[Products],$A72, tblAlibabaUnits[cv_2027]) + SUMIF(tblHuaweiUnits[Products],$A72, tblHuaweiUnits[cv_2027]) + SUMIF(tblTencentUnits[Products],$A72, tblTencentUnits[cv_2027]) + SUMIF(tblBaiduUnits[Products],$A72, tblBaiduUnits[cv_2027]) + SUMIF(tblByteDanceUnits[Products],$A72, tblByteDanceUnits[cv_2027]) + SUMIF(tblCloudAOUnits[Products],$A72, tblCloudAOUnits[cv_2027]) + SUMIF(tblTelecomUnits[Products],$A72, tblTelecomUnits[cv_2027]) + SUMIF(tblEnterpriseUnits[Products],$A72, tblEnterpriseUnits[cv_2027])</f>
        <v>0</v>
      </c>
      <c r="L72" s="8">
        <f xml:space="preserve"> SUMIF(tblGoogleUnits[Products],$A72, tblGoogleUnits[cv_2028]) + SUMIF(tblMetaUnits[Products],$A72, tblMetaUnits[cv_2028]) + SUMIF(tblAmazonUnits[Products],$A72, tblAmazonUnits[cv_2028]) + SUMIF(tblMicrosoftUnits[Products],$A72, tblMicrosoftUnits[cv_2028]) + SUMIF(tblAppleUnits[Products],$A72, tblAppleUnits[cv_2028]) + SUMIF(tblAlibabaUnits[Products],$A72, tblAlibabaUnits[cv_2028]) + SUMIF(tblHuaweiUnits[Products],$A72, tblHuaweiUnits[cv_2028]) + SUMIF(tblTencentUnits[Products],$A72, tblTencentUnits[cv_2028]) + SUMIF(tblBaiduUnits[Products],$A72, tblBaiduUnits[cv_2028]) + SUMIF(tblByteDanceUnits[Products],$A72, tblByteDanceUnits[cv_2028]) + SUMIF(tblCloudAOUnits[Products],$A72, tblCloudAOUnits[cv_2028]) + SUMIF(tblTelecomUnits[Products],$A72, tblTelecomUnits[cv_2028]) + SUMIF(tblEnterpriseUnits[Products],$A72, tblEnterpriseUnits[cv_2028])</f>
        <v>0</v>
      </c>
      <c r="M72" s="105" cm="1">
        <f t="array" ref="M72">INDEX(tblPrices[cv_2018], MATCH($A72,tblPrices[Products],0), 0)</f>
        <v>300</v>
      </c>
      <c r="N72" s="105" cm="1">
        <f t="array" ref="N72">INDEX(tblPrices[cv_2019], MATCH($A72,tblPrices[Products],0), 0)</f>
        <v>206.21854346332259</v>
      </c>
      <c r="O72" s="105" cm="1">
        <f t="array" ref="O72">INDEX(tblPrices[cv_2020], MATCH($A72,tblPrices[Products],0), 0)</f>
        <v>0</v>
      </c>
      <c r="P72" s="105" cm="1">
        <f t="array" ref="P72">INDEX(tblPrices[cv_2021], MATCH($A72,tblPrices[Products],0), 0)</f>
        <v>0</v>
      </c>
      <c r="Q72" s="105" cm="1">
        <f t="array" ref="Q72">INDEX(tblPrices[cv_2022], MATCH($A72,tblPrices[Products],0), 0)</f>
        <v>0</v>
      </c>
      <c r="R72" s="105" cm="1">
        <f t="array" ref="R72">INDEX(tblPrices[cv_2023], MATCH($A72,tblPrices[Products],0), 0)</f>
        <v>0</v>
      </c>
      <c r="S72" s="105" cm="1">
        <f t="array" ref="S72">INDEX(tblPrices[cv_2024], MATCH($A72,tblPrices[Products],0), 0)</f>
        <v>0</v>
      </c>
      <c r="T72" s="105" cm="1">
        <f t="array" ref="T72">INDEX(tblPrices[cv_2025], MATCH($A72,tblPrices[Products],0), 0)</f>
        <v>0</v>
      </c>
      <c r="U72" s="105" cm="1">
        <f t="array" ref="U72">INDEX(tblPrices[cv_2026], MATCH($A72,tblPrices[Products],0), 0)</f>
        <v>0</v>
      </c>
      <c r="V72" s="105" cm="1">
        <f t="array" ref="V72">INDEX(tblPrices[cv_2027], MATCH($A72,tblPrices[Products],0), 0)</f>
        <v>0</v>
      </c>
      <c r="W72" s="105" cm="1">
        <f t="array" ref="W72">INDEX(tblPrices[cv_2028], MATCH($A72,tblPrices[Products],0), 0)</f>
        <v>0</v>
      </c>
      <c r="X72" s="106" cm="1">
        <f t="array" ref="X72">INDEX(tblPrices[cv_2018], MATCH($A72,tblPrices[Products],0), 0)* tblForecast[[#This Row],[un_2018]]/10^6</f>
        <v>30</v>
      </c>
      <c r="Y72" s="106" cm="1">
        <f t="array" ref="Y72">INDEX(tblPrices[cv_2019], MATCH($A72,tblPrices[Products],0), 0)* tblForecast[[#This Row],[un_2019]]/10^6</f>
        <v>20.654436876199465</v>
      </c>
      <c r="Z72" s="106" cm="1">
        <f t="array" ref="Z72">INDEX(tblPrices[cv_2020], MATCH($A72,tblPrices[Products],0), 0)* tblForecast[[#This Row],[un_2020]]/10^6</f>
        <v>0</v>
      </c>
      <c r="AA72" s="106" cm="1">
        <f t="array" ref="AA72">INDEX(tblPrices[cv_2021], MATCH($A72,tblPrices[Products],0), 0)* tblForecast[[#This Row],[un_2021]]/10^6</f>
        <v>0</v>
      </c>
      <c r="AB72" s="106" cm="1">
        <f t="array" ref="AB72">INDEX(tblPrices[cv_2022], MATCH($A72,tblPrices[Products],0), 0)* tblForecast[[#This Row],[un_2022]]/10^6</f>
        <v>0</v>
      </c>
      <c r="AC72" s="106" cm="1">
        <f t="array" ref="AC72">INDEX(tblPrices[cv_2023], MATCH($A72,tblPrices[Products],0), 0)* tblForecast[[#This Row],[un_2023]]/10^6</f>
        <v>0</v>
      </c>
      <c r="AD72" s="106" cm="1">
        <f t="array" ref="AD72">INDEX(tblPrices[cv_2024], MATCH($A72,tblPrices[Products],0), 0)* tblForecast[[#This Row],[un_2024]]/10^6</f>
        <v>0</v>
      </c>
      <c r="AE72" s="106" cm="1">
        <f t="array" ref="AE72">INDEX(tblPrices[cv_2025], MATCH($A72,tblPrices[Products],0), 0)* tblForecast[[#This Row],[un_2025]]/10^6</f>
        <v>0</v>
      </c>
      <c r="AF72" s="106" cm="1">
        <f t="array" ref="AF72">INDEX(tblPrices[cv_2026], MATCH($A72,tblPrices[Products],0), 0)* tblForecast[[#This Row],[un_2026]]/10^6</f>
        <v>0</v>
      </c>
      <c r="AG72" s="106" cm="1">
        <f t="array" ref="AG72">INDEX(tblPrices[cv_2027], MATCH($A72,tblPrices[Products],0), 0)* tblForecast[[#This Row],[un_2027]]/10^6</f>
        <v>0</v>
      </c>
      <c r="AH72" s="106" cm="1">
        <f t="array" ref="AH72">INDEX(tblPrices[cv_2028], MATCH($A72,tblPrices[Products],0), 0)* tblForecast[[#This Row],[un_2028]]/10^6</f>
        <v>0</v>
      </c>
      <c r="AI72" s="60">
        <f>VLOOKUP(A72,Products!$A$11:$F$110,6,FALSE)</f>
        <v>100</v>
      </c>
    </row>
    <row r="73" spans="1:35">
      <c r="A73" s="12" t="s">
        <v>8</v>
      </c>
      <c r="B73" s="8">
        <f xml:space="preserve"> SUMIF(tblGoogleUnits[Products],$A73, tblGoogleUnits[cv_2018]) + SUMIF(tblMetaUnits[Products],$A73, tblMetaUnits[cv_2018]) + SUMIF(tblAmazonUnits[Products],$A73, tblAmazonUnits[cv_2018]) + SUMIF(tblMicrosoftUnits[Products],$A73, tblMicrosoftUnits[cv_2018]) + SUMIF(tblAppleUnits[Products],$A73, tblAppleUnits[cv_2018]) + SUMIF(tblAlibabaUnits[Products],$A73, tblAlibabaUnits[cv_2018]) + SUMIF(tblHuaweiUnits[Products],$A73, tblHuaweiUnits[cv_2018]) + SUMIF(tblTencentUnits[Products],$A73, tblTencentUnits[cv_2018]) + SUMIF(tblBaiduUnits[Products],$A73, tblBaiduUnits[cv_2018]) + SUMIF(tblByteDanceUnits[Products],$A73, tblByteDanceUnits[cv_2018]) + SUMIF(tblCloudAOUnits[Products],$A73, tblCloudAOUnits[cv_2018]) + SUMIF(tblTelecomUnits[Products],$A73, tblTelecomUnits[cv_2018]) + SUMIF(tblEnterpriseUnits[Products],$A73, tblEnterpriseUnits[cv_2018])</f>
        <v>0</v>
      </c>
      <c r="C73" s="8">
        <f xml:space="preserve"> SUMIF(tblGoogleUnits[Products],$A73, tblGoogleUnits[cv_2019]) + SUMIF(tblMetaUnits[Products],$A73, tblMetaUnits[cv_2019]) + SUMIF(tblAmazonUnits[Products],$A73, tblAmazonUnits[cv_2019]) + SUMIF(tblMicrosoftUnits[Products],$A73, tblMicrosoftUnits[cv_2019]) + SUMIF(tblAppleUnits[Products],$A73, tblAppleUnits[cv_2019]) + SUMIF(tblAlibabaUnits[Products],$A73, tblAlibabaUnits[cv_2019]) + SUMIF(tblHuaweiUnits[Products],$A73, tblHuaweiUnits[cv_2019]) + SUMIF(tblTencentUnits[Products],$A73, tblTencentUnits[cv_2019]) + SUMIF(tblBaiduUnits[Products],$A73, tblBaiduUnits[cv_2019]) + SUMIF(tblByteDanceUnits[Products],$A73, tblByteDanceUnits[cv_2019]) + SUMIF(tblCloudAOUnits[Products],$A73, tblCloudAOUnits[cv_2019]) + SUMIF(tblTelecomUnits[Products],$A73, tblTelecomUnits[cv_2019]) + SUMIF(tblEnterpriseUnits[Products],$A73, tblEnterpriseUnits[cv_2019])</f>
        <v>9400</v>
      </c>
      <c r="D73" s="8">
        <f xml:space="preserve"> SUMIF(tblGoogleUnits[Products],$A73, tblGoogleUnits[cv_2020]) + SUMIF(tblMetaUnits[Products],$A73, tblMetaUnits[cv_2020]) + SUMIF(tblAmazonUnits[Products],$A73, tblAmazonUnits[cv_2020]) + SUMIF(tblMicrosoftUnits[Products],$A73, tblMicrosoftUnits[cv_2020]) + SUMIF(tblAppleUnits[Products],$A73, tblAppleUnits[cv_2020]) + SUMIF(tblAlibabaUnits[Products],$A73, tblAlibabaUnits[cv_2020]) + SUMIF(tblHuaweiUnits[Products],$A73, tblHuaweiUnits[cv_2020]) + SUMIF(tblTencentUnits[Products],$A73, tblTencentUnits[cv_2020]) + SUMIF(tblBaiduUnits[Products],$A73, tblBaiduUnits[cv_2020]) + SUMIF(tblByteDanceUnits[Products],$A73, tblByteDanceUnits[cv_2020]) + SUMIF(tblCloudAOUnits[Products],$A73, tblCloudAOUnits[cv_2020]) + SUMIF(tblTelecomUnits[Products],$A73, tblTelecomUnits[cv_2020]) + SUMIF(tblEnterpriseUnits[Products],$A73, tblEnterpriseUnits[cv_2020])</f>
        <v>0</v>
      </c>
      <c r="E73" s="8">
        <f xml:space="preserve"> SUMIF(tblGoogleUnits[Products],$A73, tblGoogleUnits[cv_2021]) + SUMIF(tblMetaUnits[Products],$A73, tblMetaUnits[cv_2021]) + SUMIF(tblAmazonUnits[Products],$A73, tblAmazonUnits[cv_2021]) + SUMIF(tblMicrosoftUnits[Products],$A73, tblMicrosoftUnits[cv_2021]) + SUMIF(tblAppleUnits[Products],$A73, tblAppleUnits[cv_2021]) + SUMIF(tblAlibabaUnits[Products],$A73, tblAlibabaUnits[cv_2021]) + SUMIF(tblHuaweiUnits[Products],$A73, tblHuaweiUnits[cv_2021]) + SUMIF(tblTencentUnits[Products],$A73, tblTencentUnits[cv_2021]) + SUMIF(tblBaiduUnits[Products],$A73, tblBaiduUnits[cv_2021]) + SUMIF(tblByteDanceUnits[Products],$A73, tblByteDanceUnits[cv_2021]) + SUMIF(tblCloudAOUnits[Products],$A73, tblCloudAOUnits[cv_2021]) + SUMIF(tblTelecomUnits[Products],$A73, tblTelecomUnits[cv_2021]) + SUMIF(tblEnterpriseUnits[Products],$A73, tblEnterpriseUnits[cv_2021])</f>
        <v>0</v>
      </c>
      <c r="F73" s="8">
        <f xml:space="preserve"> SUMIF(tblGoogleUnits[Products],$A73, tblGoogleUnits[cv_2022]) + SUMIF(tblMetaUnits[Products],$A73, tblMetaUnits[cv_2022]) + SUMIF(tblAmazonUnits[Products],$A73, tblAmazonUnits[cv_2022]) + SUMIF(tblMicrosoftUnits[Products],$A73, tblMicrosoftUnits[cv_2022]) + SUMIF(tblAppleUnits[Products],$A73, tblAppleUnits[cv_2022]) + SUMIF(tblAlibabaUnits[Products],$A73, tblAlibabaUnits[cv_2022]) + SUMIF(tblHuaweiUnits[Products],$A73, tblHuaweiUnits[cv_2022]) + SUMIF(tblTencentUnits[Products],$A73, tblTencentUnits[cv_2022]) + SUMIF(tblBaiduUnits[Products],$A73, tblBaiduUnits[cv_2022]) + SUMIF(tblByteDanceUnits[Products],$A73, tblByteDanceUnits[cv_2022]) + SUMIF(tblCloudAOUnits[Products],$A73, tblCloudAOUnits[cv_2022]) + SUMIF(tblTelecomUnits[Products],$A73, tblTelecomUnits[cv_2022]) + SUMIF(tblEnterpriseUnits[Products],$A73, tblEnterpriseUnits[cv_2022])</f>
        <v>0</v>
      </c>
      <c r="G73" s="8">
        <f xml:space="preserve"> SUMIF(tblGoogleUnits[Products],$A73, tblGoogleUnits[cv_2023]) + SUMIF(tblMetaUnits[Products],$A73, tblMetaUnits[cv_2023]) + SUMIF(tblAmazonUnits[Products],$A73, tblAmazonUnits[cv_2023]) + SUMIF(tblMicrosoftUnits[Products],$A73, tblMicrosoftUnits[cv_2023]) + SUMIF(tblAppleUnits[Products],$A73, tblAppleUnits[cv_2023]) + SUMIF(tblAlibabaUnits[Products],$A73, tblAlibabaUnits[cv_2023]) + SUMIF(tblHuaweiUnits[Products],$A73, tblHuaweiUnits[cv_2023]) + SUMIF(tblTencentUnits[Products],$A73, tblTencentUnits[cv_2023]) + SUMIF(tblBaiduUnits[Products],$A73, tblBaiduUnits[cv_2023]) + SUMIF(tblByteDanceUnits[Products],$A73, tblByteDanceUnits[cv_2023]) + SUMIF(tblCloudAOUnits[Products],$A73, tblCloudAOUnits[cv_2023]) + SUMIF(tblTelecomUnits[Products],$A73, tblTelecomUnits[cv_2023]) + SUMIF(tblEnterpriseUnits[Products],$A73, tblEnterpriseUnits[cv_2023])</f>
        <v>0</v>
      </c>
      <c r="H73" s="8">
        <f xml:space="preserve"> SUMIF(tblGoogleUnits[Products],$A73, tblGoogleUnits[cv_2024]) + SUMIF(tblMetaUnits[Products],$A73, tblMetaUnits[cv_2024]) + SUMIF(tblAmazonUnits[Products],$A73, tblAmazonUnits[cv_2024]) + SUMIF(tblMicrosoftUnits[Products],$A73, tblMicrosoftUnits[cv_2024]) + SUMIF(tblAppleUnits[Products],$A73, tblAppleUnits[cv_2024]) + SUMIF(tblAlibabaUnits[Products],$A73, tblAlibabaUnits[cv_2024]) + SUMIF(tblHuaweiUnits[Products],$A73, tblHuaweiUnits[cv_2024]) + SUMIF(tblTencentUnits[Products],$A73, tblTencentUnits[cv_2024]) + SUMIF(tblBaiduUnits[Products],$A73, tblBaiduUnits[cv_2024]) + SUMIF(tblByteDanceUnits[Products],$A73, tblByteDanceUnits[cv_2024]) + SUMIF(tblCloudAOUnits[Products],$A73, tblCloudAOUnits[cv_2024]) + SUMIF(tblTelecomUnits[Products],$A73, tblTelecomUnits[cv_2024]) + SUMIF(tblEnterpriseUnits[Products],$A73, tblEnterpriseUnits[cv_2024])</f>
        <v>0</v>
      </c>
      <c r="I73" s="8">
        <f xml:space="preserve"> SUMIF(tblGoogleUnits[Products],$A73, tblGoogleUnits[cv_2025]) + SUMIF(tblMetaUnits[Products],$A73, tblMetaUnits[cv_2025]) + SUMIF(tblAmazonUnits[Products],$A73, tblAmazonUnits[cv_2025]) + SUMIF(tblMicrosoftUnits[Products],$A73, tblMicrosoftUnits[cv_2025]) + SUMIF(tblAppleUnits[Products],$A73, tblAppleUnits[cv_2025]) + SUMIF(tblAlibabaUnits[Products],$A73, tblAlibabaUnits[cv_2025]) + SUMIF(tblHuaweiUnits[Products],$A73, tblHuaweiUnits[cv_2025]) + SUMIF(tblTencentUnits[Products],$A73, tblTencentUnits[cv_2025]) + SUMIF(tblBaiduUnits[Products],$A73, tblBaiduUnits[cv_2025]) + SUMIF(tblByteDanceUnits[Products],$A73, tblByteDanceUnits[cv_2025]) + SUMIF(tblCloudAOUnits[Products],$A73, tblCloudAOUnits[cv_2025]) + SUMIF(tblTelecomUnits[Products],$A73, tblTelecomUnits[cv_2025]) + SUMIF(tblEnterpriseUnits[Products],$A73, tblEnterpriseUnits[cv_2025])</f>
        <v>0</v>
      </c>
      <c r="J73" s="8">
        <f xml:space="preserve"> SUMIF(tblGoogleUnits[Products],$A73, tblGoogleUnits[cv_2026]) + SUMIF(tblMetaUnits[Products],$A73, tblMetaUnits[cv_2026]) + SUMIF(tblAmazonUnits[Products],$A73, tblAmazonUnits[cv_2026]) + SUMIF(tblMicrosoftUnits[Products],$A73, tblMicrosoftUnits[cv_2026]) + SUMIF(tblAppleUnits[Products],$A73, tblAppleUnits[cv_2026]) + SUMIF(tblAlibabaUnits[Products],$A73, tblAlibabaUnits[cv_2026]) + SUMIF(tblHuaweiUnits[Products],$A73, tblHuaweiUnits[cv_2026]) + SUMIF(tblTencentUnits[Products],$A73, tblTencentUnits[cv_2026]) + SUMIF(tblBaiduUnits[Products],$A73, tblBaiduUnits[cv_2026]) + SUMIF(tblByteDanceUnits[Products],$A73, tblByteDanceUnits[cv_2026]) + SUMIF(tblCloudAOUnits[Products],$A73, tblCloudAOUnits[cv_2026]) + SUMIF(tblTelecomUnits[Products],$A73, tblTelecomUnits[cv_2026]) + SUMIF(tblEnterpriseUnits[Products],$A73, tblEnterpriseUnits[cv_2026])</f>
        <v>0</v>
      </c>
      <c r="K73" s="8">
        <f xml:space="preserve"> SUMIF(tblGoogleUnits[Products],$A73, tblGoogleUnits[cv_2027]) + SUMIF(tblMetaUnits[Products],$A73, tblMetaUnits[cv_2027]) + SUMIF(tblAmazonUnits[Products],$A73, tblAmazonUnits[cv_2027]) + SUMIF(tblMicrosoftUnits[Products],$A73, tblMicrosoftUnits[cv_2027]) + SUMIF(tblAppleUnits[Products],$A73, tblAppleUnits[cv_2027]) + SUMIF(tblAlibabaUnits[Products],$A73, tblAlibabaUnits[cv_2027]) + SUMIF(tblHuaweiUnits[Products],$A73, tblHuaweiUnits[cv_2027]) + SUMIF(tblTencentUnits[Products],$A73, tblTencentUnits[cv_2027]) + SUMIF(tblBaiduUnits[Products],$A73, tblBaiduUnits[cv_2027]) + SUMIF(tblByteDanceUnits[Products],$A73, tblByteDanceUnits[cv_2027]) + SUMIF(tblCloudAOUnits[Products],$A73, tblCloudAOUnits[cv_2027]) + SUMIF(tblTelecomUnits[Products],$A73, tblTelecomUnits[cv_2027]) + SUMIF(tblEnterpriseUnits[Products],$A73, tblEnterpriseUnits[cv_2027])</f>
        <v>0</v>
      </c>
      <c r="L73" s="8">
        <f xml:space="preserve"> SUMIF(tblGoogleUnits[Products],$A73, tblGoogleUnits[cv_2028]) + SUMIF(tblMetaUnits[Products],$A73, tblMetaUnits[cv_2028]) + SUMIF(tblAmazonUnits[Products],$A73, tblAmazonUnits[cv_2028]) + SUMIF(tblMicrosoftUnits[Products],$A73, tblMicrosoftUnits[cv_2028]) + SUMIF(tblAppleUnits[Products],$A73, tblAppleUnits[cv_2028]) + SUMIF(tblAlibabaUnits[Products],$A73, tblAlibabaUnits[cv_2028]) + SUMIF(tblHuaweiUnits[Products],$A73, tblHuaweiUnits[cv_2028]) + SUMIF(tblTencentUnits[Products],$A73, tblTencentUnits[cv_2028]) + SUMIF(tblBaiduUnits[Products],$A73, tblBaiduUnits[cv_2028]) + SUMIF(tblByteDanceUnits[Products],$A73, tblByteDanceUnits[cv_2028]) + SUMIF(tblCloudAOUnits[Products],$A73, tblCloudAOUnits[cv_2028]) + SUMIF(tblTelecomUnits[Products],$A73, tblTelecomUnits[cv_2028]) + SUMIF(tblEnterpriseUnits[Products],$A73, tblEnterpriseUnits[cv_2028])</f>
        <v>0</v>
      </c>
      <c r="M73" s="105" cm="1">
        <f t="array" ref="M73">INDEX(tblPrices[cv_2018], MATCH($A73,tblPrices[Products],0), 0)</f>
        <v>0</v>
      </c>
      <c r="N73" s="105" cm="1">
        <f t="array" ref="N73">INDEX(tblPrices[cv_2019], MATCH($A73,tblPrices[Products],0), 0)</f>
        <v>1707.6451454692551</v>
      </c>
      <c r="O73" s="105" cm="1">
        <f t="array" ref="O73">INDEX(tblPrices[cv_2020], MATCH($A73,tblPrices[Products],0), 0)</f>
        <v>0</v>
      </c>
      <c r="P73" s="105" cm="1">
        <f t="array" ref="P73">INDEX(tblPrices[cv_2021], MATCH($A73,tblPrices[Products],0), 0)</f>
        <v>0</v>
      </c>
      <c r="Q73" s="105" cm="1">
        <f t="array" ref="Q73">INDEX(tblPrices[cv_2022], MATCH($A73,tblPrices[Products],0), 0)</f>
        <v>0</v>
      </c>
      <c r="R73" s="105" cm="1">
        <f t="array" ref="R73">INDEX(tblPrices[cv_2023], MATCH($A73,tblPrices[Products],0), 0)</f>
        <v>0</v>
      </c>
      <c r="S73" s="105" cm="1">
        <f t="array" ref="S73">INDEX(tblPrices[cv_2024], MATCH($A73,tblPrices[Products],0), 0)</f>
        <v>0</v>
      </c>
      <c r="T73" s="105" cm="1">
        <f t="array" ref="T73">INDEX(tblPrices[cv_2025], MATCH($A73,tblPrices[Products],0), 0)</f>
        <v>0</v>
      </c>
      <c r="U73" s="105" cm="1">
        <f t="array" ref="U73">INDEX(tblPrices[cv_2026], MATCH($A73,tblPrices[Products],0), 0)</f>
        <v>0</v>
      </c>
      <c r="V73" s="105" cm="1">
        <f t="array" ref="V73">INDEX(tblPrices[cv_2027], MATCH($A73,tblPrices[Products],0), 0)</f>
        <v>0</v>
      </c>
      <c r="W73" s="105" cm="1">
        <f t="array" ref="W73">INDEX(tblPrices[cv_2028], MATCH($A73,tblPrices[Products],0), 0)</f>
        <v>0</v>
      </c>
      <c r="X73" s="106" cm="1">
        <f t="array" ref="X73">INDEX(tblPrices[cv_2018], MATCH($A73,tblPrices[Products],0), 0)* tblForecast[[#This Row],[un_2018]]/10^6</f>
        <v>0</v>
      </c>
      <c r="Y73" s="106" cm="1">
        <f t="array" ref="Y73">INDEX(tblPrices[cv_2019], MATCH($A73,tblPrices[Products],0), 0)* tblForecast[[#This Row],[un_2019]]/10^6</f>
        <v>16.051864367411</v>
      </c>
      <c r="Z73" s="106" cm="1">
        <f t="array" ref="Z73">INDEX(tblPrices[cv_2020], MATCH($A73,tblPrices[Products],0), 0)* tblForecast[[#This Row],[un_2020]]/10^6</f>
        <v>0</v>
      </c>
      <c r="AA73" s="106" cm="1">
        <f t="array" ref="AA73">INDEX(tblPrices[cv_2021], MATCH($A73,tblPrices[Products],0), 0)* tblForecast[[#This Row],[un_2021]]/10^6</f>
        <v>0</v>
      </c>
      <c r="AB73" s="106" cm="1">
        <f t="array" ref="AB73">INDEX(tblPrices[cv_2022], MATCH($A73,tblPrices[Products],0), 0)* tblForecast[[#This Row],[un_2022]]/10^6</f>
        <v>0</v>
      </c>
      <c r="AC73" s="106" cm="1">
        <f t="array" ref="AC73">INDEX(tblPrices[cv_2023], MATCH($A73,tblPrices[Products],0), 0)* tblForecast[[#This Row],[un_2023]]/10^6</f>
        <v>0</v>
      </c>
      <c r="AD73" s="106" cm="1">
        <f t="array" ref="AD73">INDEX(tblPrices[cv_2024], MATCH($A73,tblPrices[Products],0), 0)* tblForecast[[#This Row],[un_2024]]/10^6</f>
        <v>0</v>
      </c>
      <c r="AE73" s="106" cm="1">
        <f t="array" ref="AE73">INDEX(tblPrices[cv_2025], MATCH($A73,tblPrices[Products],0), 0)* tblForecast[[#This Row],[un_2025]]/10^6</f>
        <v>0</v>
      </c>
      <c r="AF73" s="106" cm="1">
        <f t="array" ref="AF73">INDEX(tblPrices[cv_2026], MATCH($A73,tblPrices[Products],0), 0)* tblForecast[[#This Row],[un_2026]]/10^6</f>
        <v>0</v>
      </c>
      <c r="AG73" s="106" cm="1">
        <f t="array" ref="AG73">INDEX(tblPrices[cv_2027], MATCH($A73,tblPrices[Products],0), 0)* tblForecast[[#This Row],[un_2027]]/10^6</f>
        <v>0</v>
      </c>
      <c r="AH73" s="106" cm="1">
        <f t="array" ref="AH73">INDEX(tblPrices[cv_2028], MATCH($A73,tblPrices[Products],0), 0)* tblForecast[[#This Row],[un_2028]]/10^6</f>
        <v>0</v>
      </c>
      <c r="AI73" s="60">
        <f>VLOOKUP(A73,Products!$A$11:$F$110,6,FALSE)</f>
        <v>100</v>
      </c>
    </row>
    <row r="74" spans="1:35">
      <c r="A74" s="12" t="s">
        <v>184</v>
      </c>
      <c r="B74" s="8">
        <f xml:space="preserve"> SUMIF(tblGoogleUnits[Products],$A74, tblGoogleUnits[cv_2018]) + SUMIF(tblMetaUnits[Products],$A74, tblMetaUnits[cv_2018]) + SUMIF(tblAmazonUnits[Products],$A74, tblAmazonUnits[cv_2018]) + SUMIF(tblMicrosoftUnits[Products],$A74, tblMicrosoftUnits[cv_2018]) + SUMIF(tblAppleUnits[Products],$A74, tblAppleUnits[cv_2018]) + SUMIF(tblAlibabaUnits[Products],$A74, tblAlibabaUnits[cv_2018]) + SUMIF(tblHuaweiUnits[Products],$A74, tblHuaweiUnits[cv_2018]) + SUMIF(tblTencentUnits[Products],$A74, tblTencentUnits[cv_2018]) + SUMIF(tblBaiduUnits[Products],$A74, tblBaiduUnits[cv_2018]) + SUMIF(tblByteDanceUnits[Products],$A74, tblByteDanceUnits[cv_2018]) + SUMIF(tblCloudAOUnits[Products],$A74, tblCloudAOUnits[cv_2018]) + SUMIF(tblTelecomUnits[Products],$A74, tblTelecomUnits[cv_2018]) + SUMIF(tblEnterpriseUnits[Products],$A74, tblEnterpriseUnits[cv_2018])</f>
        <v>6050</v>
      </c>
      <c r="C74" s="8">
        <f xml:space="preserve"> SUMIF(tblGoogleUnits[Products],$A74, tblGoogleUnits[cv_2019]) + SUMIF(tblMetaUnits[Products],$A74, tblMetaUnits[cv_2019]) + SUMIF(tblAmazonUnits[Products],$A74, tblAmazonUnits[cv_2019]) + SUMIF(tblMicrosoftUnits[Products],$A74, tblMicrosoftUnits[cv_2019]) + SUMIF(tblAppleUnits[Products],$A74, tblAppleUnits[cv_2019]) + SUMIF(tblAlibabaUnits[Products],$A74, tblAlibabaUnits[cv_2019]) + SUMIF(tblHuaweiUnits[Products],$A74, tblHuaweiUnits[cv_2019]) + SUMIF(tblTencentUnits[Products],$A74, tblTencentUnits[cv_2019]) + SUMIF(tblBaiduUnits[Products],$A74, tblBaiduUnits[cv_2019]) + SUMIF(tblByteDanceUnits[Products],$A74, tblByteDanceUnits[cv_2019]) + SUMIF(tblCloudAOUnits[Products],$A74, tblCloudAOUnits[cv_2019]) + SUMIF(tblTelecomUnits[Products],$A74, tblTelecomUnits[cv_2019]) + SUMIF(tblEnterpriseUnits[Products],$A74, tblEnterpriseUnits[cv_2019])</f>
        <v>21384</v>
      </c>
      <c r="D74" s="8">
        <f xml:space="preserve"> SUMIF(tblGoogleUnits[Products],$A74, tblGoogleUnits[cv_2020]) + SUMIF(tblMetaUnits[Products],$A74, tblMetaUnits[cv_2020]) + SUMIF(tblAmazonUnits[Products],$A74, tblAmazonUnits[cv_2020]) + SUMIF(tblMicrosoftUnits[Products],$A74, tblMicrosoftUnits[cv_2020]) + SUMIF(tblAppleUnits[Products],$A74, tblAppleUnits[cv_2020]) + SUMIF(tblAlibabaUnits[Products],$A74, tblAlibabaUnits[cv_2020]) + SUMIF(tblHuaweiUnits[Products],$A74, tblHuaweiUnits[cv_2020]) + SUMIF(tblTencentUnits[Products],$A74, tblTencentUnits[cv_2020]) + SUMIF(tblBaiduUnits[Products],$A74, tblBaiduUnits[cv_2020]) + SUMIF(tblByteDanceUnits[Products],$A74, tblByteDanceUnits[cv_2020]) + SUMIF(tblCloudAOUnits[Products],$A74, tblCloudAOUnits[cv_2020]) + SUMIF(tblTelecomUnits[Products],$A74, tblTelecomUnits[cv_2020]) + SUMIF(tblEnterpriseUnits[Products],$A74, tblEnterpriseUnits[cv_2020])</f>
        <v>0</v>
      </c>
      <c r="E74" s="8">
        <f xml:space="preserve"> SUMIF(tblGoogleUnits[Products],$A74, tblGoogleUnits[cv_2021]) + SUMIF(tblMetaUnits[Products],$A74, tblMetaUnits[cv_2021]) + SUMIF(tblAmazonUnits[Products],$A74, tblAmazonUnits[cv_2021]) + SUMIF(tblMicrosoftUnits[Products],$A74, tblMicrosoftUnits[cv_2021]) + SUMIF(tblAppleUnits[Products],$A74, tblAppleUnits[cv_2021]) + SUMIF(tblAlibabaUnits[Products],$A74, tblAlibabaUnits[cv_2021]) + SUMIF(tblHuaweiUnits[Products],$A74, tblHuaweiUnits[cv_2021]) + SUMIF(tblTencentUnits[Products],$A74, tblTencentUnits[cv_2021]) + SUMIF(tblBaiduUnits[Products],$A74, tblBaiduUnits[cv_2021]) + SUMIF(tblByteDanceUnits[Products],$A74, tblByteDanceUnits[cv_2021]) + SUMIF(tblCloudAOUnits[Products],$A74, tblCloudAOUnits[cv_2021]) + SUMIF(tblTelecomUnits[Products],$A74, tblTelecomUnits[cv_2021]) + SUMIF(tblEnterpriseUnits[Products],$A74, tblEnterpriseUnits[cv_2021])</f>
        <v>0</v>
      </c>
      <c r="F74" s="8">
        <f xml:space="preserve"> SUMIF(tblGoogleUnits[Products],$A74, tblGoogleUnits[cv_2022]) + SUMIF(tblMetaUnits[Products],$A74, tblMetaUnits[cv_2022]) + SUMIF(tblAmazonUnits[Products],$A74, tblAmazonUnits[cv_2022]) + SUMIF(tblMicrosoftUnits[Products],$A74, tblMicrosoftUnits[cv_2022]) + SUMIF(tblAppleUnits[Products],$A74, tblAppleUnits[cv_2022]) + SUMIF(tblAlibabaUnits[Products],$A74, tblAlibabaUnits[cv_2022]) + SUMIF(tblHuaweiUnits[Products],$A74, tblHuaweiUnits[cv_2022]) + SUMIF(tblTencentUnits[Products],$A74, tblTencentUnits[cv_2022]) + SUMIF(tblBaiduUnits[Products],$A74, tblBaiduUnits[cv_2022]) + SUMIF(tblByteDanceUnits[Products],$A74, tblByteDanceUnits[cv_2022]) + SUMIF(tblCloudAOUnits[Products],$A74, tblCloudAOUnits[cv_2022]) + SUMIF(tblTelecomUnits[Products],$A74, tblTelecomUnits[cv_2022]) + SUMIF(tblEnterpriseUnits[Products],$A74, tblEnterpriseUnits[cv_2022])</f>
        <v>0</v>
      </c>
      <c r="G74" s="8">
        <f xml:space="preserve"> SUMIF(tblGoogleUnits[Products],$A74, tblGoogleUnits[cv_2023]) + SUMIF(tblMetaUnits[Products],$A74, tblMetaUnits[cv_2023]) + SUMIF(tblAmazonUnits[Products],$A74, tblAmazonUnits[cv_2023]) + SUMIF(tblMicrosoftUnits[Products],$A74, tblMicrosoftUnits[cv_2023]) + SUMIF(tblAppleUnits[Products],$A74, tblAppleUnits[cv_2023]) + SUMIF(tblAlibabaUnits[Products],$A74, tblAlibabaUnits[cv_2023]) + SUMIF(tblHuaweiUnits[Products],$A74, tblHuaweiUnits[cv_2023]) + SUMIF(tblTencentUnits[Products],$A74, tblTencentUnits[cv_2023]) + SUMIF(tblBaiduUnits[Products],$A74, tblBaiduUnits[cv_2023]) + SUMIF(tblByteDanceUnits[Products],$A74, tblByteDanceUnits[cv_2023]) + SUMIF(tblCloudAOUnits[Products],$A74, tblCloudAOUnits[cv_2023]) + SUMIF(tblTelecomUnits[Products],$A74, tblTelecomUnits[cv_2023]) + SUMIF(tblEnterpriseUnits[Products],$A74, tblEnterpriseUnits[cv_2023])</f>
        <v>0</v>
      </c>
      <c r="H74" s="8">
        <f xml:space="preserve"> SUMIF(tblGoogleUnits[Products],$A74, tblGoogleUnits[cv_2024]) + SUMIF(tblMetaUnits[Products],$A74, tblMetaUnits[cv_2024]) + SUMIF(tblAmazonUnits[Products],$A74, tblAmazonUnits[cv_2024]) + SUMIF(tblMicrosoftUnits[Products],$A74, tblMicrosoftUnits[cv_2024]) + SUMIF(tblAppleUnits[Products],$A74, tblAppleUnits[cv_2024]) + SUMIF(tblAlibabaUnits[Products],$A74, tblAlibabaUnits[cv_2024]) + SUMIF(tblHuaweiUnits[Products],$A74, tblHuaweiUnits[cv_2024]) + SUMIF(tblTencentUnits[Products],$A74, tblTencentUnits[cv_2024]) + SUMIF(tblBaiduUnits[Products],$A74, tblBaiduUnits[cv_2024]) + SUMIF(tblByteDanceUnits[Products],$A74, tblByteDanceUnits[cv_2024]) + SUMIF(tblCloudAOUnits[Products],$A74, tblCloudAOUnits[cv_2024]) + SUMIF(tblTelecomUnits[Products],$A74, tblTelecomUnits[cv_2024]) + SUMIF(tblEnterpriseUnits[Products],$A74, tblEnterpriseUnits[cv_2024])</f>
        <v>0</v>
      </c>
      <c r="I74" s="8">
        <f xml:space="preserve"> SUMIF(tblGoogleUnits[Products],$A74, tblGoogleUnits[cv_2025]) + SUMIF(tblMetaUnits[Products],$A74, tblMetaUnits[cv_2025]) + SUMIF(tblAmazonUnits[Products],$A74, tblAmazonUnits[cv_2025]) + SUMIF(tblMicrosoftUnits[Products],$A74, tblMicrosoftUnits[cv_2025]) + SUMIF(tblAppleUnits[Products],$A74, tblAppleUnits[cv_2025]) + SUMIF(tblAlibabaUnits[Products],$A74, tblAlibabaUnits[cv_2025]) + SUMIF(tblHuaweiUnits[Products],$A74, tblHuaweiUnits[cv_2025]) + SUMIF(tblTencentUnits[Products],$A74, tblTencentUnits[cv_2025]) + SUMIF(tblBaiduUnits[Products],$A74, tblBaiduUnits[cv_2025]) + SUMIF(tblByteDanceUnits[Products],$A74, tblByteDanceUnits[cv_2025]) + SUMIF(tblCloudAOUnits[Products],$A74, tblCloudAOUnits[cv_2025]) + SUMIF(tblTelecomUnits[Products],$A74, tblTelecomUnits[cv_2025]) + SUMIF(tblEnterpriseUnits[Products],$A74, tblEnterpriseUnits[cv_2025])</f>
        <v>0</v>
      </c>
      <c r="J74" s="8">
        <f xml:space="preserve"> SUMIF(tblGoogleUnits[Products],$A74, tblGoogleUnits[cv_2026]) + SUMIF(tblMetaUnits[Products],$A74, tblMetaUnits[cv_2026]) + SUMIF(tblAmazonUnits[Products],$A74, tblAmazonUnits[cv_2026]) + SUMIF(tblMicrosoftUnits[Products],$A74, tblMicrosoftUnits[cv_2026]) + SUMIF(tblAppleUnits[Products],$A74, tblAppleUnits[cv_2026]) + SUMIF(tblAlibabaUnits[Products],$A74, tblAlibabaUnits[cv_2026]) + SUMIF(tblHuaweiUnits[Products],$A74, tblHuaweiUnits[cv_2026]) + SUMIF(tblTencentUnits[Products],$A74, tblTencentUnits[cv_2026]) + SUMIF(tblBaiduUnits[Products],$A74, tblBaiduUnits[cv_2026]) + SUMIF(tblByteDanceUnits[Products],$A74, tblByteDanceUnits[cv_2026]) + SUMIF(tblCloudAOUnits[Products],$A74, tblCloudAOUnits[cv_2026]) + SUMIF(tblTelecomUnits[Products],$A74, tblTelecomUnits[cv_2026]) + SUMIF(tblEnterpriseUnits[Products],$A74, tblEnterpriseUnits[cv_2026])</f>
        <v>0</v>
      </c>
      <c r="K74" s="8">
        <f xml:space="preserve"> SUMIF(tblGoogleUnits[Products],$A74, tblGoogleUnits[cv_2027]) + SUMIF(tblMetaUnits[Products],$A74, tblMetaUnits[cv_2027]) + SUMIF(tblAmazonUnits[Products],$A74, tblAmazonUnits[cv_2027]) + SUMIF(tblMicrosoftUnits[Products],$A74, tblMicrosoftUnits[cv_2027]) + SUMIF(tblAppleUnits[Products],$A74, tblAppleUnits[cv_2027]) + SUMIF(tblAlibabaUnits[Products],$A74, tblAlibabaUnits[cv_2027]) + SUMIF(tblHuaweiUnits[Products],$A74, tblHuaweiUnits[cv_2027]) + SUMIF(tblTencentUnits[Products],$A74, tblTencentUnits[cv_2027]) + SUMIF(tblBaiduUnits[Products],$A74, tblBaiduUnits[cv_2027]) + SUMIF(tblByteDanceUnits[Products],$A74, tblByteDanceUnits[cv_2027]) + SUMIF(tblCloudAOUnits[Products],$A74, tblCloudAOUnits[cv_2027]) + SUMIF(tblTelecomUnits[Products],$A74, tblTelecomUnits[cv_2027]) + SUMIF(tblEnterpriseUnits[Products],$A74, tblEnterpriseUnits[cv_2027])</f>
        <v>0</v>
      </c>
      <c r="L74" s="8">
        <f xml:space="preserve"> SUMIF(tblGoogleUnits[Products],$A74, tblGoogleUnits[cv_2028]) + SUMIF(tblMetaUnits[Products],$A74, tblMetaUnits[cv_2028]) + SUMIF(tblAmazonUnits[Products],$A74, tblAmazonUnits[cv_2028]) + SUMIF(tblMicrosoftUnits[Products],$A74, tblMicrosoftUnits[cv_2028]) + SUMIF(tblAppleUnits[Products],$A74, tblAppleUnits[cv_2028]) + SUMIF(tblAlibabaUnits[Products],$A74, tblAlibabaUnits[cv_2028]) + SUMIF(tblHuaweiUnits[Products],$A74, tblHuaweiUnits[cv_2028]) + SUMIF(tblTencentUnits[Products],$A74, tblTencentUnits[cv_2028]) + SUMIF(tblBaiduUnits[Products],$A74, tblBaiduUnits[cv_2028]) + SUMIF(tblByteDanceUnits[Products],$A74, tblByteDanceUnits[cv_2028]) + SUMIF(tblCloudAOUnits[Products],$A74, tblCloudAOUnits[cv_2028]) + SUMIF(tblTelecomUnits[Products],$A74, tblTelecomUnits[cv_2028]) + SUMIF(tblEnterpriseUnits[Products],$A74, tblEnterpriseUnits[cv_2028])</f>
        <v>0</v>
      </c>
      <c r="M74" s="105" cm="1">
        <f t="array" ref="M74">INDEX(tblPrices[cv_2018], MATCH($A74,tblPrices[Products],0), 0)</f>
        <v>3113.2837037037038</v>
      </c>
      <c r="N74" s="105" cm="1">
        <f t="array" ref="N74">INDEX(tblPrices[cv_2019], MATCH($A74,tblPrices[Products],0), 0)</f>
        <v>2278.8299701530491</v>
      </c>
      <c r="O74" s="105" cm="1">
        <f t="array" ref="O74">INDEX(tblPrices[cv_2020], MATCH($A74,tblPrices[Products],0), 0)</f>
        <v>0</v>
      </c>
      <c r="P74" s="105" cm="1">
        <f t="array" ref="P74">INDEX(tblPrices[cv_2021], MATCH($A74,tblPrices[Products],0), 0)</f>
        <v>0</v>
      </c>
      <c r="Q74" s="105" cm="1">
        <f t="array" ref="Q74">INDEX(tblPrices[cv_2022], MATCH($A74,tblPrices[Products],0), 0)</f>
        <v>0</v>
      </c>
      <c r="R74" s="105" cm="1">
        <f t="array" ref="R74">INDEX(tblPrices[cv_2023], MATCH($A74,tblPrices[Products],0), 0)</f>
        <v>0</v>
      </c>
      <c r="S74" s="105" cm="1">
        <f t="array" ref="S74">INDEX(tblPrices[cv_2024], MATCH($A74,tblPrices[Products],0), 0)</f>
        <v>0</v>
      </c>
      <c r="T74" s="105" cm="1">
        <f t="array" ref="T74">INDEX(tblPrices[cv_2025], MATCH($A74,tblPrices[Products],0), 0)</f>
        <v>0</v>
      </c>
      <c r="U74" s="105" cm="1">
        <f t="array" ref="U74">INDEX(tblPrices[cv_2026], MATCH($A74,tblPrices[Products],0), 0)</f>
        <v>0</v>
      </c>
      <c r="V74" s="105" cm="1">
        <f t="array" ref="V74">INDEX(tblPrices[cv_2027], MATCH($A74,tblPrices[Products],0), 0)</f>
        <v>0</v>
      </c>
      <c r="W74" s="105" cm="1">
        <f t="array" ref="W74">INDEX(tblPrices[cv_2028], MATCH($A74,tblPrices[Products],0), 0)</f>
        <v>0</v>
      </c>
      <c r="X74" s="106" cm="1">
        <f t="array" ref="X74">INDEX(tblPrices[cv_2018], MATCH($A74,tblPrices[Products],0), 0)* tblForecast[[#This Row],[un_2018]]/10^6</f>
        <v>18.835366407407406</v>
      </c>
      <c r="Y74" s="106" cm="1">
        <f t="array" ref="Y74">INDEX(tblPrices[cv_2019], MATCH($A74,tblPrices[Products],0), 0)* tblForecast[[#This Row],[un_2019]]/10^6</f>
        <v>48.730500081752801</v>
      </c>
      <c r="Z74" s="106" cm="1">
        <f t="array" ref="Z74">INDEX(tblPrices[cv_2020], MATCH($A74,tblPrices[Products],0), 0)* tblForecast[[#This Row],[un_2020]]/10^6</f>
        <v>0</v>
      </c>
      <c r="AA74" s="106" cm="1">
        <f t="array" ref="AA74">INDEX(tblPrices[cv_2021], MATCH($A74,tblPrices[Products],0), 0)* tblForecast[[#This Row],[un_2021]]/10^6</f>
        <v>0</v>
      </c>
      <c r="AB74" s="106" cm="1">
        <f t="array" ref="AB74">INDEX(tblPrices[cv_2022], MATCH($A74,tblPrices[Products],0), 0)* tblForecast[[#This Row],[un_2022]]/10^6</f>
        <v>0</v>
      </c>
      <c r="AC74" s="106" cm="1">
        <f t="array" ref="AC74">INDEX(tblPrices[cv_2023], MATCH($A74,tblPrices[Products],0), 0)* tblForecast[[#This Row],[un_2023]]/10^6</f>
        <v>0</v>
      </c>
      <c r="AD74" s="106" cm="1">
        <f t="array" ref="AD74">INDEX(tblPrices[cv_2024], MATCH($A74,tblPrices[Products],0), 0)* tblForecast[[#This Row],[un_2024]]/10^6</f>
        <v>0</v>
      </c>
      <c r="AE74" s="106" cm="1">
        <f t="array" ref="AE74">INDEX(tblPrices[cv_2025], MATCH($A74,tblPrices[Products],0), 0)* tblForecast[[#This Row],[un_2025]]/10^6</f>
        <v>0</v>
      </c>
      <c r="AF74" s="106" cm="1">
        <f t="array" ref="AF74">INDEX(tblPrices[cv_2026], MATCH($A74,tblPrices[Products],0), 0)* tblForecast[[#This Row],[un_2026]]/10^6</f>
        <v>0</v>
      </c>
      <c r="AG74" s="106" cm="1">
        <f t="array" ref="AG74">INDEX(tblPrices[cv_2027], MATCH($A74,tblPrices[Products],0), 0)* tblForecast[[#This Row],[un_2027]]/10^6</f>
        <v>0</v>
      </c>
      <c r="AH74" s="106" cm="1">
        <f t="array" ref="AH74">INDEX(tblPrices[cv_2028], MATCH($A74,tblPrices[Products],0), 0)* tblForecast[[#This Row],[un_2028]]/10^6</f>
        <v>0</v>
      </c>
      <c r="AI74" s="60">
        <f>VLOOKUP(A74,Products!$A$11:$F$110,6,FALSE)</f>
        <v>100</v>
      </c>
    </row>
    <row r="75" spans="1:35">
      <c r="A75" s="12" t="s">
        <v>185</v>
      </c>
      <c r="B75" s="8">
        <f xml:space="preserve"> SUMIF(tblGoogleUnits[Products],$A75, tblGoogleUnits[cv_2018]) + SUMIF(tblMetaUnits[Products],$A75, tblMetaUnits[cv_2018]) + SUMIF(tblAmazonUnits[Products],$A75, tblAmazonUnits[cv_2018]) + SUMIF(tblMicrosoftUnits[Products],$A75, tblMicrosoftUnits[cv_2018]) + SUMIF(tblAppleUnits[Products],$A75, tblAppleUnits[cv_2018]) + SUMIF(tblAlibabaUnits[Products],$A75, tblAlibabaUnits[cv_2018]) + SUMIF(tblHuaweiUnits[Products],$A75, tblHuaweiUnits[cv_2018]) + SUMIF(tblTencentUnits[Products],$A75, tblTencentUnits[cv_2018]) + SUMIF(tblBaiduUnits[Products],$A75, tblBaiduUnits[cv_2018]) + SUMIF(tblByteDanceUnits[Products],$A75, tblByteDanceUnits[cv_2018]) + SUMIF(tblCloudAOUnits[Products],$A75, tblCloudAOUnits[cv_2018]) + SUMIF(tblTelecomUnits[Products],$A75, tblTelecomUnits[cv_2018]) + SUMIF(tblEnterpriseUnits[Products],$A75, tblEnterpriseUnits[cv_2018])</f>
        <v>4050</v>
      </c>
      <c r="C75" s="8">
        <f xml:space="preserve"> SUMIF(tblGoogleUnits[Products],$A75, tblGoogleUnits[cv_2019]) + SUMIF(tblMetaUnits[Products],$A75, tblMetaUnits[cv_2019]) + SUMIF(tblAmazonUnits[Products],$A75, tblAmazonUnits[cv_2019]) + SUMIF(tblMicrosoftUnits[Products],$A75, tblMicrosoftUnits[cv_2019]) + SUMIF(tblAppleUnits[Products],$A75, tblAppleUnits[cv_2019]) + SUMIF(tblAlibabaUnits[Products],$A75, tblAlibabaUnits[cv_2019]) + SUMIF(tblHuaweiUnits[Products],$A75, tblHuaweiUnits[cv_2019]) + SUMIF(tblTencentUnits[Products],$A75, tblTencentUnits[cv_2019]) + SUMIF(tblBaiduUnits[Products],$A75, tblBaiduUnits[cv_2019]) + SUMIF(tblByteDanceUnits[Products],$A75, tblByteDanceUnits[cv_2019]) + SUMIF(tblCloudAOUnits[Products],$A75, tblCloudAOUnits[cv_2019]) + SUMIF(tblTelecomUnits[Products],$A75, tblTelecomUnits[cv_2019]) + SUMIF(tblEnterpriseUnits[Products],$A75, tblEnterpriseUnits[cv_2019])</f>
        <v>5350</v>
      </c>
      <c r="D75" s="8">
        <f xml:space="preserve"> SUMIF(tblGoogleUnits[Products],$A75, tblGoogleUnits[cv_2020]) + SUMIF(tblMetaUnits[Products],$A75, tblMetaUnits[cv_2020]) + SUMIF(tblAmazonUnits[Products],$A75, tblAmazonUnits[cv_2020]) + SUMIF(tblMicrosoftUnits[Products],$A75, tblMicrosoftUnits[cv_2020]) + SUMIF(tblAppleUnits[Products],$A75, tblAppleUnits[cv_2020]) + SUMIF(tblAlibabaUnits[Products],$A75, tblAlibabaUnits[cv_2020]) + SUMIF(tblHuaweiUnits[Products],$A75, tblHuaweiUnits[cv_2020]) + SUMIF(tblTencentUnits[Products],$A75, tblTencentUnits[cv_2020]) + SUMIF(tblBaiduUnits[Products],$A75, tblBaiduUnits[cv_2020]) + SUMIF(tblByteDanceUnits[Products],$A75, tblByteDanceUnits[cv_2020]) + SUMIF(tblCloudAOUnits[Products],$A75, tblCloudAOUnits[cv_2020]) + SUMIF(tblTelecomUnits[Products],$A75, tblTelecomUnits[cv_2020]) + SUMIF(tblEnterpriseUnits[Products],$A75, tblEnterpriseUnits[cv_2020])</f>
        <v>0</v>
      </c>
      <c r="E75" s="8">
        <f xml:space="preserve"> SUMIF(tblGoogleUnits[Products],$A75, tblGoogleUnits[cv_2021]) + SUMIF(tblMetaUnits[Products],$A75, tblMetaUnits[cv_2021]) + SUMIF(tblAmazonUnits[Products],$A75, tblAmazonUnits[cv_2021]) + SUMIF(tblMicrosoftUnits[Products],$A75, tblMicrosoftUnits[cv_2021]) + SUMIF(tblAppleUnits[Products],$A75, tblAppleUnits[cv_2021]) + SUMIF(tblAlibabaUnits[Products],$A75, tblAlibabaUnits[cv_2021]) + SUMIF(tblHuaweiUnits[Products],$A75, tblHuaweiUnits[cv_2021]) + SUMIF(tblTencentUnits[Products],$A75, tblTencentUnits[cv_2021]) + SUMIF(tblBaiduUnits[Products],$A75, tblBaiduUnits[cv_2021]) + SUMIF(tblByteDanceUnits[Products],$A75, tblByteDanceUnits[cv_2021]) + SUMIF(tblCloudAOUnits[Products],$A75, tblCloudAOUnits[cv_2021]) + SUMIF(tblTelecomUnits[Products],$A75, tblTelecomUnits[cv_2021]) + SUMIF(tblEnterpriseUnits[Products],$A75, tblEnterpriseUnits[cv_2021])</f>
        <v>0</v>
      </c>
      <c r="F75" s="8">
        <f xml:space="preserve"> SUMIF(tblGoogleUnits[Products],$A75, tblGoogleUnits[cv_2022]) + SUMIF(tblMetaUnits[Products],$A75, tblMetaUnits[cv_2022]) + SUMIF(tblAmazonUnits[Products],$A75, tblAmazonUnits[cv_2022]) + SUMIF(tblMicrosoftUnits[Products],$A75, tblMicrosoftUnits[cv_2022]) + SUMIF(tblAppleUnits[Products],$A75, tblAppleUnits[cv_2022]) + SUMIF(tblAlibabaUnits[Products],$A75, tblAlibabaUnits[cv_2022]) + SUMIF(tblHuaweiUnits[Products],$A75, tblHuaweiUnits[cv_2022]) + SUMIF(tblTencentUnits[Products],$A75, tblTencentUnits[cv_2022]) + SUMIF(tblBaiduUnits[Products],$A75, tblBaiduUnits[cv_2022]) + SUMIF(tblByteDanceUnits[Products],$A75, tblByteDanceUnits[cv_2022]) + SUMIF(tblCloudAOUnits[Products],$A75, tblCloudAOUnits[cv_2022]) + SUMIF(tblTelecomUnits[Products],$A75, tblTelecomUnits[cv_2022]) + SUMIF(tblEnterpriseUnits[Products],$A75, tblEnterpriseUnits[cv_2022])</f>
        <v>0</v>
      </c>
      <c r="G75" s="8">
        <f xml:space="preserve"> SUMIF(tblGoogleUnits[Products],$A75, tblGoogleUnits[cv_2023]) + SUMIF(tblMetaUnits[Products],$A75, tblMetaUnits[cv_2023]) + SUMIF(tblAmazonUnits[Products],$A75, tblAmazonUnits[cv_2023]) + SUMIF(tblMicrosoftUnits[Products],$A75, tblMicrosoftUnits[cv_2023]) + SUMIF(tblAppleUnits[Products],$A75, tblAppleUnits[cv_2023]) + SUMIF(tblAlibabaUnits[Products],$A75, tblAlibabaUnits[cv_2023]) + SUMIF(tblHuaweiUnits[Products],$A75, tblHuaweiUnits[cv_2023]) + SUMIF(tblTencentUnits[Products],$A75, tblTencentUnits[cv_2023]) + SUMIF(tblBaiduUnits[Products],$A75, tblBaiduUnits[cv_2023]) + SUMIF(tblByteDanceUnits[Products],$A75, tblByteDanceUnits[cv_2023]) + SUMIF(tblCloudAOUnits[Products],$A75, tblCloudAOUnits[cv_2023]) + SUMIF(tblTelecomUnits[Products],$A75, tblTelecomUnits[cv_2023]) + SUMIF(tblEnterpriseUnits[Products],$A75, tblEnterpriseUnits[cv_2023])</f>
        <v>0</v>
      </c>
      <c r="H75" s="8">
        <f xml:space="preserve"> SUMIF(tblGoogleUnits[Products],$A75, tblGoogleUnits[cv_2024]) + SUMIF(tblMetaUnits[Products],$A75, tblMetaUnits[cv_2024]) + SUMIF(tblAmazonUnits[Products],$A75, tblAmazonUnits[cv_2024]) + SUMIF(tblMicrosoftUnits[Products],$A75, tblMicrosoftUnits[cv_2024]) + SUMIF(tblAppleUnits[Products],$A75, tblAppleUnits[cv_2024]) + SUMIF(tblAlibabaUnits[Products],$A75, tblAlibabaUnits[cv_2024]) + SUMIF(tblHuaweiUnits[Products],$A75, tblHuaweiUnits[cv_2024]) + SUMIF(tblTencentUnits[Products],$A75, tblTencentUnits[cv_2024]) + SUMIF(tblBaiduUnits[Products],$A75, tblBaiduUnits[cv_2024]) + SUMIF(tblByteDanceUnits[Products],$A75, tblByteDanceUnits[cv_2024]) + SUMIF(tblCloudAOUnits[Products],$A75, tblCloudAOUnits[cv_2024]) + SUMIF(tblTelecomUnits[Products],$A75, tblTelecomUnits[cv_2024]) + SUMIF(tblEnterpriseUnits[Products],$A75, tblEnterpriseUnits[cv_2024])</f>
        <v>0</v>
      </c>
      <c r="I75" s="8">
        <f xml:space="preserve"> SUMIF(tblGoogleUnits[Products],$A75, tblGoogleUnits[cv_2025]) + SUMIF(tblMetaUnits[Products],$A75, tblMetaUnits[cv_2025]) + SUMIF(tblAmazonUnits[Products],$A75, tblAmazonUnits[cv_2025]) + SUMIF(tblMicrosoftUnits[Products],$A75, tblMicrosoftUnits[cv_2025]) + SUMIF(tblAppleUnits[Products],$A75, tblAppleUnits[cv_2025]) + SUMIF(tblAlibabaUnits[Products],$A75, tblAlibabaUnits[cv_2025]) + SUMIF(tblHuaweiUnits[Products],$A75, tblHuaweiUnits[cv_2025]) + SUMIF(tblTencentUnits[Products],$A75, tblTencentUnits[cv_2025]) + SUMIF(tblBaiduUnits[Products],$A75, tblBaiduUnits[cv_2025]) + SUMIF(tblByteDanceUnits[Products],$A75, tblByteDanceUnits[cv_2025]) + SUMIF(tblCloudAOUnits[Products],$A75, tblCloudAOUnits[cv_2025]) + SUMIF(tblTelecomUnits[Products],$A75, tblTelecomUnits[cv_2025]) + SUMIF(tblEnterpriseUnits[Products],$A75, tblEnterpriseUnits[cv_2025])</f>
        <v>0</v>
      </c>
      <c r="J75" s="8">
        <f xml:space="preserve"> SUMIF(tblGoogleUnits[Products],$A75, tblGoogleUnits[cv_2026]) + SUMIF(tblMetaUnits[Products],$A75, tblMetaUnits[cv_2026]) + SUMIF(tblAmazonUnits[Products],$A75, tblAmazonUnits[cv_2026]) + SUMIF(tblMicrosoftUnits[Products],$A75, tblMicrosoftUnits[cv_2026]) + SUMIF(tblAppleUnits[Products],$A75, tblAppleUnits[cv_2026]) + SUMIF(tblAlibabaUnits[Products],$A75, tblAlibabaUnits[cv_2026]) + SUMIF(tblHuaweiUnits[Products],$A75, tblHuaweiUnits[cv_2026]) + SUMIF(tblTencentUnits[Products],$A75, tblTencentUnits[cv_2026]) + SUMIF(tblBaiduUnits[Products],$A75, tblBaiduUnits[cv_2026]) + SUMIF(tblByteDanceUnits[Products],$A75, tblByteDanceUnits[cv_2026]) + SUMIF(tblCloudAOUnits[Products],$A75, tblCloudAOUnits[cv_2026]) + SUMIF(tblTelecomUnits[Products],$A75, tblTelecomUnits[cv_2026]) + SUMIF(tblEnterpriseUnits[Products],$A75, tblEnterpriseUnits[cv_2026])</f>
        <v>0</v>
      </c>
      <c r="K75" s="8">
        <f xml:space="preserve"> SUMIF(tblGoogleUnits[Products],$A75, tblGoogleUnits[cv_2027]) + SUMIF(tblMetaUnits[Products],$A75, tblMetaUnits[cv_2027]) + SUMIF(tblAmazonUnits[Products],$A75, tblAmazonUnits[cv_2027]) + SUMIF(tblMicrosoftUnits[Products],$A75, tblMicrosoftUnits[cv_2027]) + SUMIF(tblAppleUnits[Products],$A75, tblAppleUnits[cv_2027]) + SUMIF(tblAlibabaUnits[Products],$A75, tblAlibabaUnits[cv_2027]) + SUMIF(tblHuaweiUnits[Products],$A75, tblHuaweiUnits[cv_2027]) + SUMIF(tblTencentUnits[Products],$A75, tblTencentUnits[cv_2027]) + SUMIF(tblBaiduUnits[Products],$A75, tblBaiduUnits[cv_2027]) + SUMIF(tblByteDanceUnits[Products],$A75, tblByteDanceUnits[cv_2027]) + SUMIF(tblCloudAOUnits[Products],$A75, tblCloudAOUnits[cv_2027]) + SUMIF(tblTelecomUnits[Products],$A75, tblTelecomUnits[cv_2027]) + SUMIF(tblEnterpriseUnits[Products],$A75, tblEnterpriseUnits[cv_2027])</f>
        <v>0</v>
      </c>
      <c r="L75" s="8">
        <f xml:space="preserve"> SUMIF(tblGoogleUnits[Products],$A75, tblGoogleUnits[cv_2028]) + SUMIF(tblMetaUnits[Products],$A75, tblMetaUnits[cv_2028]) + SUMIF(tblAmazonUnits[Products],$A75, tblAmazonUnits[cv_2028]) + SUMIF(tblMicrosoftUnits[Products],$A75, tblMicrosoftUnits[cv_2028]) + SUMIF(tblAppleUnits[Products],$A75, tblAppleUnits[cv_2028]) + SUMIF(tblAlibabaUnits[Products],$A75, tblAlibabaUnits[cv_2028]) + SUMIF(tblHuaweiUnits[Products],$A75, tblHuaweiUnits[cv_2028]) + SUMIF(tblTencentUnits[Products],$A75, tblTencentUnits[cv_2028]) + SUMIF(tblBaiduUnits[Products],$A75, tblBaiduUnits[cv_2028]) + SUMIF(tblByteDanceUnits[Products],$A75, tblByteDanceUnits[cv_2028]) + SUMIF(tblCloudAOUnits[Products],$A75, tblCloudAOUnits[cv_2028]) + SUMIF(tblTelecomUnits[Products],$A75, tblTelecomUnits[cv_2028]) + SUMIF(tblEnterpriseUnits[Products],$A75, tblEnterpriseUnits[cv_2028])</f>
        <v>0</v>
      </c>
      <c r="M75" s="105" cm="1">
        <f t="array" ref="M75">INDEX(tblPrices[cv_2018], MATCH($A75,tblPrices[Products],0), 0)</f>
        <v>4939.9288403201153</v>
      </c>
      <c r="N75" s="105" cm="1">
        <f t="array" ref="N75">INDEX(tblPrices[cv_2019], MATCH($A75,tblPrices[Products],0), 0)</f>
        <v>3852.056814832767</v>
      </c>
      <c r="O75" s="105" cm="1">
        <f t="array" ref="O75">INDEX(tblPrices[cv_2020], MATCH($A75,tblPrices[Products],0), 0)</f>
        <v>0</v>
      </c>
      <c r="P75" s="105" cm="1">
        <f t="array" ref="P75">INDEX(tblPrices[cv_2021], MATCH($A75,tblPrices[Products],0), 0)</f>
        <v>0</v>
      </c>
      <c r="Q75" s="105" cm="1">
        <f t="array" ref="Q75">INDEX(tblPrices[cv_2022], MATCH($A75,tblPrices[Products],0), 0)</f>
        <v>0</v>
      </c>
      <c r="R75" s="105" cm="1">
        <f t="array" ref="R75">INDEX(tblPrices[cv_2023], MATCH($A75,tblPrices[Products],0), 0)</f>
        <v>0</v>
      </c>
      <c r="S75" s="105" cm="1">
        <f t="array" ref="S75">INDEX(tblPrices[cv_2024], MATCH($A75,tblPrices[Products],0), 0)</f>
        <v>0</v>
      </c>
      <c r="T75" s="105" cm="1">
        <f t="array" ref="T75">INDEX(tblPrices[cv_2025], MATCH($A75,tblPrices[Products],0), 0)</f>
        <v>0</v>
      </c>
      <c r="U75" s="105" cm="1">
        <f t="array" ref="U75">INDEX(tblPrices[cv_2026], MATCH($A75,tblPrices[Products],0), 0)</f>
        <v>0</v>
      </c>
      <c r="V75" s="105" cm="1">
        <f t="array" ref="V75">INDEX(tblPrices[cv_2027], MATCH($A75,tblPrices[Products],0), 0)</f>
        <v>0</v>
      </c>
      <c r="W75" s="105" cm="1">
        <f t="array" ref="W75">INDEX(tblPrices[cv_2028], MATCH($A75,tblPrices[Products],0), 0)</f>
        <v>0</v>
      </c>
      <c r="X75" s="106" cm="1">
        <f t="array" ref="X75">INDEX(tblPrices[cv_2018], MATCH($A75,tblPrices[Products],0), 0)* tblForecast[[#This Row],[un_2018]]/10^6</f>
        <v>20.006711803296465</v>
      </c>
      <c r="Y75" s="106" cm="1">
        <f t="array" ref="Y75">INDEX(tblPrices[cv_2019], MATCH($A75,tblPrices[Products],0), 0)* tblForecast[[#This Row],[un_2019]]/10^6</f>
        <v>20.608503959355303</v>
      </c>
      <c r="Z75" s="106" cm="1">
        <f t="array" ref="Z75">INDEX(tblPrices[cv_2020], MATCH($A75,tblPrices[Products],0), 0)* tblForecast[[#This Row],[un_2020]]/10^6</f>
        <v>0</v>
      </c>
      <c r="AA75" s="106" cm="1">
        <f t="array" ref="AA75">INDEX(tblPrices[cv_2021], MATCH($A75,tblPrices[Products],0), 0)* tblForecast[[#This Row],[un_2021]]/10^6</f>
        <v>0</v>
      </c>
      <c r="AB75" s="106" cm="1">
        <f t="array" ref="AB75">INDEX(tblPrices[cv_2022], MATCH($A75,tblPrices[Products],0), 0)* tblForecast[[#This Row],[un_2022]]/10^6</f>
        <v>0</v>
      </c>
      <c r="AC75" s="106" cm="1">
        <f t="array" ref="AC75">INDEX(tblPrices[cv_2023], MATCH($A75,tblPrices[Products],0), 0)* tblForecast[[#This Row],[un_2023]]/10^6</f>
        <v>0</v>
      </c>
      <c r="AD75" s="106" cm="1">
        <f t="array" ref="AD75">INDEX(tblPrices[cv_2024], MATCH($A75,tblPrices[Products],0), 0)* tblForecast[[#This Row],[un_2024]]/10^6</f>
        <v>0</v>
      </c>
      <c r="AE75" s="106" cm="1">
        <f t="array" ref="AE75">INDEX(tblPrices[cv_2025], MATCH($A75,tblPrices[Products],0), 0)* tblForecast[[#This Row],[un_2025]]/10^6</f>
        <v>0</v>
      </c>
      <c r="AF75" s="106" cm="1">
        <f t="array" ref="AF75">INDEX(tblPrices[cv_2026], MATCH($A75,tblPrices[Products],0), 0)* tblForecast[[#This Row],[un_2026]]/10^6</f>
        <v>0</v>
      </c>
      <c r="AG75" s="106" cm="1">
        <f t="array" ref="AG75">INDEX(tblPrices[cv_2027], MATCH($A75,tblPrices[Products],0), 0)* tblForecast[[#This Row],[un_2027]]/10^6</f>
        <v>0</v>
      </c>
      <c r="AH75" s="106" cm="1">
        <f t="array" ref="AH75">INDEX(tblPrices[cv_2028], MATCH($A75,tblPrices[Products],0), 0)* tblForecast[[#This Row],[un_2028]]/10^6</f>
        <v>0</v>
      </c>
      <c r="AI75" s="60">
        <f>VLOOKUP(A75,Products!$A$11:$F$110,6,FALSE)</f>
        <v>100</v>
      </c>
    </row>
    <row r="76" spans="1:35">
      <c r="A76" s="12" t="s">
        <v>186</v>
      </c>
      <c r="B76" s="8">
        <f xml:space="preserve"> SUMIF(tblGoogleUnits[Products],$A76, tblGoogleUnits[cv_2018]) + SUMIF(tblMetaUnits[Products],$A76, tblMetaUnits[cv_2018]) + SUMIF(tblAmazonUnits[Products],$A76, tblAmazonUnits[cv_2018]) + SUMIF(tblMicrosoftUnits[Products],$A76, tblMicrosoftUnits[cv_2018]) + SUMIF(tblAppleUnits[Products],$A76, tblAppleUnits[cv_2018]) + SUMIF(tblAlibabaUnits[Products],$A76, tblAlibabaUnits[cv_2018]) + SUMIF(tblHuaweiUnits[Products],$A76, tblHuaweiUnits[cv_2018]) + SUMIF(tblTencentUnits[Products],$A76, tblTencentUnits[cv_2018]) + SUMIF(tblBaiduUnits[Products],$A76, tblBaiduUnits[cv_2018]) + SUMIF(tblByteDanceUnits[Products],$A76, tblByteDanceUnits[cv_2018]) + SUMIF(tblCloudAOUnits[Products],$A76, tblCloudAOUnits[cv_2018]) + SUMIF(tblTelecomUnits[Products],$A76, tblTelecomUnits[cv_2018]) + SUMIF(tblEnterpriseUnits[Products],$A76, tblEnterpriseUnits[cv_2018])</f>
        <v>0</v>
      </c>
      <c r="C76" s="8">
        <f xml:space="preserve"> SUMIF(tblGoogleUnits[Products],$A76, tblGoogleUnits[cv_2019]) + SUMIF(tblMetaUnits[Products],$A76, tblMetaUnits[cv_2019]) + SUMIF(tblAmazonUnits[Products],$A76, tblAmazonUnits[cv_2019]) + SUMIF(tblMicrosoftUnits[Products],$A76, tblMicrosoftUnits[cv_2019]) + SUMIF(tblAppleUnits[Products],$A76, tblAppleUnits[cv_2019]) + SUMIF(tblAlibabaUnits[Products],$A76, tblAlibabaUnits[cv_2019]) + SUMIF(tblHuaweiUnits[Products],$A76, tblHuaweiUnits[cv_2019]) + SUMIF(tblTencentUnits[Products],$A76, tblTencentUnits[cv_2019]) + SUMIF(tblBaiduUnits[Products],$A76, tblBaiduUnits[cv_2019]) + SUMIF(tblByteDanceUnits[Products],$A76, tblByteDanceUnits[cv_2019]) + SUMIF(tblCloudAOUnits[Products],$A76, tblCloudAOUnits[cv_2019]) + SUMIF(tblTelecomUnits[Products],$A76, tblTelecomUnits[cv_2019]) + SUMIF(tblEnterpriseUnits[Products],$A76, tblEnterpriseUnits[cv_2019])</f>
        <v>0</v>
      </c>
      <c r="D76" s="8">
        <f xml:space="preserve"> SUMIF(tblGoogleUnits[Products],$A76, tblGoogleUnits[cv_2020]) + SUMIF(tblMetaUnits[Products],$A76, tblMetaUnits[cv_2020]) + SUMIF(tblAmazonUnits[Products],$A76, tblAmazonUnits[cv_2020]) + SUMIF(tblMicrosoftUnits[Products],$A76, tblMicrosoftUnits[cv_2020]) + SUMIF(tblAppleUnits[Products],$A76, tblAppleUnits[cv_2020]) + SUMIF(tblAlibabaUnits[Products],$A76, tblAlibabaUnits[cv_2020]) + SUMIF(tblHuaweiUnits[Products],$A76, tblHuaweiUnits[cv_2020]) + SUMIF(tblTencentUnits[Products],$A76, tblTencentUnits[cv_2020]) + SUMIF(tblBaiduUnits[Products],$A76, tblBaiduUnits[cv_2020]) + SUMIF(tblByteDanceUnits[Products],$A76, tblByteDanceUnits[cv_2020]) + SUMIF(tblCloudAOUnits[Products],$A76, tblCloudAOUnits[cv_2020]) + SUMIF(tblTelecomUnits[Products],$A76, tblTelecomUnits[cv_2020]) + SUMIF(tblEnterpriseUnits[Products],$A76, tblEnterpriseUnits[cv_2020])</f>
        <v>0</v>
      </c>
      <c r="E76" s="8">
        <f xml:space="preserve"> SUMIF(tblGoogleUnits[Products],$A76, tblGoogleUnits[cv_2021]) + SUMIF(tblMetaUnits[Products],$A76, tblMetaUnits[cv_2021]) + SUMIF(tblAmazonUnits[Products],$A76, tblAmazonUnits[cv_2021]) + SUMIF(tblMicrosoftUnits[Products],$A76, tblMicrosoftUnits[cv_2021]) + SUMIF(tblAppleUnits[Products],$A76, tblAppleUnits[cv_2021]) + SUMIF(tblAlibabaUnits[Products],$A76, tblAlibabaUnits[cv_2021]) + SUMIF(tblHuaweiUnits[Products],$A76, tblHuaweiUnits[cv_2021]) + SUMIF(tblTencentUnits[Products],$A76, tblTencentUnits[cv_2021]) + SUMIF(tblBaiduUnits[Products],$A76, tblBaiduUnits[cv_2021]) + SUMIF(tblByteDanceUnits[Products],$A76, tblByteDanceUnits[cv_2021]) + SUMIF(tblCloudAOUnits[Products],$A76, tblCloudAOUnits[cv_2021]) + SUMIF(tblTelecomUnits[Products],$A76, tblTelecomUnits[cv_2021]) + SUMIF(tblEnterpriseUnits[Products],$A76, tblEnterpriseUnits[cv_2021])</f>
        <v>0</v>
      </c>
      <c r="F76" s="8">
        <f xml:space="preserve"> SUMIF(tblGoogleUnits[Products],$A76, tblGoogleUnits[cv_2022]) + SUMIF(tblMetaUnits[Products],$A76, tblMetaUnits[cv_2022]) + SUMIF(tblAmazonUnits[Products],$A76, tblAmazonUnits[cv_2022]) + SUMIF(tblMicrosoftUnits[Products],$A76, tblMicrosoftUnits[cv_2022]) + SUMIF(tblAppleUnits[Products],$A76, tblAppleUnits[cv_2022]) + SUMIF(tblAlibabaUnits[Products],$A76, tblAlibabaUnits[cv_2022]) + SUMIF(tblHuaweiUnits[Products],$A76, tblHuaweiUnits[cv_2022]) + SUMIF(tblTencentUnits[Products],$A76, tblTencentUnits[cv_2022]) + SUMIF(tblBaiduUnits[Products],$A76, tblBaiduUnits[cv_2022]) + SUMIF(tblByteDanceUnits[Products],$A76, tblByteDanceUnits[cv_2022]) + SUMIF(tblCloudAOUnits[Products],$A76, tblCloudAOUnits[cv_2022]) + SUMIF(tblTelecomUnits[Products],$A76, tblTelecomUnits[cv_2022]) + SUMIF(tblEnterpriseUnits[Products],$A76, tblEnterpriseUnits[cv_2022])</f>
        <v>0</v>
      </c>
      <c r="G76" s="8">
        <f xml:space="preserve"> SUMIF(tblGoogleUnits[Products],$A76, tblGoogleUnits[cv_2023]) + SUMIF(tblMetaUnits[Products],$A76, tblMetaUnits[cv_2023]) + SUMIF(tblAmazonUnits[Products],$A76, tblAmazonUnits[cv_2023]) + SUMIF(tblMicrosoftUnits[Products],$A76, tblMicrosoftUnits[cv_2023]) + SUMIF(tblAppleUnits[Products],$A76, tblAppleUnits[cv_2023]) + SUMIF(tblAlibabaUnits[Products],$A76, tblAlibabaUnits[cv_2023]) + SUMIF(tblHuaweiUnits[Products],$A76, tblHuaweiUnits[cv_2023]) + SUMIF(tblTencentUnits[Products],$A76, tblTencentUnits[cv_2023]) + SUMIF(tblBaiduUnits[Products],$A76, tblBaiduUnits[cv_2023]) + SUMIF(tblByteDanceUnits[Products],$A76, tblByteDanceUnits[cv_2023]) + SUMIF(tblCloudAOUnits[Products],$A76, tblCloudAOUnits[cv_2023]) + SUMIF(tblTelecomUnits[Products],$A76, tblTelecomUnits[cv_2023]) + SUMIF(tblEnterpriseUnits[Products],$A76, tblEnterpriseUnits[cv_2023])</f>
        <v>0</v>
      </c>
      <c r="H76" s="8">
        <f xml:space="preserve"> SUMIF(tblGoogleUnits[Products],$A76, tblGoogleUnits[cv_2024]) + SUMIF(tblMetaUnits[Products],$A76, tblMetaUnits[cv_2024]) + SUMIF(tblAmazonUnits[Products],$A76, tblAmazonUnits[cv_2024]) + SUMIF(tblMicrosoftUnits[Products],$A76, tblMicrosoftUnits[cv_2024]) + SUMIF(tblAppleUnits[Products],$A76, tblAppleUnits[cv_2024]) + SUMIF(tblAlibabaUnits[Products],$A76, tblAlibabaUnits[cv_2024]) + SUMIF(tblHuaweiUnits[Products],$A76, tblHuaweiUnits[cv_2024]) + SUMIF(tblTencentUnits[Products],$A76, tblTencentUnits[cv_2024]) + SUMIF(tblBaiduUnits[Products],$A76, tblBaiduUnits[cv_2024]) + SUMIF(tblByteDanceUnits[Products],$A76, tblByteDanceUnits[cv_2024]) + SUMIF(tblCloudAOUnits[Products],$A76, tblCloudAOUnits[cv_2024]) + SUMIF(tblTelecomUnits[Products],$A76, tblTelecomUnits[cv_2024]) + SUMIF(tblEnterpriseUnits[Products],$A76, tblEnterpriseUnits[cv_2024])</f>
        <v>0</v>
      </c>
      <c r="I76" s="8">
        <f xml:space="preserve"> SUMIF(tblGoogleUnits[Products],$A76, tblGoogleUnits[cv_2025]) + SUMIF(tblMetaUnits[Products],$A76, tblMetaUnits[cv_2025]) + SUMIF(tblAmazonUnits[Products],$A76, tblAmazonUnits[cv_2025]) + SUMIF(tblMicrosoftUnits[Products],$A76, tblMicrosoftUnits[cv_2025]) + SUMIF(tblAppleUnits[Products],$A76, tblAppleUnits[cv_2025]) + SUMIF(tblAlibabaUnits[Products],$A76, tblAlibabaUnits[cv_2025]) + SUMIF(tblHuaweiUnits[Products],$A76, tblHuaweiUnits[cv_2025]) + SUMIF(tblTencentUnits[Products],$A76, tblTencentUnits[cv_2025]) + SUMIF(tblBaiduUnits[Products],$A76, tblBaiduUnits[cv_2025]) + SUMIF(tblByteDanceUnits[Products],$A76, tblByteDanceUnits[cv_2025]) + SUMIF(tblCloudAOUnits[Products],$A76, tblCloudAOUnits[cv_2025]) + SUMIF(tblTelecomUnits[Products],$A76, tblTelecomUnits[cv_2025]) + SUMIF(tblEnterpriseUnits[Products],$A76, tblEnterpriseUnits[cv_2025])</f>
        <v>0</v>
      </c>
      <c r="J76" s="8">
        <f xml:space="preserve"> SUMIF(tblGoogleUnits[Products],$A76, tblGoogleUnits[cv_2026]) + SUMIF(tblMetaUnits[Products],$A76, tblMetaUnits[cv_2026]) + SUMIF(tblAmazonUnits[Products],$A76, tblAmazonUnits[cv_2026]) + SUMIF(tblMicrosoftUnits[Products],$A76, tblMicrosoftUnits[cv_2026]) + SUMIF(tblAppleUnits[Products],$A76, tblAppleUnits[cv_2026]) + SUMIF(tblAlibabaUnits[Products],$A76, tblAlibabaUnits[cv_2026]) + SUMIF(tblHuaweiUnits[Products],$A76, tblHuaweiUnits[cv_2026]) + SUMIF(tblTencentUnits[Products],$A76, tblTencentUnits[cv_2026]) + SUMIF(tblBaiduUnits[Products],$A76, tblBaiduUnits[cv_2026]) + SUMIF(tblByteDanceUnits[Products],$A76, tblByteDanceUnits[cv_2026]) + SUMIF(tblCloudAOUnits[Products],$A76, tblCloudAOUnits[cv_2026]) + SUMIF(tblTelecomUnits[Products],$A76, tblTelecomUnits[cv_2026]) + SUMIF(tblEnterpriseUnits[Products],$A76, tblEnterpriseUnits[cv_2026])</f>
        <v>0</v>
      </c>
      <c r="K76" s="8">
        <f xml:space="preserve"> SUMIF(tblGoogleUnits[Products],$A76, tblGoogleUnits[cv_2027]) + SUMIF(tblMetaUnits[Products],$A76, tblMetaUnits[cv_2027]) + SUMIF(tblAmazonUnits[Products],$A76, tblAmazonUnits[cv_2027]) + SUMIF(tblMicrosoftUnits[Products],$A76, tblMicrosoftUnits[cv_2027]) + SUMIF(tblAppleUnits[Products],$A76, tblAppleUnits[cv_2027]) + SUMIF(tblAlibabaUnits[Products],$A76, tblAlibabaUnits[cv_2027]) + SUMIF(tblHuaweiUnits[Products],$A76, tblHuaweiUnits[cv_2027]) + SUMIF(tblTencentUnits[Products],$A76, tblTencentUnits[cv_2027]) + SUMIF(tblBaiduUnits[Products],$A76, tblBaiduUnits[cv_2027]) + SUMIF(tblByteDanceUnits[Products],$A76, tblByteDanceUnits[cv_2027]) + SUMIF(tblCloudAOUnits[Products],$A76, tblCloudAOUnits[cv_2027]) + SUMIF(tblTelecomUnits[Products],$A76, tblTelecomUnits[cv_2027]) + SUMIF(tblEnterpriseUnits[Products],$A76, tblEnterpriseUnits[cv_2027])</f>
        <v>0</v>
      </c>
      <c r="L76" s="8">
        <f xml:space="preserve"> SUMIF(tblGoogleUnits[Products],$A76, tblGoogleUnits[cv_2028]) + SUMIF(tblMetaUnits[Products],$A76, tblMetaUnits[cv_2028]) + SUMIF(tblAmazonUnits[Products],$A76, tblAmazonUnits[cv_2028]) + SUMIF(tblMicrosoftUnits[Products],$A76, tblMicrosoftUnits[cv_2028]) + SUMIF(tblAppleUnits[Products],$A76, tblAppleUnits[cv_2028]) + SUMIF(tblAlibabaUnits[Products],$A76, tblAlibabaUnits[cv_2028]) + SUMIF(tblHuaweiUnits[Products],$A76, tblHuaweiUnits[cv_2028]) + SUMIF(tblTencentUnits[Products],$A76, tblTencentUnits[cv_2028]) + SUMIF(tblBaiduUnits[Products],$A76, tblBaiduUnits[cv_2028]) + SUMIF(tblByteDanceUnits[Products],$A76, tblByteDanceUnits[cv_2028]) + SUMIF(tblCloudAOUnits[Products],$A76, tblCloudAOUnits[cv_2028]) + SUMIF(tblTelecomUnits[Products],$A76, tblTelecomUnits[cv_2028]) + SUMIF(tblEnterpriseUnits[Products],$A76, tblEnterpriseUnits[cv_2028])</f>
        <v>0</v>
      </c>
      <c r="M76" s="105" cm="1">
        <f t="array" ref="M76">INDEX(tblPrices[cv_2018], MATCH($A76,tblPrices[Products],0), 0)</f>
        <v>0</v>
      </c>
      <c r="N76" s="105" cm="1">
        <f t="array" ref="N76">INDEX(tblPrices[cv_2019], MATCH($A76,tblPrices[Products],0), 0)</f>
        <v>0</v>
      </c>
      <c r="O76" s="105" cm="1">
        <f t="array" ref="O76">INDEX(tblPrices[cv_2020], MATCH($A76,tblPrices[Products],0), 0)</f>
        <v>0</v>
      </c>
      <c r="P76" s="105" cm="1">
        <f t="array" ref="P76">INDEX(tblPrices[cv_2021], MATCH($A76,tblPrices[Products],0), 0)</f>
        <v>0</v>
      </c>
      <c r="Q76" s="105" cm="1">
        <f t="array" ref="Q76">INDEX(tblPrices[cv_2022], MATCH($A76,tblPrices[Products],0), 0)</f>
        <v>0</v>
      </c>
      <c r="R76" s="105" cm="1">
        <f t="array" ref="R76">INDEX(tblPrices[cv_2023], MATCH($A76,tblPrices[Products],0), 0)</f>
        <v>0</v>
      </c>
      <c r="S76" s="105" cm="1">
        <f t="array" ref="S76">INDEX(tblPrices[cv_2024], MATCH($A76,tblPrices[Products],0), 0)</f>
        <v>0</v>
      </c>
      <c r="T76" s="105" cm="1">
        <f t="array" ref="T76">INDEX(tblPrices[cv_2025], MATCH($A76,tblPrices[Products],0), 0)</f>
        <v>0</v>
      </c>
      <c r="U76" s="105" cm="1">
        <f t="array" ref="U76">INDEX(tblPrices[cv_2026], MATCH($A76,tblPrices[Products],0), 0)</f>
        <v>0</v>
      </c>
      <c r="V76" s="105" cm="1">
        <f t="array" ref="V76">INDEX(tblPrices[cv_2027], MATCH($A76,tblPrices[Products],0), 0)</f>
        <v>0</v>
      </c>
      <c r="W76" s="105" cm="1">
        <f t="array" ref="W76">INDEX(tblPrices[cv_2028], MATCH($A76,tblPrices[Products],0), 0)</f>
        <v>0</v>
      </c>
      <c r="X76" s="106" cm="1">
        <f t="array" ref="X76">INDEX(tblPrices[cv_2018], MATCH($A76,tblPrices[Products],0), 0)* tblForecast[[#This Row],[un_2018]]/10^6</f>
        <v>0</v>
      </c>
      <c r="Y76" s="106" cm="1">
        <f t="array" ref="Y76">INDEX(tblPrices[cv_2019], MATCH($A76,tblPrices[Products],0), 0)* tblForecast[[#This Row],[un_2019]]/10^6</f>
        <v>0</v>
      </c>
      <c r="Z76" s="106" cm="1">
        <f t="array" ref="Z76">INDEX(tblPrices[cv_2020], MATCH($A76,tblPrices[Products],0), 0)* tblForecast[[#This Row],[un_2020]]/10^6</f>
        <v>0</v>
      </c>
      <c r="AA76" s="106" cm="1">
        <f t="array" ref="AA76">INDEX(tblPrices[cv_2021], MATCH($A76,tblPrices[Products],0), 0)* tblForecast[[#This Row],[un_2021]]/10^6</f>
        <v>0</v>
      </c>
      <c r="AB76" s="106" cm="1">
        <f t="array" ref="AB76">INDEX(tblPrices[cv_2022], MATCH($A76,tblPrices[Products],0), 0)* tblForecast[[#This Row],[un_2022]]/10^6</f>
        <v>0</v>
      </c>
      <c r="AC76" s="106" cm="1">
        <f t="array" ref="AC76">INDEX(tblPrices[cv_2023], MATCH($A76,tblPrices[Products],0), 0)* tblForecast[[#This Row],[un_2023]]/10^6</f>
        <v>0</v>
      </c>
      <c r="AD76" s="106" cm="1">
        <f t="array" ref="AD76">INDEX(tblPrices[cv_2024], MATCH($A76,tblPrices[Products],0), 0)* tblForecast[[#This Row],[un_2024]]/10^6</f>
        <v>0</v>
      </c>
      <c r="AE76" s="106" cm="1">
        <f t="array" ref="AE76">INDEX(tblPrices[cv_2025], MATCH($A76,tblPrices[Products],0), 0)* tblForecast[[#This Row],[un_2025]]/10^6</f>
        <v>0</v>
      </c>
      <c r="AF76" s="106" cm="1">
        <f t="array" ref="AF76">INDEX(tblPrices[cv_2026], MATCH($A76,tblPrices[Products],0), 0)* tblForecast[[#This Row],[un_2026]]/10^6</f>
        <v>0</v>
      </c>
      <c r="AG76" s="106" cm="1">
        <f t="array" ref="AG76">INDEX(tblPrices[cv_2027], MATCH($A76,tblPrices[Products],0), 0)* tblForecast[[#This Row],[un_2027]]/10^6</f>
        <v>0</v>
      </c>
      <c r="AH76" s="106" cm="1">
        <f t="array" ref="AH76">INDEX(tblPrices[cv_2028], MATCH($A76,tblPrices[Products],0), 0)* tblForecast[[#This Row],[un_2028]]/10^6</f>
        <v>0</v>
      </c>
      <c r="AI76" s="60">
        <f>VLOOKUP(A76,Products!$A$11:$F$110,6,FALSE)</f>
        <v>100</v>
      </c>
    </row>
    <row r="77" spans="1:35">
      <c r="A77" s="12" t="s">
        <v>47</v>
      </c>
      <c r="B77" s="8">
        <f xml:space="preserve"> SUMIF(tblGoogleUnits[Products],$A77, tblGoogleUnits[cv_2018]) + SUMIF(tblMetaUnits[Products],$A77, tblMetaUnits[cv_2018]) + SUMIF(tblAmazonUnits[Products],$A77, tblAmazonUnits[cv_2018]) + SUMIF(tblMicrosoftUnits[Products],$A77, tblMicrosoftUnits[cv_2018]) + SUMIF(tblAppleUnits[Products],$A77, tblAppleUnits[cv_2018]) + SUMIF(tblAlibabaUnits[Products],$A77, tblAlibabaUnits[cv_2018]) + SUMIF(tblHuaweiUnits[Products],$A77, tblHuaweiUnits[cv_2018]) + SUMIF(tblTencentUnits[Products],$A77, tblTencentUnits[cv_2018]) + SUMIF(tblBaiduUnits[Products],$A77, tblBaiduUnits[cv_2018]) + SUMIF(tblByteDanceUnits[Products],$A77, tblByteDanceUnits[cv_2018]) + SUMIF(tblCloudAOUnits[Products],$A77, tblCloudAOUnits[cv_2018]) + SUMIF(tblTelecomUnits[Products],$A77, tblTelecomUnits[cv_2018]) + SUMIF(tblEnterpriseUnits[Products],$A77, tblEnterpriseUnits[cv_2018])</f>
        <v>500</v>
      </c>
      <c r="C77" s="8">
        <f xml:space="preserve"> SUMIF(tblGoogleUnits[Products],$A77, tblGoogleUnits[cv_2019]) + SUMIF(tblMetaUnits[Products],$A77, tblMetaUnits[cv_2019]) + SUMIF(tblAmazonUnits[Products],$A77, tblAmazonUnits[cv_2019]) + SUMIF(tblMicrosoftUnits[Products],$A77, tblMicrosoftUnits[cv_2019]) + SUMIF(tblAppleUnits[Products],$A77, tblAppleUnits[cv_2019]) + SUMIF(tblAlibabaUnits[Products],$A77, tblAlibabaUnits[cv_2019]) + SUMIF(tblHuaweiUnits[Products],$A77, tblHuaweiUnits[cv_2019]) + SUMIF(tblTencentUnits[Products],$A77, tblTencentUnits[cv_2019]) + SUMIF(tblBaiduUnits[Products],$A77, tblBaiduUnits[cv_2019]) + SUMIF(tblByteDanceUnits[Products],$A77, tblByteDanceUnits[cv_2019]) + SUMIF(tblCloudAOUnits[Products],$A77, tblCloudAOUnits[cv_2019]) + SUMIF(tblTelecomUnits[Products],$A77, tblTelecomUnits[cv_2019]) + SUMIF(tblEnterpriseUnits[Products],$A77, tblEnterpriseUnits[cv_2019])</f>
        <v>5000</v>
      </c>
      <c r="D77" s="8">
        <f xml:space="preserve"> SUMIF(tblGoogleUnits[Products],$A77, tblGoogleUnits[cv_2020]) + SUMIF(tblMetaUnits[Products],$A77, tblMetaUnits[cv_2020]) + SUMIF(tblAmazonUnits[Products],$A77, tblAmazonUnits[cv_2020]) + SUMIF(tblMicrosoftUnits[Products],$A77, tblMicrosoftUnits[cv_2020]) + SUMIF(tblAppleUnits[Products],$A77, tblAppleUnits[cv_2020]) + SUMIF(tblAlibabaUnits[Products],$A77, tblAlibabaUnits[cv_2020]) + SUMIF(tblHuaweiUnits[Products],$A77, tblHuaweiUnits[cv_2020]) + SUMIF(tblTencentUnits[Products],$A77, tblTencentUnits[cv_2020]) + SUMIF(tblBaiduUnits[Products],$A77, tblBaiduUnits[cv_2020]) + SUMIF(tblByteDanceUnits[Products],$A77, tblByteDanceUnits[cv_2020]) + SUMIF(tblCloudAOUnits[Products],$A77, tblCloudAOUnits[cv_2020]) + SUMIF(tblTelecomUnits[Products],$A77, tblTelecomUnits[cv_2020]) + SUMIF(tblEnterpriseUnits[Products],$A77, tblEnterpriseUnits[cv_2020])</f>
        <v>0</v>
      </c>
      <c r="E77" s="8">
        <f xml:space="preserve"> SUMIF(tblGoogleUnits[Products],$A77, tblGoogleUnits[cv_2021]) + SUMIF(tblMetaUnits[Products],$A77, tblMetaUnits[cv_2021]) + SUMIF(tblAmazonUnits[Products],$A77, tblAmazonUnits[cv_2021]) + SUMIF(tblMicrosoftUnits[Products],$A77, tblMicrosoftUnits[cv_2021]) + SUMIF(tblAppleUnits[Products],$A77, tblAppleUnits[cv_2021]) + SUMIF(tblAlibabaUnits[Products],$A77, tblAlibabaUnits[cv_2021]) + SUMIF(tblHuaweiUnits[Products],$A77, tblHuaweiUnits[cv_2021]) + SUMIF(tblTencentUnits[Products],$A77, tblTencentUnits[cv_2021]) + SUMIF(tblBaiduUnits[Products],$A77, tblBaiduUnits[cv_2021]) + SUMIF(tblByteDanceUnits[Products],$A77, tblByteDanceUnits[cv_2021]) + SUMIF(tblCloudAOUnits[Products],$A77, tblCloudAOUnits[cv_2021]) + SUMIF(tblTelecomUnits[Products],$A77, tblTelecomUnits[cv_2021]) + SUMIF(tblEnterpriseUnits[Products],$A77, tblEnterpriseUnits[cv_2021])</f>
        <v>0</v>
      </c>
      <c r="F77" s="8">
        <f xml:space="preserve"> SUMIF(tblGoogleUnits[Products],$A77, tblGoogleUnits[cv_2022]) + SUMIF(tblMetaUnits[Products],$A77, tblMetaUnits[cv_2022]) + SUMIF(tblAmazonUnits[Products],$A77, tblAmazonUnits[cv_2022]) + SUMIF(tblMicrosoftUnits[Products],$A77, tblMicrosoftUnits[cv_2022]) + SUMIF(tblAppleUnits[Products],$A77, tblAppleUnits[cv_2022]) + SUMIF(tblAlibabaUnits[Products],$A77, tblAlibabaUnits[cv_2022]) + SUMIF(tblHuaweiUnits[Products],$A77, tblHuaweiUnits[cv_2022]) + SUMIF(tblTencentUnits[Products],$A77, tblTencentUnits[cv_2022]) + SUMIF(tblBaiduUnits[Products],$A77, tblBaiduUnits[cv_2022]) + SUMIF(tblByteDanceUnits[Products],$A77, tblByteDanceUnits[cv_2022]) + SUMIF(tblCloudAOUnits[Products],$A77, tblCloudAOUnits[cv_2022]) + SUMIF(tblTelecomUnits[Products],$A77, tblTelecomUnits[cv_2022]) + SUMIF(tblEnterpriseUnits[Products],$A77, tblEnterpriseUnits[cv_2022])</f>
        <v>0</v>
      </c>
      <c r="G77" s="8">
        <f xml:space="preserve"> SUMIF(tblGoogleUnits[Products],$A77, tblGoogleUnits[cv_2023]) + SUMIF(tblMetaUnits[Products],$A77, tblMetaUnits[cv_2023]) + SUMIF(tblAmazonUnits[Products],$A77, tblAmazonUnits[cv_2023]) + SUMIF(tblMicrosoftUnits[Products],$A77, tblMicrosoftUnits[cv_2023]) + SUMIF(tblAppleUnits[Products],$A77, tblAppleUnits[cv_2023]) + SUMIF(tblAlibabaUnits[Products],$A77, tblAlibabaUnits[cv_2023]) + SUMIF(tblHuaweiUnits[Products],$A77, tblHuaweiUnits[cv_2023]) + SUMIF(tblTencentUnits[Products],$A77, tblTencentUnits[cv_2023]) + SUMIF(tblBaiduUnits[Products],$A77, tblBaiduUnits[cv_2023]) + SUMIF(tblByteDanceUnits[Products],$A77, tblByteDanceUnits[cv_2023]) + SUMIF(tblCloudAOUnits[Products],$A77, tblCloudAOUnits[cv_2023]) + SUMIF(tblTelecomUnits[Products],$A77, tblTelecomUnits[cv_2023]) + SUMIF(tblEnterpriseUnits[Products],$A77, tblEnterpriseUnits[cv_2023])</f>
        <v>0</v>
      </c>
      <c r="H77" s="8">
        <f xml:space="preserve"> SUMIF(tblGoogleUnits[Products],$A77, tblGoogleUnits[cv_2024]) + SUMIF(tblMetaUnits[Products],$A77, tblMetaUnits[cv_2024]) + SUMIF(tblAmazonUnits[Products],$A77, tblAmazonUnits[cv_2024]) + SUMIF(tblMicrosoftUnits[Products],$A77, tblMicrosoftUnits[cv_2024]) + SUMIF(tblAppleUnits[Products],$A77, tblAppleUnits[cv_2024]) + SUMIF(tblAlibabaUnits[Products],$A77, tblAlibabaUnits[cv_2024]) + SUMIF(tblHuaweiUnits[Products],$A77, tblHuaweiUnits[cv_2024]) + SUMIF(tblTencentUnits[Products],$A77, tblTencentUnits[cv_2024]) + SUMIF(tblBaiduUnits[Products],$A77, tblBaiduUnits[cv_2024]) + SUMIF(tblByteDanceUnits[Products],$A77, tblByteDanceUnits[cv_2024]) + SUMIF(tblCloudAOUnits[Products],$A77, tblCloudAOUnits[cv_2024]) + SUMIF(tblTelecomUnits[Products],$A77, tblTelecomUnits[cv_2024]) + SUMIF(tblEnterpriseUnits[Products],$A77, tblEnterpriseUnits[cv_2024])</f>
        <v>0</v>
      </c>
      <c r="I77" s="8">
        <f xml:space="preserve"> SUMIF(tblGoogleUnits[Products],$A77, tblGoogleUnits[cv_2025]) + SUMIF(tblMetaUnits[Products],$A77, tblMetaUnits[cv_2025]) + SUMIF(tblAmazonUnits[Products],$A77, tblAmazonUnits[cv_2025]) + SUMIF(tblMicrosoftUnits[Products],$A77, tblMicrosoftUnits[cv_2025]) + SUMIF(tblAppleUnits[Products],$A77, tblAppleUnits[cv_2025]) + SUMIF(tblAlibabaUnits[Products],$A77, tblAlibabaUnits[cv_2025]) + SUMIF(tblHuaweiUnits[Products],$A77, tblHuaweiUnits[cv_2025]) + SUMIF(tblTencentUnits[Products],$A77, tblTencentUnits[cv_2025]) + SUMIF(tblBaiduUnits[Products],$A77, tblBaiduUnits[cv_2025]) + SUMIF(tblByteDanceUnits[Products],$A77, tblByteDanceUnits[cv_2025]) + SUMIF(tblCloudAOUnits[Products],$A77, tblCloudAOUnits[cv_2025]) + SUMIF(tblTelecomUnits[Products],$A77, tblTelecomUnits[cv_2025]) + SUMIF(tblEnterpriseUnits[Products],$A77, tblEnterpriseUnits[cv_2025])</f>
        <v>0</v>
      </c>
      <c r="J77" s="8">
        <f xml:space="preserve"> SUMIF(tblGoogleUnits[Products],$A77, tblGoogleUnits[cv_2026]) + SUMIF(tblMetaUnits[Products],$A77, tblMetaUnits[cv_2026]) + SUMIF(tblAmazonUnits[Products],$A77, tblAmazonUnits[cv_2026]) + SUMIF(tblMicrosoftUnits[Products],$A77, tblMicrosoftUnits[cv_2026]) + SUMIF(tblAppleUnits[Products],$A77, tblAppleUnits[cv_2026]) + SUMIF(tblAlibabaUnits[Products],$A77, tblAlibabaUnits[cv_2026]) + SUMIF(tblHuaweiUnits[Products],$A77, tblHuaweiUnits[cv_2026]) + SUMIF(tblTencentUnits[Products],$A77, tblTencentUnits[cv_2026]) + SUMIF(tblBaiduUnits[Products],$A77, tblBaiduUnits[cv_2026]) + SUMIF(tblByteDanceUnits[Products],$A77, tblByteDanceUnits[cv_2026]) + SUMIF(tblCloudAOUnits[Products],$A77, tblCloudAOUnits[cv_2026]) + SUMIF(tblTelecomUnits[Products],$A77, tblTelecomUnits[cv_2026]) + SUMIF(tblEnterpriseUnits[Products],$A77, tblEnterpriseUnits[cv_2026])</f>
        <v>0</v>
      </c>
      <c r="K77" s="8">
        <f xml:space="preserve"> SUMIF(tblGoogleUnits[Products],$A77, tblGoogleUnits[cv_2027]) + SUMIF(tblMetaUnits[Products],$A77, tblMetaUnits[cv_2027]) + SUMIF(tblAmazonUnits[Products],$A77, tblAmazonUnits[cv_2027]) + SUMIF(tblMicrosoftUnits[Products],$A77, tblMicrosoftUnits[cv_2027]) + SUMIF(tblAppleUnits[Products],$A77, tblAppleUnits[cv_2027]) + SUMIF(tblAlibabaUnits[Products],$A77, tblAlibabaUnits[cv_2027]) + SUMIF(tblHuaweiUnits[Products],$A77, tblHuaweiUnits[cv_2027]) + SUMIF(tblTencentUnits[Products],$A77, tblTencentUnits[cv_2027]) + SUMIF(tblBaiduUnits[Products],$A77, tblBaiduUnits[cv_2027]) + SUMIF(tblByteDanceUnits[Products],$A77, tblByteDanceUnits[cv_2027]) + SUMIF(tblCloudAOUnits[Products],$A77, tblCloudAOUnits[cv_2027]) + SUMIF(tblTelecomUnits[Products],$A77, tblTelecomUnits[cv_2027]) + SUMIF(tblEnterpriseUnits[Products],$A77, tblEnterpriseUnits[cv_2027])</f>
        <v>0</v>
      </c>
      <c r="L77" s="8">
        <f xml:space="preserve"> SUMIF(tblGoogleUnits[Products],$A77, tblGoogleUnits[cv_2028]) + SUMIF(tblMetaUnits[Products],$A77, tblMetaUnits[cv_2028]) + SUMIF(tblAmazonUnits[Products],$A77, tblAmazonUnits[cv_2028]) + SUMIF(tblMicrosoftUnits[Products],$A77, tblMicrosoftUnits[cv_2028]) + SUMIF(tblAppleUnits[Products],$A77, tblAppleUnits[cv_2028]) + SUMIF(tblAlibabaUnits[Products],$A77, tblAlibabaUnits[cv_2028]) + SUMIF(tblHuaweiUnits[Products],$A77, tblHuaweiUnits[cv_2028]) + SUMIF(tblTencentUnits[Products],$A77, tblTencentUnits[cv_2028]) + SUMIF(tblBaiduUnits[Products],$A77, tblBaiduUnits[cv_2028]) + SUMIF(tblByteDanceUnits[Products],$A77, tblByteDanceUnits[cv_2028]) + SUMIF(tblCloudAOUnits[Products],$A77, tblCloudAOUnits[cv_2028]) + SUMIF(tblTelecomUnits[Products],$A77, tblTelecomUnits[cv_2028]) + SUMIF(tblEnterpriseUnits[Products],$A77, tblEnterpriseUnits[cv_2028])</f>
        <v>0</v>
      </c>
      <c r="M77" s="105" cm="1">
        <f t="array" ref="M77">INDEX(tblPrices[cv_2018], MATCH($A77,tblPrices[Products],0), 0)</f>
        <v>700</v>
      </c>
      <c r="N77" s="105" cm="1">
        <f t="array" ref="N77">INDEX(tblPrices[cv_2019], MATCH($A77,tblPrices[Products],0), 0)</f>
        <v>600</v>
      </c>
      <c r="O77" s="105" cm="1">
        <f t="array" ref="O77">INDEX(tblPrices[cv_2020], MATCH($A77,tblPrices[Products],0), 0)</f>
        <v>0</v>
      </c>
      <c r="P77" s="105" cm="1">
        <f t="array" ref="P77">INDEX(tblPrices[cv_2021], MATCH($A77,tblPrices[Products],0), 0)</f>
        <v>0</v>
      </c>
      <c r="Q77" s="105" cm="1">
        <f t="array" ref="Q77">INDEX(tblPrices[cv_2022], MATCH($A77,tblPrices[Products],0), 0)</f>
        <v>0</v>
      </c>
      <c r="R77" s="105" cm="1">
        <f t="array" ref="R77">INDEX(tblPrices[cv_2023], MATCH($A77,tblPrices[Products],0), 0)</f>
        <v>0</v>
      </c>
      <c r="S77" s="105" cm="1">
        <f t="array" ref="S77">INDEX(tblPrices[cv_2024], MATCH($A77,tblPrices[Products],0), 0)</f>
        <v>0</v>
      </c>
      <c r="T77" s="105" cm="1">
        <f t="array" ref="T77">INDEX(tblPrices[cv_2025], MATCH($A77,tblPrices[Products],0), 0)</f>
        <v>0</v>
      </c>
      <c r="U77" s="105" cm="1">
        <f t="array" ref="U77">INDEX(tblPrices[cv_2026], MATCH($A77,tblPrices[Products],0), 0)</f>
        <v>0</v>
      </c>
      <c r="V77" s="105" cm="1">
        <f t="array" ref="V77">INDEX(tblPrices[cv_2027], MATCH($A77,tblPrices[Products],0), 0)</f>
        <v>0</v>
      </c>
      <c r="W77" s="105" cm="1">
        <f t="array" ref="W77">INDEX(tblPrices[cv_2028], MATCH($A77,tblPrices[Products],0), 0)</f>
        <v>0</v>
      </c>
      <c r="X77" s="106" cm="1">
        <f t="array" ref="X77">INDEX(tblPrices[cv_2018], MATCH($A77,tblPrices[Products],0), 0)* tblForecast[[#This Row],[un_2018]]/10^6</f>
        <v>0.35</v>
      </c>
      <c r="Y77" s="106" cm="1">
        <f t="array" ref="Y77">INDEX(tblPrices[cv_2019], MATCH($A77,tblPrices[Products],0), 0)* tblForecast[[#This Row],[un_2019]]/10^6</f>
        <v>3</v>
      </c>
      <c r="Z77" s="106" cm="1">
        <f t="array" ref="Z77">INDEX(tblPrices[cv_2020], MATCH($A77,tblPrices[Products],0), 0)* tblForecast[[#This Row],[un_2020]]/10^6</f>
        <v>0</v>
      </c>
      <c r="AA77" s="106" cm="1">
        <f t="array" ref="AA77">INDEX(tblPrices[cv_2021], MATCH($A77,tblPrices[Products],0), 0)* tblForecast[[#This Row],[un_2021]]/10^6</f>
        <v>0</v>
      </c>
      <c r="AB77" s="106" cm="1">
        <f t="array" ref="AB77">INDEX(tblPrices[cv_2022], MATCH($A77,tblPrices[Products],0), 0)* tblForecast[[#This Row],[un_2022]]/10^6</f>
        <v>0</v>
      </c>
      <c r="AC77" s="106" cm="1">
        <f t="array" ref="AC77">INDEX(tblPrices[cv_2023], MATCH($A77,tblPrices[Products],0), 0)* tblForecast[[#This Row],[un_2023]]/10^6</f>
        <v>0</v>
      </c>
      <c r="AD77" s="106" cm="1">
        <f t="array" ref="AD77">INDEX(tblPrices[cv_2024], MATCH($A77,tblPrices[Products],0), 0)* tblForecast[[#This Row],[un_2024]]/10^6</f>
        <v>0</v>
      </c>
      <c r="AE77" s="106" cm="1">
        <f t="array" ref="AE77">INDEX(tblPrices[cv_2025], MATCH($A77,tblPrices[Products],0), 0)* tblForecast[[#This Row],[un_2025]]/10^6</f>
        <v>0</v>
      </c>
      <c r="AF77" s="106" cm="1">
        <f t="array" ref="AF77">INDEX(tblPrices[cv_2026], MATCH($A77,tblPrices[Products],0), 0)* tblForecast[[#This Row],[un_2026]]/10^6</f>
        <v>0</v>
      </c>
      <c r="AG77" s="106" cm="1">
        <f t="array" ref="AG77">INDEX(tblPrices[cv_2027], MATCH($A77,tblPrices[Products],0), 0)* tblForecast[[#This Row],[un_2027]]/10^6</f>
        <v>0</v>
      </c>
      <c r="AH77" s="106" cm="1">
        <f t="array" ref="AH77">INDEX(tblPrices[cv_2028], MATCH($A77,tblPrices[Products],0), 0)* tblForecast[[#This Row],[un_2028]]/10^6</f>
        <v>0</v>
      </c>
      <c r="AI77" s="60">
        <f>VLOOKUP(A77,Products!$A$11:$F$110,6,FALSE)</f>
        <v>200</v>
      </c>
    </row>
    <row r="78" spans="1:35">
      <c r="A78" s="12" t="s">
        <v>187</v>
      </c>
      <c r="B78" s="8">
        <f xml:space="preserve"> SUMIF(tblGoogleUnits[Products],$A78, tblGoogleUnits[cv_2018]) + SUMIF(tblMetaUnits[Products],$A78, tblMetaUnits[cv_2018]) + SUMIF(tblAmazonUnits[Products],$A78, tblAmazonUnits[cv_2018]) + SUMIF(tblMicrosoftUnits[Products],$A78, tblMicrosoftUnits[cv_2018]) + SUMIF(tblAppleUnits[Products],$A78, tblAppleUnits[cv_2018]) + SUMIF(tblAlibabaUnits[Products],$A78, tblAlibabaUnits[cv_2018]) + SUMIF(tblHuaweiUnits[Products],$A78, tblHuaweiUnits[cv_2018]) + SUMIF(tblTencentUnits[Products],$A78, tblTencentUnits[cv_2018]) + SUMIF(tblBaiduUnits[Products],$A78, tblBaiduUnits[cv_2018]) + SUMIF(tblByteDanceUnits[Products],$A78, tblByteDanceUnits[cv_2018]) + SUMIF(tblCloudAOUnits[Products],$A78, tblCloudAOUnits[cv_2018]) + SUMIF(tblTelecomUnits[Products],$A78, tblTelecomUnits[cv_2018]) + SUMIF(tblEnterpriseUnits[Products],$A78, tblEnterpriseUnits[cv_2018])</f>
        <v>0</v>
      </c>
      <c r="C78" s="8">
        <f xml:space="preserve"> SUMIF(tblGoogleUnits[Products],$A78, tblGoogleUnits[cv_2019]) + SUMIF(tblMetaUnits[Products],$A78, tblMetaUnits[cv_2019]) + SUMIF(tblAmazonUnits[Products],$A78, tblAmazonUnits[cv_2019]) + SUMIF(tblMicrosoftUnits[Products],$A78, tblMicrosoftUnits[cv_2019]) + SUMIF(tblAppleUnits[Products],$A78, tblAppleUnits[cv_2019]) + SUMIF(tblAlibabaUnits[Products],$A78, tblAlibabaUnits[cv_2019]) + SUMIF(tblHuaweiUnits[Products],$A78, tblHuaweiUnits[cv_2019]) + SUMIF(tblTencentUnits[Products],$A78, tblTencentUnits[cv_2019]) + SUMIF(tblBaiduUnits[Products],$A78, tblBaiduUnits[cv_2019]) + SUMIF(tblByteDanceUnits[Products],$A78, tblByteDanceUnits[cv_2019]) + SUMIF(tblCloudAOUnits[Products],$A78, tblCloudAOUnits[cv_2019]) + SUMIF(tblTelecomUnits[Products],$A78, tblTelecomUnits[cv_2019]) + SUMIF(tblEnterpriseUnits[Products],$A78, tblEnterpriseUnits[cv_2019])</f>
        <v>0</v>
      </c>
      <c r="D78" s="8">
        <f xml:space="preserve"> SUMIF(tblGoogleUnits[Products],$A78, tblGoogleUnits[cv_2020]) + SUMIF(tblMetaUnits[Products],$A78, tblMetaUnits[cv_2020]) + SUMIF(tblAmazonUnits[Products],$A78, tblAmazonUnits[cv_2020]) + SUMIF(tblMicrosoftUnits[Products],$A78, tblMicrosoftUnits[cv_2020]) + SUMIF(tblAppleUnits[Products],$A78, tblAppleUnits[cv_2020]) + SUMIF(tblAlibabaUnits[Products],$A78, tblAlibabaUnits[cv_2020]) + SUMIF(tblHuaweiUnits[Products],$A78, tblHuaweiUnits[cv_2020]) + SUMIF(tblTencentUnits[Products],$A78, tblTencentUnits[cv_2020]) + SUMIF(tblBaiduUnits[Products],$A78, tblBaiduUnits[cv_2020]) + SUMIF(tblByteDanceUnits[Products],$A78, tblByteDanceUnits[cv_2020]) + SUMIF(tblCloudAOUnits[Products],$A78, tblCloudAOUnits[cv_2020]) + SUMIF(tblTelecomUnits[Products],$A78, tblTelecomUnits[cv_2020]) + SUMIF(tblEnterpriseUnits[Products],$A78, tblEnterpriseUnits[cv_2020])</f>
        <v>0</v>
      </c>
      <c r="E78" s="8">
        <f xml:space="preserve"> SUMIF(tblGoogleUnits[Products],$A78, tblGoogleUnits[cv_2021]) + SUMIF(tblMetaUnits[Products],$A78, tblMetaUnits[cv_2021]) + SUMIF(tblAmazonUnits[Products],$A78, tblAmazonUnits[cv_2021]) + SUMIF(tblMicrosoftUnits[Products],$A78, tblMicrosoftUnits[cv_2021]) + SUMIF(tblAppleUnits[Products],$A78, tblAppleUnits[cv_2021]) + SUMIF(tblAlibabaUnits[Products],$A78, tblAlibabaUnits[cv_2021]) + SUMIF(tblHuaweiUnits[Products],$A78, tblHuaweiUnits[cv_2021]) + SUMIF(tblTencentUnits[Products],$A78, tblTencentUnits[cv_2021]) + SUMIF(tblBaiduUnits[Products],$A78, tblBaiduUnits[cv_2021]) + SUMIF(tblByteDanceUnits[Products],$A78, tblByteDanceUnits[cv_2021]) + SUMIF(tblCloudAOUnits[Products],$A78, tblCloudAOUnits[cv_2021]) + SUMIF(tblTelecomUnits[Products],$A78, tblTelecomUnits[cv_2021]) + SUMIF(tblEnterpriseUnits[Products],$A78, tblEnterpriseUnits[cv_2021])</f>
        <v>0</v>
      </c>
      <c r="F78" s="8">
        <f xml:space="preserve"> SUMIF(tblGoogleUnits[Products],$A78, tblGoogleUnits[cv_2022]) + SUMIF(tblMetaUnits[Products],$A78, tblMetaUnits[cv_2022]) + SUMIF(tblAmazonUnits[Products],$A78, tblAmazonUnits[cv_2022]) + SUMIF(tblMicrosoftUnits[Products],$A78, tblMicrosoftUnits[cv_2022]) + SUMIF(tblAppleUnits[Products],$A78, tblAppleUnits[cv_2022]) + SUMIF(tblAlibabaUnits[Products],$A78, tblAlibabaUnits[cv_2022]) + SUMIF(tblHuaweiUnits[Products],$A78, tblHuaweiUnits[cv_2022]) + SUMIF(tblTencentUnits[Products],$A78, tblTencentUnits[cv_2022]) + SUMIF(tblBaiduUnits[Products],$A78, tblBaiduUnits[cv_2022]) + SUMIF(tblByteDanceUnits[Products],$A78, tblByteDanceUnits[cv_2022]) + SUMIF(tblCloudAOUnits[Products],$A78, tblCloudAOUnits[cv_2022]) + SUMIF(tblTelecomUnits[Products],$A78, tblTelecomUnits[cv_2022]) + SUMIF(tblEnterpriseUnits[Products],$A78, tblEnterpriseUnits[cv_2022])</f>
        <v>0</v>
      </c>
      <c r="G78" s="8">
        <f xml:space="preserve"> SUMIF(tblGoogleUnits[Products],$A78, tblGoogleUnits[cv_2023]) + SUMIF(tblMetaUnits[Products],$A78, tblMetaUnits[cv_2023]) + SUMIF(tblAmazonUnits[Products],$A78, tblAmazonUnits[cv_2023]) + SUMIF(tblMicrosoftUnits[Products],$A78, tblMicrosoftUnits[cv_2023]) + SUMIF(tblAppleUnits[Products],$A78, tblAppleUnits[cv_2023]) + SUMIF(tblAlibabaUnits[Products],$A78, tblAlibabaUnits[cv_2023]) + SUMIF(tblHuaweiUnits[Products],$A78, tblHuaweiUnits[cv_2023]) + SUMIF(tblTencentUnits[Products],$A78, tblTencentUnits[cv_2023]) + SUMIF(tblBaiduUnits[Products],$A78, tblBaiduUnits[cv_2023]) + SUMIF(tblByteDanceUnits[Products],$A78, tblByteDanceUnits[cv_2023]) + SUMIF(tblCloudAOUnits[Products],$A78, tblCloudAOUnits[cv_2023]) + SUMIF(tblTelecomUnits[Products],$A78, tblTelecomUnits[cv_2023]) + SUMIF(tblEnterpriseUnits[Products],$A78, tblEnterpriseUnits[cv_2023])</f>
        <v>0</v>
      </c>
      <c r="H78" s="8">
        <f xml:space="preserve"> SUMIF(tblGoogleUnits[Products],$A78, tblGoogleUnits[cv_2024]) + SUMIF(tblMetaUnits[Products],$A78, tblMetaUnits[cv_2024]) + SUMIF(tblAmazonUnits[Products],$A78, tblAmazonUnits[cv_2024]) + SUMIF(tblMicrosoftUnits[Products],$A78, tblMicrosoftUnits[cv_2024]) + SUMIF(tblAppleUnits[Products],$A78, tblAppleUnits[cv_2024]) + SUMIF(tblAlibabaUnits[Products],$A78, tblAlibabaUnits[cv_2024]) + SUMIF(tblHuaweiUnits[Products],$A78, tblHuaweiUnits[cv_2024]) + SUMIF(tblTencentUnits[Products],$A78, tblTencentUnits[cv_2024]) + SUMIF(tblBaiduUnits[Products],$A78, tblBaiduUnits[cv_2024]) + SUMIF(tblByteDanceUnits[Products],$A78, tblByteDanceUnits[cv_2024]) + SUMIF(tblCloudAOUnits[Products],$A78, tblCloudAOUnits[cv_2024]) + SUMIF(tblTelecomUnits[Products],$A78, tblTelecomUnits[cv_2024]) + SUMIF(tblEnterpriseUnits[Products],$A78, tblEnterpriseUnits[cv_2024])</f>
        <v>0</v>
      </c>
      <c r="I78" s="8">
        <f xml:space="preserve"> SUMIF(tblGoogleUnits[Products],$A78, tblGoogleUnits[cv_2025]) + SUMIF(tblMetaUnits[Products],$A78, tblMetaUnits[cv_2025]) + SUMIF(tblAmazonUnits[Products],$A78, tblAmazonUnits[cv_2025]) + SUMIF(tblMicrosoftUnits[Products],$A78, tblMicrosoftUnits[cv_2025]) + SUMIF(tblAppleUnits[Products],$A78, tblAppleUnits[cv_2025]) + SUMIF(tblAlibabaUnits[Products],$A78, tblAlibabaUnits[cv_2025]) + SUMIF(tblHuaweiUnits[Products],$A78, tblHuaweiUnits[cv_2025]) + SUMIF(tblTencentUnits[Products],$A78, tblTencentUnits[cv_2025]) + SUMIF(tblBaiduUnits[Products],$A78, tblBaiduUnits[cv_2025]) + SUMIF(tblByteDanceUnits[Products],$A78, tblByteDanceUnits[cv_2025]) + SUMIF(tblCloudAOUnits[Products],$A78, tblCloudAOUnits[cv_2025]) + SUMIF(tblTelecomUnits[Products],$A78, tblTelecomUnits[cv_2025]) + SUMIF(tblEnterpriseUnits[Products],$A78, tblEnterpriseUnits[cv_2025])</f>
        <v>0</v>
      </c>
      <c r="J78" s="8">
        <f xml:space="preserve"> SUMIF(tblGoogleUnits[Products],$A78, tblGoogleUnits[cv_2026]) + SUMIF(tblMetaUnits[Products],$A78, tblMetaUnits[cv_2026]) + SUMIF(tblAmazonUnits[Products],$A78, tblAmazonUnits[cv_2026]) + SUMIF(tblMicrosoftUnits[Products],$A78, tblMicrosoftUnits[cv_2026]) + SUMIF(tblAppleUnits[Products],$A78, tblAppleUnits[cv_2026]) + SUMIF(tblAlibabaUnits[Products],$A78, tblAlibabaUnits[cv_2026]) + SUMIF(tblHuaweiUnits[Products],$A78, tblHuaweiUnits[cv_2026]) + SUMIF(tblTencentUnits[Products],$A78, tblTencentUnits[cv_2026]) + SUMIF(tblBaiduUnits[Products],$A78, tblBaiduUnits[cv_2026]) + SUMIF(tblByteDanceUnits[Products],$A78, tblByteDanceUnits[cv_2026]) + SUMIF(tblCloudAOUnits[Products],$A78, tblCloudAOUnits[cv_2026]) + SUMIF(tblTelecomUnits[Products],$A78, tblTelecomUnits[cv_2026]) + SUMIF(tblEnterpriseUnits[Products],$A78, tblEnterpriseUnits[cv_2026])</f>
        <v>0</v>
      </c>
      <c r="K78" s="8">
        <f xml:space="preserve"> SUMIF(tblGoogleUnits[Products],$A78, tblGoogleUnits[cv_2027]) + SUMIF(tblMetaUnits[Products],$A78, tblMetaUnits[cv_2027]) + SUMIF(tblAmazonUnits[Products],$A78, tblAmazonUnits[cv_2027]) + SUMIF(tblMicrosoftUnits[Products],$A78, tblMicrosoftUnits[cv_2027]) + SUMIF(tblAppleUnits[Products],$A78, tblAppleUnits[cv_2027]) + SUMIF(tblAlibabaUnits[Products],$A78, tblAlibabaUnits[cv_2027]) + SUMIF(tblHuaweiUnits[Products],$A78, tblHuaweiUnits[cv_2027]) + SUMIF(tblTencentUnits[Products],$A78, tblTencentUnits[cv_2027]) + SUMIF(tblBaiduUnits[Products],$A78, tblBaiduUnits[cv_2027]) + SUMIF(tblByteDanceUnits[Products],$A78, tblByteDanceUnits[cv_2027]) + SUMIF(tblCloudAOUnits[Products],$A78, tblCloudAOUnits[cv_2027]) + SUMIF(tblTelecomUnits[Products],$A78, tblTelecomUnits[cv_2027]) + SUMIF(tblEnterpriseUnits[Products],$A78, tblEnterpriseUnits[cv_2027])</f>
        <v>0</v>
      </c>
      <c r="L78" s="8">
        <f xml:space="preserve"> SUMIF(tblGoogleUnits[Products],$A78, tblGoogleUnits[cv_2028]) + SUMIF(tblMetaUnits[Products],$A78, tblMetaUnits[cv_2028]) + SUMIF(tblAmazonUnits[Products],$A78, tblAmazonUnits[cv_2028]) + SUMIF(tblMicrosoftUnits[Products],$A78, tblMicrosoftUnits[cv_2028]) + SUMIF(tblAppleUnits[Products],$A78, tblAppleUnits[cv_2028]) + SUMIF(tblAlibabaUnits[Products],$A78, tblAlibabaUnits[cv_2028]) + SUMIF(tblHuaweiUnits[Products],$A78, tblHuaweiUnits[cv_2028]) + SUMIF(tblTencentUnits[Products],$A78, tblTencentUnits[cv_2028]) + SUMIF(tblBaiduUnits[Products],$A78, tblBaiduUnits[cv_2028]) + SUMIF(tblByteDanceUnits[Products],$A78, tblByteDanceUnits[cv_2028]) + SUMIF(tblCloudAOUnits[Products],$A78, tblCloudAOUnits[cv_2028]) + SUMIF(tblTelecomUnits[Products],$A78, tblTelecomUnits[cv_2028]) + SUMIF(tblEnterpriseUnits[Products],$A78, tblEnterpriseUnits[cv_2028])</f>
        <v>0</v>
      </c>
      <c r="M78" s="105" cm="1">
        <f t="array" ref="M78">INDEX(tblPrices[cv_2018], MATCH($A78,tblPrices[Products],0), 0)</f>
        <v>0</v>
      </c>
      <c r="N78" s="105" cm="1">
        <f t="array" ref="N78">INDEX(tblPrices[cv_2019], MATCH($A78,tblPrices[Products],0), 0)</f>
        <v>0</v>
      </c>
      <c r="O78" s="105" cm="1">
        <f t="array" ref="O78">INDEX(tblPrices[cv_2020], MATCH($A78,tblPrices[Products],0), 0)</f>
        <v>0</v>
      </c>
      <c r="P78" s="105" cm="1">
        <f t="array" ref="P78">INDEX(tblPrices[cv_2021], MATCH($A78,tblPrices[Products],0), 0)</f>
        <v>0</v>
      </c>
      <c r="Q78" s="105" cm="1">
        <f t="array" ref="Q78">INDEX(tblPrices[cv_2022], MATCH($A78,tblPrices[Products],0), 0)</f>
        <v>0</v>
      </c>
      <c r="R78" s="105" cm="1">
        <f t="array" ref="R78">INDEX(tblPrices[cv_2023], MATCH($A78,tblPrices[Products],0), 0)</f>
        <v>0</v>
      </c>
      <c r="S78" s="105" cm="1">
        <f t="array" ref="S78">INDEX(tblPrices[cv_2024], MATCH($A78,tblPrices[Products],0), 0)</f>
        <v>0</v>
      </c>
      <c r="T78" s="105" cm="1">
        <f t="array" ref="T78">INDEX(tblPrices[cv_2025], MATCH($A78,tblPrices[Products],0), 0)</f>
        <v>0</v>
      </c>
      <c r="U78" s="105" cm="1">
        <f t="array" ref="U78">INDEX(tblPrices[cv_2026], MATCH($A78,tblPrices[Products],0), 0)</f>
        <v>0</v>
      </c>
      <c r="V78" s="105" cm="1">
        <f t="array" ref="V78">INDEX(tblPrices[cv_2027], MATCH($A78,tblPrices[Products],0), 0)</f>
        <v>0</v>
      </c>
      <c r="W78" s="105" cm="1">
        <f t="array" ref="W78">INDEX(tblPrices[cv_2028], MATCH($A78,tblPrices[Products],0), 0)</f>
        <v>0</v>
      </c>
      <c r="X78" s="106" cm="1">
        <f t="array" ref="X78">INDEX(tblPrices[cv_2018], MATCH($A78,tblPrices[Products],0), 0)* tblForecast[[#This Row],[un_2018]]/10^6</f>
        <v>0</v>
      </c>
      <c r="Y78" s="106" cm="1">
        <f t="array" ref="Y78">INDEX(tblPrices[cv_2019], MATCH($A78,tblPrices[Products],0), 0)* tblForecast[[#This Row],[un_2019]]/10^6</f>
        <v>0</v>
      </c>
      <c r="Z78" s="106" cm="1">
        <f t="array" ref="Z78">INDEX(tblPrices[cv_2020], MATCH($A78,tblPrices[Products],0), 0)* tblForecast[[#This Row],[un_2020]]/10^6</f>
        <v>0</v>
      </c>
      <c r="AA78" s="106" cm="1">
        <f t="array" ref="AA78">INDEX(tblPrices[cv_2021], MATCH($A78,tblPrices[Products],0), 0)* tblForecast[[#This Row],[un_2021]]/10^6</f>
        <v>0</v>
      </c>
      <c r="AB78" s="106" cm="1">
        <f t="array" ref="AB78">INDEX(tblPrices[cv_2022], MATCH($A78,tblPrices[Products],0), 0)* tblForecast[[#This Row],[un_2022]]/10^6</f>
        <v>0</v>
      </c>
      <c r="AC78" s="106" cm="1">
        <f t="array" ref="AC78">INDEX(tblPrices[cv_2023], MATCH($A78,tblPrices[Products],0), 0)* tblForecast[[#This Row],[un_2023]]/10^6</f>
        <v>0</v>
      </c>
      <c r="AD78" s="106" cm="1">
        <f t="array" ref="AD78">INDEX(tblPrices[cv_2024], MATCH($A78,tblPrices[Products],0), 0)* tblForecast[[#This Row],[un_2024]]/10^6</f>
        <v>0</v>
      </c>
      <c r="AE78" s="106" cm="1">
        <f t="array" ref="AE78">INDEX(tblPrices[cv_2025], MATCH($A78,tblPrices[Products],0), 0)* tblForecast[[#This Row],[un_2025]]/10^6</f>
        <v>0</v>
      </c>
      <c r="AF78" s="106" cm="1">
        <f t="array" ref="AF78">INDEX(tblPrices[cv_2026], MATCH($A78,tblPrices[Products],0), 0)* tblForecast[[#This Row],[un_2026]]/10^6</f>
        <v>0</v>
      </c>
      <c r="AG78" s="106" cm="1">
        <f t="array" ref="AG78">INDEX(tblPrices[cv_2027], MATCH($A78,tblPrices[Products],0), 0)* tblForecast[[#This Row],[un_2027]]/10^6</f>
        <v>0</v>
      </c>
      <c r="AH78" s="106" cm="1">
        <f t="array" ref="AH78">INDEX(tblPrices[cv_2028], MATCH($A78,tblPrices[Products],0), 0)* tblForecast[[#This Row],[un_2028]]/10^6</f>
        <v>0</v>
      </c>
      <c r="AI78" s="60">
        <f>VLOOKUP(A78,Products!$A$11:$F$110,6,FALSE)</f>
        <v>200</v>
      </c>
    </row>
    <row r="79" spans="1:35">
      <c r="A79" s="12" t="s">
        <v>41</v>
      </c>
      <c r="B79" s="8">
        <f xml:space="preserve"> SUMIF(tblGoogleUnits[Products],$A79, tblGoogleUnits[cv_2018]) + SUMIF(tblMetaUnits[Products],$A79, tblMetaUnits[cv_2018]) + SUMIF(tblAmazonUnits[Products],$A79, tblAmazonUnits[cv_2018]) + SUMIF(tblMicrosoftUnits[Products],$A79, tblMicrosoftUnits[cv_2018]) + SUMIF(tblAppleUnits[Products],$A79, tblAppleUnits[cv_2018]) + SUMIF(tblAlibabaUnits[Products],$A79, tblAlibabaUnits[cv_2018]) + SUMIF(tblHuaweiUnits[Products],$A79, tblHuaweiUnits[cv_2018]) + SUMIF(tblTencentUnits[Products],$A79, tblTencentUnits[cv_2018]) + SUMIF(tblBaiduUnits[Products],$A79, tblBaiduUnits[cv_2018]) + SUMIF(tblByteDanceUnits[Products],$A79, tblByteDanceUnits[cv_2018]) + SUMIF(tblCloudAOUnits[Products],$A79, tblCloudAOUnits[cv_2018]) + SUMIF(tblTelecomUnits[Products],$A79, tblTelecomUnits[cv_2018]) + SUMIF(tblEnterpriseUnits[Products],$A79, tblEnterpriseUnits[cv_2018])</f>
        <v>500</v>
      </c>
      <c r="C79" s="8">
        <f xml:space="preserve"> SUMIF(tblGoogleUnits[Products],$A79, tblGoogleUnits[cv_2019]) + SUMIF(tblMetaUnits[Products],$A79, tblMetaUnits[cv_2019]) + SUMIF(tblAmazonUnits[Products],$A79, tblAmazonUnits[cv_2019]) + SUMIF(tblMicrosoftUnits[Products],$A79, tblMicrosoftUnits[cv_2019]) + SUMIF(tblAppleUnits[Products],$A79, tblAppleUnits[cv_2019]) + SUMIF(tblAlibabaUnits[Products],$A79, tblAlibabaUnits[cv_2019]) + SUMIF(tblHuaweiUnits[Products],$A79, tblHuaweiUnits[cv_2019]) + SUMIF(tblTencentUnits[Products],$A79, tblTencentUnits[cv_2019]) + SUMIF(tblBaiduUnits[Products],$A79, tblBaiduUnits[cv_2019]) + SUMIF(tblByteDanceUnits[Products],$A79, tblByteDanceUnits[cv_2019]) + SUMIF(tblCloudAOUnits[Products],$A79, tblCloudAOUnits[cv_2019]) + SUMIF(tblTelecomUnits[Products],$A79, tblTelecomUnits[cv_2019]) + SUMIF(tblEnterpriseUnits[Products],$A79, tblEnterpriseUnits[cv_2019])</f>
        <v>6072</v>
      </c>
      <c r="D79" s="8">
        <f xml:space="preserve"> SUMIF(tblGoogleUnits[Products],$A79, tblGoogleUnits[cv_2020]) + SUMIF(tblMetaUnits[Products],$A79, tblMetaUnits[cv_2020]) + SUMIF(tblAmazonUnits[Products],$A79, tblAmazonUnits[cv_2020]) + SUMIF(tblMicrosoftUnits[Products],$A79, tblMicrosoftUnits[cv_2020]) + SUMIF(tblAppleUnits[Products],$A79, tblAppleUnits[cv_2020]) + SUMIF(tblAlibabaUnits[Products],$A79, tblAlibabaUnits[cv_2020]) + SUMIF(tblHuaweiUnits[Products],$A79, tblHuaweiUnits[cv_2020]) + SUMIF(tblTencentUnits[Products],$A79, tblTencentUnits[cv_2020]) + SUMIF(tblBaiduUnits[Products],$A79, tblBaiduUnits[cv_2020]) + SUMIF(tblByteDanceUnits[Products],$A79, tblByteDanceUnits[cv_2020]) + SUMIF(tblCloudAOUnits[Products],$A79, tblCloudAOUnits[cv_2020]) + SUMIF(tblTelecomUnits[Products],$A79, tblTelecomUnits[cv_2020]) + SUMIF(tblEnterpriseUnits[Products],$A79, tblEnterpriseUnits[cv_2020])</f>
        <v>0</v>
      </c>
      <c r="E79" s="8">
        <f xml:space="preserve"> SUMIF(tblGoogleUnits[Products],$A79, tblGoogleUnits[cv_2021]) + SUMIF(tblMetaUnits[Products],$A79, tblMetaUnits[cv_2021]) + SUMIF(tblAmazonUnits[Products],$A79, tblAmazonUnits[cv_2021]) + SUMIF(tblMicrosoftUnits[Products],$A79, tblMicrosoftUnits[cv_2021]) + SUMIF(tblAppleUnits[Products],$A79, tblAppleUnits[cv_2021]) + SUMIF(tblAlibabaUnits[Products],$A79, tblAlibabaUnits[cv_2021]) + SUMIF(tblHuaweiUnits[Products],$A79, tblHuaweiUnits[cv_2021]) + SUMIF(tblTencentUnits[Products],$A79, tblTencentUnits[cv_2021]) + SUMIF(tblBaiduUnits[Products],$A79, tblBaiduUnits[cv_2021]) + SUMIF(tblByteDanceUnits[Products],$A79, tblByteDanceUnits[cv_2021]) + SUMIF(tblCloudAOUnits[Products],$A79, tblCloudAOUnits[cv_2021]) + SUMIF(tblTelecomUnits[Products],$A79, tblTelecomUnits[cv_2021]) + SUMIF(tblEnterpriseUnits[Products],$A79, tblEnterpriseUnits[cv_2021])</f>
        <v>0</v>
      </c>
      <c r="F79" s="8">
        <f xml:space="preserve"> SUMIF(tblGoogleUnits[Products],$A79, tblGoogleUnits[cv_2022]) + SUMIF(tblMetaUnits[Products],$A79, tblMetaUnits[cv_2022]) + SUMIF(tblAmazonUnits[Products],$A79, tblAmazonUnits[cv_2022]) + SUMIF(tblMicrosoftUnits[Products],$A79, tblMicrosoftUnits[cv_2022]) + SUMIF(tblAppleUnits[Products],$A79, tblAppleUnits[cv_2022]) + SUMIF(tblAlibabaUnits[Products],$A79, tblAlibabaUnits[cv_2022]) + SUMIF(tblHuaweiUnits[Products],$A79, tblHuaweiUnits[cv_2022]) + SUMIF(tblTencentUnits[Products],$A79, tblTencentUnits[cv_2022]) + SUMIF(tblBaiduUnits[Products],$A79, tblBaiduUnits[cv_2022]) + SUMIF(tblByteDanceUnits[Products],$A79, tblByteDanceUnits[cv_2022]) + SUMIF(tblCloudAOUnits[Products],$A79, tblCloudAOUnits[cv_2022]) + SUMIF(tblTelecomUnits[Products],$A79, tblTelecomUnits[cv_2022]) + SUMIF(tblEnterpriseUnits[Products],$A79, tblEnterpriseUnits[cv_2022])</f>
        <v>0</v>
      </c>
      <c r="G79" s="8">
        <f xml:space="preserve"> SUMIF(tblGoogleUnits[Products],$A79, tblGoogleUnits[cv_2023]) + SUMIF(tblMetaUnits[Products],$A79, tblMetaUnits[cv_2023]) + SUMIF(tblAmazonUnits[Products],$A79, tblAmazonUnits[cv_2023]) + SUMIF(tblMicrosoftUnits[Products],$A79, tblMicrosoftUnits[cv_2023]) + SUMIF(tblAppleUnits[Products],$A79, tblAppleUnits[cv_2023]) + SUMIF(tblAlibabaUnits[Products],$A79, tblAlibabaUnits[cv_2023]) + SUMIF(tblHuaweiUnits[Products],$A79, tblHuaweiUnits[cv_2023]) + SUMIF(tblTencentUnits[Products],$A79, tblTencentUnits[cv_2023]) + SUMIF(tblBaiduUnits[Products],$A79, tblBaiduUnits[cv_2023]) + SUMIF(tblByteDanceUnits[Products],$A79, tblByteDanceUnits[cv_2023]) + SUMIF(tblCloudAOUnits[Products],$A79, tblCloudAOUnits[cv_2023]) + SUMIF(tblTelecomUnits[Products],$A79, tblTelecomUnits[cv_2023]) + SUMIF(tblEnterpriseUnits[Products],$A79, tblEnterpriseUnits[cv_2023])</f>
        <v>0</v>
      </c>
      <c r="H79" s="8">
        <f xml:space="preserve"> SUMIF(tblGoogleUnits[Products],$A79, tblGoogleUnits[cv_2024]) + SUMIF(tblMetaUnits[Products],$A79, tblMetaUnits[cv_2024]) + SUMIF(tblAmazonUnits[Products],$A79, tblAmazonUnits[cv_2024]) + SUMIF(tblMicrosoftUnits[Products],$A79, tblMicrosoftUnits[cv_2024]) + SUMIF(tblAppleUnits[Products],$A79, tblAppleUnits[cv_2024]) + SUMIF(tblAlibabaUnits[Products],$A79, tblAlibabaUnits[cv_2024]) + SUMIF(tblHuaweiUnits[Products],$A79, tblHuaweiUnits[cv_2024]) + SUMIF(tblTencentUnits[Products],$A79, tblTencentUnits[cv_2024]) + SUMIF(tblBaiduUnits[Products],$A79, tblBaiduUnits[cv_2024]) + SUMIF(tblByteDanceUnits[Products],$A79, tblByteDanceUnits[cv_2024]) + SUMIF(tblCloudAOUnits[Products],$A79, tblCloudAOUnits[cv_2024]) + SUMIF(tblTelecomUnits[Products],$A79, tblTelecomUnits[cv_2024]) + SUMIF(tblEnterpriseUnits[Products],$A79, tblEnterpriseUnits[cv_2024])</f>
        <v>0</v>
      </c>
      <c r="I79" s="8">
        <f xml:space="preserve"> SUMIF(tblGoogleUnits[Products],$A79, tblGoogleUnits[cv_2025]) + SUMIF(tblMetaUnits[Products],$A79, tblMetaUnits[cv_2025]) + SUMIF(tblAmazonUnits[Products],$A79, tblAmazonUnits[cv_2025]) + SUMIF(tblMicrosoftUnits[Products],$A79, tblMicrosoftUnits[cv_2025]) + SUMIF(tblAppleUnits[Products],$A79, tblAppleUnits[cv_2025]) + SUMIF(tblAlibabaUnits[Products],$A79, tblAlibabaUnits[cv_2025]) + SUMIF(tblHuaweiUnits[Products],$A79, tblHuaweiUnits[cv_2025]) + SUMIF(tblTencentUnits[Products],$A79, tblTencentUnits[cv_2025]) + SUMIF(tblBaiduUnits[Products],$A79, tblBaiduUnits[cv_2025]) + SUMIF(tblByteDanceUnits[Products],$A79, tblByteDanceUnits[cv_2025]) + SUMIF(tblCloudAOUnits[Products],$A79, tblCloudAOUnits[cv_2025]) + SUMIF(tblTelecomUnits[Products],$A79, tblTelecomUnits[cv_2025]) + SUMIF(tblEnterpriseUnits[Products],$A79, tblEnterpriseUnits[cv_2025])</f>
        <v>0</v>
      </c>
      <c r="J79" s="8">
        <f xml:space="preserve"> SUMIF(tblGoogleUnits[Products],$A79, tblGoogleUnits[cv_2026]) + SUMIF(tblMetaUnits[Products],$A79, tblMetaUnits[cv_2026]) + SUMIF(tblAmazonUnits[Products],$A79, tblAmazonUnits[cv_2026]) + SUMIF(tblMicrosoftUnits[Products],$A79, tblMicrosoftUnits[cv_2026]) + SUMIF(tblAppleUnits[Products],$A79, tblAppleUnits[cv_2026]) + SUMIF(tblAlibabaUnits[Products],$A79, tblAlibabaUnits[cv_2026]) + SUMIF(tblHuaweiUnits[Products],$A79, tblHuaweiUnits[cv_2026]) + SUMIF(tblTencentUnits[Products],$A79, tblTencentUnits[cv_2026]) + SUMIF(tblBaiduUnits[Products],$A79, tblBaiduUnits[cv_2026]) + SUMIF(tblByteDanceUnits[Products],$A79, tblByteDanceUnits[cv_2026]) + SUMIF(tblCloudAOUnits[Products],$A79, tblCloudAOUnits[cv_2026]) + SUMIF(tblTelecomUnits[Products],$A79, tblTelecomUnits[cv_2026]) + SUMIF(tblEnterpriseUnits[Products],$A79, tblEnterpriseUnits[cv_2026])</f>
        <v>0</v>
      </c>
      <c r="K79" s="8">
        <f xml:space="preserve"> SUMIF(tblGoogleUnits[Products],$A79, tblGoogleUnits[cv_2027]) + SUMIF(tblMetaUnits[Products],$A79, tblMetaUnits[cv_2027]) + SUMIF(tblAmazonUnits[Products],$A79, tblAmazonUnits[cv_2027]) + SUMIF(tblMicrosoftUnits[Products],$A79, tblMicrosoftUnits[cv_2027]) + SUMIF(tblAppleUnits[Products],$A79, tblAppleUnits[cv_2027]) + SUMIF(tblAlibabaUnits[Products],$A79, tblAlibabaUnits[cv_2027]) + SUMIF(tblHuaweiUnits[Products],$A79, tblHuaweiUnits[cv_2027]) + SUMIF(tblTencentUnits[Products],$A79, tblTencentUnits[cv_2027]) + SUMIF(tblBaiduUnits[Products],$A79, tblBaiduUnits[cv_2027]) + SUMIF(tblByteDanceUnits[Products],$A79, tblByteDanceUnits[cv_2027]) + SUMIF(tblCloudAOUnits[Products],$A79, tblCloudAOUnits[cv_2027]) + SUMIF(tblTelecomUnits[Products],$A79, tblTelecomUnits[cv_2027]) + SUMIF(tblEnterpriseUnits[Products],$A79, tblEnterpriseUnits[cv_2027])</f>
        <v>0</v>
      </c>
      <c r="L79" s="8">
        <f xml:space="preserve"> SUMIF(tblGoogleUnits[Products],$A79, tblGoogleUnits[cv_2028]) + SUMIF(tblMetaUnits[Products],$A79, tblMetaUnits[cv_2028]) + SUMIF(tblAmazonUnits[Products],$A79, tblAmazonUnits[cv_2028]) + SUMIF(tblMicrosoftUnits[Products],$A79, tblMicrosoftUnits[cv_2028]) + SUMIF(tblAppleUnits[Products],$A79, tblAppleUnits[cv_2028]) + SUMIF(tblAlibabaUnits[Products],$A79, tblAlibabaUnits[cv_2028]) + SUMIF(tblHuaweiUnits[Products],$A79, tblHuaweiUnits[cv_2028]) + SUMIF(tblTencentUnits[Products],$A79, tblTencentUnits[cv_2028]) + SUMIF(tblBaiduUnits[Products],$A79, tblBaiduUnits[cv_2028]) + SUMIF(tblByteDanceUnits[Products],$A79, tblByteDanceUnits[cv_2028]) + SUMIF(tblCloudAOUnits[Products],$A79, tblCloudAOUnits[cv_2028]) + SUMIF(tblTelecomUnits[Products],$A79, tblTelecomUnits[cv_2028]) + SUMIF(tblEnterpriseUnits[Products],$A79, tblEnterpriseUnits[cv_2028])</f>
        <v>0</v>
      </c>
      <c r="M79" s="105" cm="1">
        <f t="array" ref="M79">INDEX(tblPrices[cv_2018], MATCH($A79,tblPrices[Products],0), 0)</f>
        <v>1500</v>
      </c>
      <c r="N79" s="105" cm="1">
        <f t="array" ref="N79">INDEX(tblPrices[cv_2019], MATCH($A79,tblPrices[Products],0), 0)</f>
        <v>509.63438735177863</v>
      </c>
      <c r="O79" s="105" cm="1">
        <f t="array" ref="O79">INDEX(tblPrices[cv_2020], MATCH($A79,tblPrices[Products],0), 0)</f>
        <v>0</v>
      </c>
      <c r="P79" s="105" cm="1">
        <f t="array" ref="P79">INDEX(tblPrices[cv_2021], MATCH($A79,tblPrices[Products],0), 0)</f>
        <v>0</v>
      </c>
      <c r="Q79" s="105" cm="1">
        <f t="array" ref="Q79">INDEX(tblPrices[cv_2022], MATCH($A79,tblPrices[Products],0), 0)</f>
        <v>0</v>
      </c>
      <c r="R79" s="105" cm="1">
        <f t="array" ref="R79">INDEX(tblPrices[cv_2023], MATCH($A79,tblPrices[Products],0), 0)</f>
        <v>0</v>
      </c>
      <c r="S79" s="105" cm="1">
        <f t="array" ref="S79">INDEX(tblPrices[cv_2024], MATCH($A79,tblPrices[Products],0), 0)</f>
        <v>0</v>
      </c>
      <c r="T79" s="105" cm="1">
        <f t="array" ref="T79">INDEX(tblPrices[cv_2025], MATCH($A79,tblPrices[Products],0), 0)</f>
        <v>0</v>
      </c>
      <c r="U79" s="105" cm="1">
        <f t="array" ref="U79">INDEX(tblPrices[cv_2026], MATCH($A79,tblPrices[Products],0), 0)</f>
        <v>0</v>
      </c>
      <c r="V79" s="105" cm="1">
        <f t="array" ref="V79">INDEX(tblPrices[cv_2027], MATCH($A79,tblPrices[Products],0), 0)</f>
        <v>0</v>
      </c>
      <c r="W79" s="105" cm="1">
        <f t="array" ref="W79">INDEX(tblPrices[cv_2028], MATCH($A79,tblPrices[Products],0), 0)</f>
        <v>0</v>
      </c>
      <c r="X79" s="106" cm="1">
        <f t="array" ref="X79">INDEX(tblPrices[cv_2018], MATCH($A79,tblPrices[Products],0), 0)* tblForecast[[#This Row],[un_2018]]/10^6</f>
        <v>0.75</v>
      </c>
      <c r="Y79" s="106" cm="1">
        <f t="array" ref="Y79">INDEX(tblPrices[cv_2019], MATCH($A79,tblPrices[Products],0), 0)* tblForecast[[#This Row],[un_2019]]/10^6</f>
        <v>3.0945</v>
      </c>
      <c r="Z79" s="106" cm="1">
        <f t="array" ref="Z79">INDEX(tblPrices[cv_2020], MATCH($A79,tblPrices[Products],0), 0)* tblForecast[[#This Row],[un_2020]]/10^6</f>
        <v>0</v>
      </c>
      <c r="AA79" s="106" cm="1">
        <f t="array" ref="AA79">INDEX(tblPrices[cv_2021], MATCH($A79,tblPrices[Products],0), 0)* tblForecast[[#This Row],[un_2021]]/10^6</f>
        <v>0</v>
      </c>
      <c r="AB79" s="106" cm="1">
        <f t="array" ref="AB79">INDEX(tblPrices[cv_2022], MATCH($A79,tblPrices[Products],0), 0)* tblForecast[[#This Row],[un_2022]]/10^6</f>
        <v>0</v>
      </c>
      <c r="AC79" s="106" cm="1">
        <f t="array" ref="AC79">INDEX(tblPrices[cv_2023], MATCH($A79,tblPrices[Products],0), 0)* tblForecast[[#This Row],[un_2023]]/10^6</f>
        <v>0</v>
      </c>
      <c r="AD79" s="106" cm="1">
        <f t="array" ref="AD79">INDEX(tblPrices[cv_2024], MATCH($A79,tblPrices[Products],0), 0)* tblForecast[[#This Row],[un_2024]]/10^6</f>
        <v>0</v>
      </c>
      <c r="AE79" s="106" cm="1">
        <f t="array" ref="AE79">INDEX(tblPrices[cv_2025], MATCH($A79,tblPrices[Products],0), 0)* tblForecast[[#This Row],[un_2025]]/10^6</f>
        <v>0</v>
      </c>
      <c r="AF79" s="106" cm="1">
        <f t="array" ref="AF79">INDEX(tblPrices[cv_2026], MATCH($A79,tblPrices[Products],0), 0)* tblForecast[[#This Row],[un_2026]]/10^6</f>
        <v>0</v>
      </c>
      <c r="AG79" s="106" cm="1">
        <f t="array" ref="AG79">INDEX(tblPrices[cv_2027], MATCH($A79,tblPrices[Products],0), 0)* tblForecast[[#This Row],[un_2027]]/10^6</f>
        <v>0</v>
      </c>
      <c r="AH79" s="106" cm="1">
        <f t="array" ref="AH79">INDEX(tblPrices[cv_2028], MATCH($A79,tblPrices[Products],0), 0)* tblForecast[[#This Row],[un_2028]]/10^6</f>
        <v>0</v>
      </c>
      <c r="AI79" s="60">
        <f>VLOOKUP(A79,Products!$A$11:$F$110,6,FALSE)</f>
        <v>200</v>
      </c>
    </row>
    <row r="80" spans="1:35">
      <c r="A80" s="12" t="s">
        <v>188</v>
      </c>
      <c r="B80" s="8">
        <f xml:space="preserve"> SUMIF(tblGoogleUnits[Products],$A80, tblGoogleUnits[cv_2018]) + SUMIF(tblMetaUnits[Products],$A80, tblMetaUnits[cv_2018]) + SUMIF(tblAmazonUnits[Products],$A80, tblAmazonUnits[cv_2018]) + SUMIF(tblMicrosoftUnits[Products],$A80, tblMicrosoftUnits[cv_2018]) + SUMIF(tblAppleUnits[Products],$A80, tblAppleUnits[cv_2018]) + SUMIF(tblAlibabaUnits[Products],$A80, tblAlibabaUnits[cv_2018]) + SUMIF(tblHuaweiUnits[Products],$A80, tblHuaweiUnits[cv_2018]) + SUMIF(tblTencentUnits[Products],$A80, tblTencentUnits[cv_2018]) + SUMIF(tblBaiduUnits[Products],$A80, tblBaiduUnits[cv_2018]) + SUMIF(tblByteDanceUnits[Products],$A80, tblByteDanceUnits[cv_2018]) + SUMIF(tblCloudAOUnits[Products],$A80, tblCloudAOUnits[cv_2018]) + SUMIF(tblTelecomUnits[Products],$A80, tblTelecomUnits[cv_2018]) + SUMIF(tblEnterpriseUnits[Products],$A80, tblEnterpriseUnits[cv_2018])</f>
        <v>0</v>
      </c>
      <c r="C80" s="8">
        <f xml:space="preserve"> SUMIF(tblGoogleUnits[Products],$A80, tblGoogleUnits[cv_2019]) + SUMIF(tblMetaUnits[Products],$A80, tblMetaUnits[cv_2019]) + SUMIF(tblAmazonUnits[Products],$A80, tblAmazonUnits[cv_2019]) + SUMIF(tblMicrosoftUnits[Products],$A80, tblMicrosoftUnits[cv_2019]) + SUMIF(tblAppleUnits[Products],$A80, tblAppleUnits[cv_2019]) + SUMIF(tblAlibabaUnits[Products],$A80, tblAlibabaUnits[cv_2019]) + SUMIF(tblHuaweiUnits[Products],$A80, tblHuaweiUnits[cv_2019]) + SUMIF(tblTencentUnits[Products],$A80, tblTencentUnits[cv_2019]) + SUMIF(tblBaiduUnits[Products],$A80, tblBaiduUnits[cv_2019]) + SUMIF(tblByteDanceUnits[Products],$A80, tblByteDanceUnits[cv_2019]) + SUMIF(tblCloudAOUnits[Products],$A80, tblCloudAOUnits[cv_2019]) + SUMIF(tblTelecomUnits[Products],$A80, tblTelecomUnits[cv_2019]) + SUMIF(tblEnterpriseUnits[Products],$A80, tblEnterpriseUnits[cv_2019])</f>
        <v>0</v>
      </c>
      <c r="D80" s="8">
        <f xml:space="preserve"> SUMIF(tblGoogleUnits[Products],$A80, tblGoogleUnits[cv_2020]) + SUMIF(tblMetaUnits[Products],$A80, tblMetaUnits[cv_2020]) + SUMIF(tblAmazonUnits[Products],$A80, tblAmazonUnits[cv_2020]) + SUMIF(tblMicrosoftUnits[Products],$A80, tblMicrosoftUnits[cv_2020]) + SUMIF(tblAppleUnits[Products],$A80, tblAppleUnits[cv_2020]) + SUMIF(tblAlibabaUnits[Products],$A80, tblAlibabaUnits[cv_2020]) + SUMIF(tblHuaweiUnits[Products],$A80, tblHuaweiUnits[cv_2020]) + SUMIF(tblTencentUnits[Products],$A80, tblTencentUnits[cv_2020]) + SUMIF(tblBaiduUnits[Products],$A80, tblBaiduUnits[cv_2020]) + SUMIF(tblByteDanceUnits[Products],$A80, tblByteDanceUnits[cv_2020]) + SUMIF(tblCloudAOUnits[Products],$A80, tblCloudAOUnits[cv_2020]) + SUMIF(tblTelecomUnits[Products],$A80, tblTelecomUnits[cv_2020]) + SUMIF(tblEnterpriseUnits[Products],$A80, tblEnterpriseUnits[cv_2020])</f>
        <v>0</v>
      </c>
      <c r="E80" s="8">
        <f xml:space="preserve"> SUMIF(tblGoogleUnits[Products],$A80, tblGoogleUnits[cv_2021]) + SUMIF(tblMetaUnits[Products],$A80, tblMetaUnits[cv_2021]) + SUMIF(tblAmazonUnits[Products],$A80, tblAmazonUnits[cv_2021]) + SUMIF(tblMicrosoftUnits[Products],$A80, tblMicrosoftUnits[cv_2021]) + SUMIF(tblAppleUnits[Products],$A80, tblAppleUnits[cv_2021]) + SUMIF(tblAlibabaUnits[Products],$A80, tblAlibabaUnits[cv_2021]) + SUMIF(tblHuaweiUnits[Products],$A80, tblHuaweiUnits[cv_2021]) + SUMIF(tblTencentUnits[Products],$A80, tblTencentUnits[cv_2021]) + SUMIF(tblBaiduUnits[Products],$A80, tblBaiduUnits[cv_2021]) + SUMIF(tblByteDanceUnits[Products],$A80, tblByteDanceUnits[cv_2021]) + SUMIF(tblCloudAOUnits[Products],$A80, tblCloudAOUnits[cv_2021]) + SUMIF(tblTelecomUnits[Products],$A80, tblTelecomUnits[cv_2021]) + SUMIF(tblEnterpriseUnits[Products],$A80, tblEnterpriseUnits[cv_2021])</f>
        <v>0</v>
      </c>
      <c r="F80" s="8">
        <f xml:space="preserve"> SUMIF(tblGoogleUnits[Products],$A80, tblGoogleUnits[cv_2022]) + SUMIF(tblMetaUnits[Products],$A80, tblMetaUnits[cv_2022]) + SUMIF(tblAmazonUnits[Products],$A80, tblAmazonUnits[cv_2022]) + SUMIF(tblMicrosoftUnits[Products],$A80, tblMicrosoftUnits[cv_2022]) + SUMIF(tblAppleUnits[Products],$A80, tblAppleUnits[cv_2022]) + SUMIF(tblAlibabaUnits[Products],$A80, tblAlibabaUnits[cv_2022]) + SUMIF(tblHuaweiUnits[Products],$A80, tblHuaweiUnits[cv_2022]) + SUMIF(tblTencentUnits[Products],$A80, tblTencentUnits[cv_2022]) + SUMIF(tblBaiduUnits[Products],$A80, tblBaiduUnits[cv_2022]) + SUMIF(tblByteDanceUnits[Products],$A80, tblByteDanceUnits[cv_2022]) + SUMIF(tblCloudAOUnits[Products],$A80, tblCloudAOUnits[cv_2022]) + SUMIF(tblTelecomUnits[Products],$A80, tblTelecomUnits[cv_2022]) + SUMIF(tblEnterpriseUnits[Products],$A80, tblEnterpriseUnits[cv_2022])</f>
        <v>0</v>
      </c>
      <c r="G80" s="8">
        <f xml:space="preserve"> SUMIF(tblGoogleUnits[Products],$A80, tblGoogleUnits[cv_2023]) + SUMIF(tblMetaUnits[Products],$A80, tblMetaUnits[cv_2023]) + SUMIF(tblAmazonUnits[Products],$A80, tblAmazonUnits[cv_2023]) + SUMIF(tblMicrosoftUnits[Products],$A80, tblMicrosoftUnits[cv_2023]) + SUMIF(tblAppleUnits[Products],$A80, tblAppleUnits[cv_2023]) + SUMIF(tblAlibabaUnits[Products],$A80, tblAlibabaUnits[cv_2023]) + SUMIF(tblHuaweiUnits[Products],$A80, tblHuaweiUnits[cv_2023]) + SUMIF(tblTencentUnits[Products],$A80, tblTencentUnits[cv_2023]) + SUMIF(tblBaiduUnits[Products],$A80, tblBaiduUnits[cv_2023]) + SUMIF(tblByteDanceUnits[Products],$A80, tblByteDanceUnits[cv_2023]) + SUMIF(tblCloudAOUnits[Products],$A80, tblCloudAOUnits[cv_2023]) + SUMIF(tblTelecomUnits[Products],$A80, tblTelecomUnits[cv_2023]) + SUMIF(tblEnterpriseUnits[Products],$A80, tblEnterpriseUnits[cv_2023])</f>
        <v>0</v>
      </c>
      <c r="H80" s="8">
        <f xml:space="preserve"> SUMIF(tblGoogleUnits[Products],$A80, tblGoogleUnits[cv_2024]) + SUMIF(tblMetaUnits[Products],$A80, tblMetaUnits[cv_2024]) + SUMIF(tblAmazonUnits[Products],$A80, tblAmazonUnits[cv_2024]) + SUMIF(tblMicrosoftUnits[Products],$A80, tblMicrosoftUnits[cv_2024]) + SUMIF(tblAppleUnits[Products],$A80, tblAppleUnits[cv_2024]) + SUMIF(tblAlibabaUnits[Products],$A80, tblAlibabaUnits[cv_2024]) + SUMIF(tblHuaweiUnits[Products],$A80, tblHuaweiUnits[cv_2024]) + SUMIF(tblTencentUnits[Products],$A80, tblTencentUnits[cv_2024]) + SUMIF(tblBaiduUnits[Products],$A80, tblBaiduUnits[cv_2024]) + SUMIF(tblByteDanceUnits[Products],$A80, tblByteDanceUnits[cv_2024]) + SUMIF(tblCloudAOUnits[Products],$A80, tblCloudAOUnits[cv_2024]) + SUMIF(tblTelecomUnits[Products],$A80, tblTelecomUnits[cv_2024]) + SUMIF(tblEnterpriseUnits[Products],$A80, tblEnterpriseUnits[cv_2024])</f>
        <v>0</v>
      </c>
      <c r="I80" s="8">
        <f xml:space="preserve"> SUMIF(tblGoogleUnits[Products],$A80, tblGoogleUnits[cv_2025]) + SUMIF(tblMetaUnits[Products],$A80, tblMetaUnits[cv_2025]) + SUMIF(tblAmazonUnits[Products],$A80, tblAmazonUnits[cv_2025]) + SUMIF(tblMicrosoftUnits[Products],$A80, tblMicrosoftUnits[cv_2025]) + SUMIF(tblAppleUnits[Products],$A80, tblAppleUnits[cv_2025]) + SUMIF(tblAlibabaUnits[Products],$A80, tblAlibabaUnits[cv_2025]) + SUMIF(tblHuaweiUnits[Products],$A80, tblHuaweiUnits[cv_2025]) + SUMIF(tblTencentUnits[Products],$A80, tblTencentUnits[cv_2025]) + SUMIF(tblBaiduUnits[Products],$A80, tblBaiduUnits[cv_2025]) + SUMIF(tblByteDanceUnits[Products],$A80, tblByteDanceUnits[cv_2025]) + SUMIF(tblCloudAOUnits[Products],$A80, tblCloudAOUnits[cv_2025]) + SUMIF(tblTelecomUnits[Products],$A80, tblTelecomUnits[cv_2025]) + SUMIF(tblEnterpriseUnits[Products],$A80, tblEnterpriseUnits[cv_2025])</f>
        <v>0</v>
      </c>
      <c r="J80" s="8">
        <f xml:space="preserve"> SUMIF(tblGoogleUnits[Products],$A80, tblGoogleUnits[cv_2026]) + SUMIF(tblMetaUnits[Products],$A80, tblMetaUnits[cv_2026]) + SUMIF(tblAmazonUnits[Products],$A80, tblAmazonUnits[cv_2026]) + SUMIF(tblMicrosoftUnits[Products],$A80, tblMicrosoftUnits[cv_2026]) + SUMIF(tblAppleUnits[Products],$A80, tblAppleUnits[cv_2026]) + SUMIF(tblAlibabaUnits[Products],$A80, tblAlibabaUnits[cv_2026]) + SUMIF(tblHuaweiUnits[Products],$A80, tblHuaweiUnits[cv_2026]) + SUMIF(tblTencentUnits[Products],$A80, tblTencentUnits[cv_2026]) + SUMIF(tblBaiduUnits[Products],$A80, tblBaiduUnits[cv_2026]) + SUMIF(tblByteDanceUnits[Products],$A80, tblByteDanceUnits[cv_2026]) + SUMIF(tblCloudAOUnits[Products],$A80, tblCloudAOUnits[cv_2026]) + SUMIF(tblTelecomUnits[Products],$A80, tblTelecomUnits[cv_2026]) + SUMIF(tblEnterpriseUnits[Products],$A80, tblEnterpriseUnits[cv_2026])</f>
        <v>0</v>
      </c>
      <c r="K80" s="8">
        <f xml:space="preserve"> SUMIF(tblGoogleUnits[Products],$A80, tblGoogleUnits[cv_2027]) + SUMIF(tblMetaUnits[Products],$A80, tblMetaUnits[cv_2027]) + SUMIF(tblAmazonUnits[Products],$A80, tblAmazonUnits[cv_2027]) + SUMIF(tblMicrosoftUnits[Products],$A80, tblMicrosoftUnits[cv_2027]) + SUMIF(tblAppleUnits[Products],$A80, tblAppleUnits[cv_2027]) + SUMIF(tblAlibabaUnits[Products],$A80, tblAlibabaUnits[cv_2027]) + SUMIF(tblHuaweiUnits[Products],$A80, tblHuaweiUnits[cv_2027]) + SUMIF(tblTencentUnits[Products],$A80, tblTencentUnits[cv_2027]) + SUMIF(tblBaiduUnits[Products],$A80, tblBaiduUnits[cv_2027]) + SUMIF(tblByteDanceUnits[Products],$A80, tblByteDanceUnits[cv_2027]) + SUMIF(tblCloudAOUnits[Products],$A80, tblCloudAOUnits[cv_2027]) + SUMIF(tblTelecomUnits[Products],$A80, tblTelecomUnits[cv_2027]) + SUMIF(tblEnterpriseUnits[Products],$A80, tblEnterpriseUnits[cv_2027])</f>
        <v>0</v>
      </c>
      <c r="L80" s="8">
        <f xml:space="preserve"> SUMIF(tblGoogleUnits[Products],$A80, tblGoogleUnits[cv_2028]) + SUMIF(tblMetaUnits[Products],$A80, tblMetaUnits[cv_2028]) + SUMIF(tblAmazonUnits[Products],$A80, tblAmazonUnits[cv_2028]) + SUMIF(tblMicrosoftUnits[Products],$A80, tblMicrosoftUnits[cv_2028]) + SUMIF(tblAppleUnits[Products],$A80, tblAppleUnits[cv_2028]) + SUMIF(tblAlibabaUnits[Products],$A80, tblAlibabaUnits[cv_2028]) + SUMIF(tblHuaweiUnits[Products],$A80, tblHuaweiUnits[cv_2028]) + SUMIF(tblTencentUnits[Products],$A80, tblTencentUnits[cv_2028]) + SUMIF(tblBaiduUnits[Products],$A80, tblBaiduUnits[cv_2028]) + SUMIF(tblByteDanceUnits[Products],$A80, tblByteDanceUnits[cv_2028]) + SUMIF(tblCloudAOUnits[Products],$A80, tblCloudAOUnits[cv_2028]) + SUMIF(tblTelecomUnits[Products],$A80, tblTelecomUnits[cv_2028]) + SUMIF(tblEnterpriseUnits[Products],$A80, tblEnterpriseUnits[cv_2028])</f>
        <v>0</v>
      </c>
      <c r="M80" s="105" cm="1">
        <f t="array" ref="M80">INDEX(tblPrices[cv_2018], MATCH($A80,tblPrices[Products],0), 0)</f>
        <v>0</v>
      </c>
      <c r="N80" s="105" cm="1">
        <f t="array" ref="N80">INDEX(tblPrices[cv_2019], MATCH($A80,tblPrices[Products],0), 0)</f>
        <v>0</v>
      </c>
      <c r="O80" s="105" cm="1">
        <f t="array" ref="O80">INDEX(tblPrices[cv_2020], MATCH($A80,tblPrices[Products],0), 0)</f>
        <v>0</v>
      </c>
      <c r="P80" s="105" cm="1">
        <f t="array" ref="P80">INDEX(tblPrices[cv_2021], MATCH($A80,tblPrices[Products],0), 0)</f>
        <v>0</v>
      </c>
      <c r="Q80" s="105" cm="1">
        <f t="array" ref="Q80">INDEX(tblPrices[cv_2022], MATCH($A80,tblPrices[Products],0), 0)</f>
        <v>0</v>
      </c>
      <c r="R80" s="105" cm="1">
        <f t="array" ref="R80">INDEX(tblPrices[cv_2023], MATCH($A80,tblPrices[Products],0), 0)</f>
        <v>0</v>
      </c>
      <c r="S80" s="105" cm="1">
        <f t="array" ref="S80">INDEX(tblPrices[cv_2024], MATCH($A80,tblPrices[Products],0), 0)</f>
        <v>0</v>
      </c>
      <c r="T80" s="105" cm="1">
        <f t="array" ref="T80">INDEX(tblPrices[cv_2025], MATCH($A80,tblPrices[Products],0), 0)</f>
        <v>0</v>
      </c>
      <c r="U80" s="105" cm="1">
        <f t="array" ref="U80">INDEX(tblPrices[cv_2026], MATCH($A80,tblPrices[Products],0), 0)</f>
        <v>0</v>
      </c>
      <c r="V80" s="105" cm="1">
        <f t="array" ref="V80">INDEX(tblPrices[cv_2027], MATCH($A80,tblPrices[Products],0), 0)</f>
        <v>0</v>
      </c>
      <c r="W80" s="105" cm="1">
        <f t="array" ref="W80">INDEX(tblPrices[cv_2028], MATCH($A80,tblPrices[Products],0), 0)</f>
        <v>0</v>
      </c>
      <c r="X80" s="106" cm="1">
        <f t="array" ref="X80">INDEX(tblPrices[cv_2018], MATCH($A80,tblPrices[Products],0), 0)* tblForecast[[#This Row],[un_2018]]/10^6</f>
        <v>0</v>
      </c>
      <c r="Y80" s="106" cm="1">
        <f t="array" ref="Y80">INDEX(tblPrices[cv_2019], MATCH($A80,tblPrices[Products],0), 0)* tblForecast[[#This Row],[un_2019]]/10^6</f>
        <v>0</v>
      </c>
      <c r="Z80" s="106" cm="1">
        <f t="array" ref="Z80">INDEX(tblPrices[cv_2020], MATCH($A80,tblPrices[Products],0), 0)* tblForecast[[#This Row],[un_2020]]/10^6</f>
        <v>0</v>
      </c>
      <c r="AA80" s="106" cm="1">
        <f t="array" ref="AA80">INDEX(tblPrices[cv_2021], MATCH($A80,tblPrices[Products],0), 0)* tblForecast[[#This Row],[un_2021]]/10^6</f>
        <v>0</v>
      </c>
      <c r="AB80" s="106" cm="1">
        <f t="array" ref="AB80">INDEX(tblPrices[cv_2022], MATCH($A80,tblPrices[Products],0), 0)* tblForecast[[#This Row],[un_2022]]/10^6</f>
        <v>0</v>
      </c>
      <c r="AC80" s="106" cm="1">
        <f t="array" ref="AC80">INDEX(tblPrices[cv_2023], MATCH($A80,tblPrices[Products],0), 0)* tblForecast[[#This Row],[un_2023]]/10^6</f>
        <v>0</v>
      </c>
      <c r="AD80" s="106" cm="1">
        <f t="array" ref="AD80">INDEX(tblPrices[cv_2024], MATCH($A80,tblPrices[Products],0), 0)* tblForecast[[#This Row],[un_2024]]/10^6</f>
        <v>0</v>
      </c>
      <c r="AE80" s="106" cm="1">
        <f t="array" ref="AE80">INDEX(tblPrices[cv_2025], MATCH($A80,tblPrices[Products],0), 0)* tblForecast[[#This Row],[un_2025]]/10^6</f>
        <v>0</v>
      </c>
      <c r="AF80" s="106" cm="1">
        <f t="array" ref="AF80">INDEX(tblPrices[cv_2026], MATCH($A80,tblPrices[Products],0), 0)* tblForecast[[#This Row],[un_2026]]/10^6</f>
        <v>0</v>
      </c>
      <c r="AG80" s="106" cm="1">
        <f t="array" ref="AG80">INDEX(tblPrices[cv_2027], MATCH($A80,tblPrices[Products],0), 0)* tblForecast[[#This Row],[un_2027]]/10^6</f>
        <v>0</v>
      </c>
      <c r="AH80" s="106" cm="1">
        <f t="array" ref="AH80">INDEX(tblPrices[cv_2028], MATCH($A80,tblPrices[Products],0), 0)* tblForecast[[#This Row],[un_2028]]/10^6</f>
        <v>0</v>
      </c>
      <c r="AI80" s="60">
        <f>VLOOKUP(A80,Products!$A$11:$F$110,6,FALSE)</f>
        <v>200</v>
      </c>
    </row>
    <row r="81" spans="1:35">
      <c r="A81" s="12" t="s">
        <v>189</v>
      </c>
      <c r="B81" s="8">
        <f xml:space="preserve"> SUMIF(tblGoogleUnits[Products],$A81, tblGoogleUnits[cv_2018]) + SUMIF(tblMetaUnits[Products],$A81, tblMetaUnits[cv_2018]) + SUMIF(tblAmazonUnits[Products],$A81, tblAmazonUnits[cv_2018]) + SUMIF(tblMicrosoftUnits[Products],$A81, tblMicrosoftUnits[cv_2018]) + SUMIF(tblAppleUnits[Products],$A81, tblAppleUnits[cv_2018]) + SUMIF(tblAlibabaUnits[Products],$A81, tblAlibabaUnits[cv_2018]) + SUMIF(tblHuaweiUnits[Products],$A81, tblHuaweiUnits[cv_2018]) + SUMIF(tblTencentUnits[Products],$A81, tblTencentUnits[cv_2018]) + SUMIF(tblBaiduUnits[Products],$A81, tblBaiduUnits[cv_2018]) + SUMIF(tblByteDanceUnits[Products],$A81, tblByteDanceUnits[cv_2018]) + SUMIF(tblCloudAOUnits[Products],$A81, tblCloudAOUnits[cv_2018]) + SUMIF(tblTelecomUnits[Products],$A81, tblTelecomUnits[cv_2018]) + SUMIF(tblEnterpriseUnits[Products],$A81, tblEnterpriseUnits[cv_2018])</f>
        <v>0</v>
      </c>
      <c r="C81" s="8">
        <f xml:space="preserve"> SUMIF(tblGoogleUnits[Products],$A81, tblGoogleUnits[cv_2019]) + SUMIF(tblMetaUnits[Products],$A81, tblMetaUnits[cv_2019]) + SUMIF(tblAmazonUnits[Products],$A81, tblAmazonUnits[cv_2019]) + SUMIF(tblMicrosoftUnits[Products],$A81, tblMicrosoftUnits[cv_2019]) + SUMIF(tblAppleUnits[Products],$A81, tblAppleUnits[cv_2019]) + SUMIF(tblAlibabaUnits[Products],$A81, tblAlibabaUnits[cv_2019]) + SUMIF(tblHuaweiUnits[Products],$A81, tblHuaweiUnits[cv_2019]) + SUMIF(tblTencentUnits[Products],$A81, tblTencentUnits[cv_2019]) + SUMIF(tblBaiduUnits[Products],$A81, tblBaiduUnits[cv_2019]) + SUMIF(tblByteDanceUnits[Products],$A81, tblByteDanceUnits[cv_2019]) + SUMIF(tblCloudAOUnits[Products],$A81, tblCloudAOUnits[cv_2019]) + SUMIF(tblTelecomUnits[Products],$A81, tblTelecomUnits[cv_2019]) + SUMIF(tblEnterpriseUnits[Products],$A81, tblEnterpriseUnits[cv_2019])</f>
        <v>0</v>
      </c>
      <c r="D81" s="8">
        <f xml:space="preserve"> SUMIF(tblGoogleUnits[Products],$A81, tblGoogleUnits[cv_2020]) + SUMIF(tblMetaUnits[Products],$A81, tblMetaUnits[cv_2020]) + SUMIF(tblAmazonUnits[Products],$A81, tblAmazonUnits[cv_2020]) + SUMIF(tblMicrosoftUnits[Products],$A81, tblMicrosoftUnits[cv_2020]) + SUMIF(tblAppleUnits[Products],$A81, tblAppleUnits[cv_2020]) + SUMIF(tblAlibabaUnits[Products],$A81, tblAlibabaUnits[cv_2020]) + SUMIF(tblHuaweiUnits[Products],$A81, tblHuaweiUnits[cv_2020]) + SUMIF(tblTencentUnits[Products],$A81, tblTencentUnits[cv_2020]) + SUMIF(tblBaiduUnits[Products],$A81, tblBaiduUnits[cv_2020]) + SUMIF(tblByteDanceUnits[Products],$A81, tblByteDanceUnits[cv_2020]) + SUMIF(tblCloudAOUnits[Products],$A81, tblCloudAOUnits[cv_2020]) + SUMIF(tblTelecomUnits[Products],$A81, tblTelecomUnits[cv_2020]) + SUMIF(tblEnterpriseUnits[Products],$A81, tblEnterpriseUnits[cv_2020])</f>
        <v>0</v>
      </c>
      <c r="E81" s="8">
        <f xml:space="preserve"> SUMIF(tblGoogleUnits[Products],$A81, tblGoogleUnits[cv_2021]) + SUMIF(tblMetaUnits[Products],$A81, tblMetaUnits[cv_2021]) + SUMIF(tblAmazonUnits[Products],$A81, tblAmazonUnits[cv_2021]) + SUMIF(tblMicrosoftUnits[Products],$A81, tblMicrosoftUnits[cv_2021]) + SUMIF(tblAppleUnits[Products],$A81, tblAppleUnits[cv_2021]) + SUMIF(tblAlibabaUnits[Products],$A81, tblAlibabaUnits[cv_2021]) + SUMIF(tblHuaweiUnits[Products],$A81, tblHuaweiUnits[cv_2021]) + SUMIF(tblTencentUnits[Products],$A81, tblTencentUnits[cv_2021]) + SUMIF(tblBaiduUnits[Products],$A81, tblBaiduUnits[cv_2021]) + SUMIF(tblByteDanceUnits[Products],$A81, tblByteDanceUnits[cv_2021]) + SUMIF(tblCloudAOUnits[Products],$A81, tblCloudAOUnits[cv_2021]) + SUMIF(tblTelecomUnits[Products],$A81, tblTelecomUnits[cv_2021]) + SUMIF(tblEnterpriseUnits[Products],$A81, tblEnterpriseUnits[cv_2021])</f>
        <v>0</v>
      </c>
      <c r="F81" s="8">
        <f xml:space="preserve"> SUMIF(tblGoogleUnits[Products],$A81, tblGoogleUnits[cv_2022]) + SUMIF(tblMetaUnits[Products],$A81, tblMetaUnits[cv_2022]) + SUMIF(tblAmazonUnits[Products],$A81, tblAmazonUnits[cv_2022]) + SUMIF(tblMicrosoftUnits[Products],$A81, tblMicrosoftUnits[cv_2022]) + SUMIF(tblAppleUnits[Products],$A81, tblAppleUnits[cv_2022]) + SUMIF(tblAlibabaUnits[Products],$A81, tblAlibabaUnits[cv_2022]) + SUMIF(tblHuaweiUnits[Products],$A81, tblHuaweiUnits[cv_2022]) + SUMIF(tblTencentUnits[Products],$A81, tblTencentUnits[cv_2022]) + SUMIF(tblBaiduUnits[Products],$A81, tblBaiduUnits[cv_2022]) + SUMIF(tblByteDanceUnits[Products],$A81, tblByteDanceUnits[cv_2022]) + SUMIF(tblCloudAOUnits[Products],$A81, tblCloudAOUnits[cv_2022]) + SUMIF(tblTelecomUnits[Products],$A81, tblTelecomUnits[cv_2022]) + SUMIF(tblEnterpriseUnits[Products],$A81, tblEnterpriseUnits[cv_2022])</f>
        <v>0</v>
      </c>
      <c r="G81" s="8">
        <f xml:space="preserve"> SUMIF(tblGoogleUnits[Products],$A81, tblGoogleUnits[cv_2023]) + SUMIF(tblMetaUnits[Products],$A81, tblMetaUnits[cv_2023]) + SUMIF(tblAmazonUnits[Products],$A81, tblAmazonUnits[cv_2023]) + SUMIF(tblMicrosoftUnits[Products],$A81, tblMicrosoftUnits[cv_2023]) + SUMIF(tblAppleUnits[Products],$A81, tblAppleUnits[cv_2023]) + SUMIF(tblAlibabaUnits[Products],$A81, tblAlibabaUnits[cv_2023]) + SUMIF(tblHuaweiUnits[Products],$A81, tblHuaweiUnits[cv_2023]) + SUMIF(tblTencentUnits[Products],$A81, tblTencentUnits[cv_2023]) + SUMIF(tblBaiduUnits[Products],$A81, tblBaiduUnits[cv_2023]) + SUMIF(tblByteDanceUnits[Products],$A81, tblByteDanceUnits[cv_2023]) + SUMIF(tblCloudAOUnits[Products],$A81, tblCloudAOUnits[cv_2023]) + SUMIF(tblTelecomUnits[Products],$A81, tblTelecomUnits[cv_2023]) + SUMIF(tblEnterpriseUnits[Products],$A81, tblEnterpriseUnits[cv_2023])</f>
        <v>0</v>
      </c>
      <c r="H81" s="8">
        <f xml:space="preserve"> SUMIF(tblGoogleUnits[Products],$A81, tblGoogleUnits[cv_2024]) + SUMIF(tblMetaUnits[Products],$A81, tblMetaUnits[cv_2024]) + SUMIF(tblAmazonUnits[Products],$A81, tblAmazonUnits[cv_2024]) + SUMIF(tblMicrosoftUnits[Products],$A81, tblMicrosoftUnits[cv_2024]) + SUMIF(tblAppleUnits[Products],$A81, tblAppleUnits[cv_2024]) + SUMIF(tblAlibabaUnits[Products],$A81, tblAlibabaUnits[cv_2024]) + SUMIF(tblHuaweiUnits[Products],$A81, tblHuaweiUnits[cv_2024]) + SUMIF(tblTencentUnits[Products],$A81, tblTencentUnits[cv_2024]) + SUMIF(tblBaiduUnits[Products],$A81, tblBaiduUnits[cv_2024]) + SUMIF(tblByteDanceUnits[Products],$A81, tblByteDanceUnits[cv_2024]) + SUMIF(tblCloudAOUnits[Products],$A81, tblCloudAOUnits[cv_2024]) + SUMIF(tblTelecomUnits[Products],$A81, tblTelecomUnits[cv_2024]) + SUMIF(tblEnterpriseUnits[Products],$A81, tblEnterpriseUnits[cv_2024])</f>
        <v>0</v>
      </c>
      <c r="I81" s="8">
        <f xml:space="preserve"> SUMIF(tblGoogleUnits[Products],$A81, tblGoogleUnits[cv_2025]) + SUMIF(tblMetaUnits[Products],$A81, tblMetaUnits[cv_2025]) + SUMIF(tblAmazonUnits[Products],$A81, tblAmazonUnits[cv_2025]) + SUMIF(tblMicrosoftUnits[Products],$A81, tblMicrosoftUnits[cv_2025]) + SUMIF(tblAppleUnits[Products],$A81, tblAppleUnits[cv_2025]) + SUMIF(tblAlibabaUnits[Products],$A81, tblAlibabaUnits[cv_2025]) + SUMIF(tblHuaweiUnits[Products],$A81, tblHuaweiUnits[cv_2025]) + SUMIF(tblTencentUnits[Products],$A81, tblTencentUnits[cv_2025]) + SUMIF(tblBaiduUnits[Products],$A81, tblBaiduUnits[cv_2025]) + SUMIF(tblByteDanceUnits[Products],$A81, tblByteDanceUnits[cv_2025]) + SUMIF(tblCloudAOUnits[Products],$A81, tblCloudAOUnits[cv_2025]) + SUMIF(tblTelecomUnits[Products],$A81, tblTelecomUnits[cv_2025]) + SUMIF(tblEnterpriseUnits[Products],$A81, tblEnterpriseUnits[cv_2025])</f>
        <v>0</v>
      </c>
      <c r="J81" s="8">
        <f xml:space="preserve"> SUMIF(tblGoogleUnits[Products],$A81, tblGoogleUnits[cv_2026]) + SUMIF(tblMetaUnits[Products],$A81, tblMetaUnits[cv_2026]) + SUMIF(tblAmazonUnits[Products],$A81, tblAmazonUnits[cv_2026]) + SUMIF(tblMicrosoftUnits[Products],$A81, tblMicrosoftUnits[cv_2026]) + SUMIF(tblAppleUnits[Products],$A81, tblAppleUnits[cv_2026]) + SUMIF(tblAlibabaUnits[Products],$A81, tblAlibabaUnits[cv_2026]) + SUMIF(tblHuaweiUnits[Products],$A81, tblHuaweiUnits[cv_2026]) + SUMIF(tblTencentUnits[Products],$A81, tblTencentUnits[cv_2026]) + SUMIF(tblBaiduUnits[Products],$A81, tblBaiduUnits[cv_2026]) + SUMIF(tblByteDanceUnits[Products],$A81, tblByteDanceUnits[cv_2026]) + SUMIF(tblCloudAOUnits[Products],$A81, tblCloudAOUnits[cv_2026]) + SUMIF(tblTelecomUnits[Products],$A81, tblTelecomUnits[cv_2026]) + SUMIF(tblEnterpriseUnits[Products],$A81, tblEnterpriseUnits[cv_2026])</f>
        <v>0</v>
      </c>
      <c r="K81" s="8">
        <f xml:space="preserve"> SUMIF(tblGoogleUnits[Products],$A81, tblGoogleUnits[cv_2027]) + SUMIF(tblMetaUnits[Products],$A81, tblMetaUnits[cv_2027]) + SUMIF(tblAmazonUnits[Products],$A81, tblAmazonUnits[cv_2027]) + SUMIF(tblMicrosoftUnits[Products],$A81, tblMicrosoftUnits[cv_2027]) + SUMIF(tblAppleUnits[Products],$A81, tblAppleUnits[cv_2027]) + SUMIF(tblAlibabaUnits[Products],$A81, tblAlibabaUnits[cv_2027]) + SUMIF(tblHuaweiUnits[Products],$A81, tblHuaweiUnits[cv_2027]) + SUMIF(tblTencentUnits[Products],$A81, tblTencentUnits[cv_2027]) + SUMIF(tblBaiduUnits[Products],$A81, tblBaiduUnits[cv_2027]) + SUMIF(tblByteDanceUnits[Products],$A81, tblByteDanceUnits[cv_2027]) + SUMIF(tblCloudAOUnits[Products],$A81, tblCloudAOUnits[cv_2027]) + SUMIF(tblTelecomUnits[Products],$A81, tblTelecomUnits[cv_2027]) + SUMIF(tblEnterpriseUnits[Products],$A81, tblEnterpriseUnits[cv_2027])</f>
        <v>0</v>
      </c>
      <c r="L81" s="8">
        <f xml:space="preserve"> SUMIF(tblGoogleUnits[Products],$A81, tblGoogleUnits[cv_2028]) + SUMIF(tblMetaUnits[Products],$A81, tblMetaUnits[cv_2028]) + SUMIF(tblAmazonUnits[Products],$A81, tblAmazonUnits[cv_2028]) + SUMIF(tblMicrosoftUnits[Products],$A81, tblMicrosoftUnits[cv_2028]) + SUMIF(tblAppleUnits[Products],$A81, tblAppleUnits[cv_2028]) + SUMIF(tblAlibabaUnits[Products],$A81, tblAlibabaUnits[cv_2028]) + SUMIF(tblHuaweiUnits[Products],$A81, tblHuaweiUnits[cv_2028]) + SUMIF(tblTencentUnits[Products],$A81, tblTencentUnits[cv_2028]) + SUMIF(tblBaiduUnits[Products],$A81, tblBaiduUnits[cv_2028]) + SUMIF(tblByteDanceUnits[Products],$A81, tblByteDanceUnits[cv_2028]) + SUMIF(tblCloudAOUnits[Products],$A81, tblCloudAOUnits[cv_2028]) + SUMIF(tblTelecomUnits[Products],$A81, tblTelecomUnits[cv_2028]) + SUMIF(tblEnterpriseUnits[Products],$A81, tblEnterpriseUnits[cv_2028])</f>
        <v>0</v>
      </c>
      <c r="M81" s="105" cm="1">
        <f t="array" ref="M81">INDEX(tblPrices[cv_2018], MATCH($A81,tblPrices[Products],0), 0)</f>
        <v>0</v>
      </c>
      <c r="N81" s="105" cm="1">
        <f t="array" ref="N81">INDEX(tblPrices[cv_2019], MATCH($A81,tblPrices[Products],0), 0)</f>
        <v>0</v>
      </c>
      <c r="O81" s="105" cm="1">
        <f t="array" ref="O81">INDEX(tblPrices[cv_2020], MATCH($A81,tblPrices[Products],0), 0)</f>
        <v>0</v>
      </c>
      <c r="P81" s="105" cm="1">
        <f t="array" ref="P81">INDEX(tblPrices[cv_2021], MATCH($A81,tblPrices[Products],0), 0)</f>
        <v>0</v>
      </c>
      <c r="Q81" s="105" cm="1">
        <f t="array" ref="Q81">INDEX(tblPrices[cv_2022], MATCH($A81,tblPrices[Products],0), 0)</f>
        <v>0</v>
      </c>
      <c r="R81" s="105" cm="1">
        <f t="array" ref="R81">INDEX(tblPrices[cv_2023], MATCH($A81,tblPrices[Products],0), 0)</f>
        <v>0</v>
      </c>
      <c r="S81" s="105" cm="1">
        <f t="array" ref="S81">INDEX(tblPrices[cv_2024], MATCH($A81,tblPrices[Products],0), 0)</f>
        <v>0</v>
      </c>
      <c r="T81" s="105" cm="1">
        <f t="array" ref="T81">INDEX(tblPrices[cv_2025], MATCH($A81,tblPrices[Products],0), 0)</f>
        <v>0</v>
      </c>
      <c r="U81" s="105" cm="1">
        <f t="array" ref="U81">INDEX(tblPrices[cv_2026], MATCH($A81,tblPrices[Products],0), 0)</f>
        <v>0</v>
      </c>
      <c r="V81" s="105" cm="1">
        <f t="array" ref="V81">INDEX(tblPrices[cv_2027], MATCH($A81,tblPrices[Products],0), 0)</f>
        <v>0</v>
      </c>
      <c r="W81" s="105" cm="1">
        <f t="array" ref="W81">INDEX(tblPrices[cv_2028], MATCH($A81,tblPrices[Products],0), 0)</f>
        <v>0</v>
      </c>
      <c r="X81" s="106" cm="1">
        <f t="array" ref="X81">INDEX(tblPrices[cv_2018], MATCH($A81,tblPrices[Products],0), 0)* tblForecast[[#This Row],[un_2018]]/10^6</f>
        <v>0</v>
      </c>
      <c r="Y81" s="106" cm="1">
        <f t="array" ref="Y81">INDEX(tblPrices[cv_2019], MATCH($A81,tblPrices[Products],0), 0)* tblForecast[[#This Row],[un_2019]]/10^6</f>
        <v>0</v>
      </c>
      <c r="Z81" s="106" cm="1">
        <f t="array" ref="Z81">INDEX(tblPrices[cv_2020], MATCH($A81,tblPrices[Products],0), 0)* tblForecast[[#This Row],[un_2020]]/10^6</f>
        <v>0</v>
      </c>
      <c r="AA81" s="106" cm="1">
        <f t="array" ref="AA81">INDEX(tblPrices[cv_2021], MATCH($A81,tblPrices[Products],0), 0)* tblForecast[[#This Row],[un_2021]]/10^6</f>
        <v>0</v>
      </c>
      <c r="AB81" s="106" cm="1">
        <f t="array" ref="AB81">INDEX(tblPrices[cv_2022], MATCH($A81,tblPrices[Products],0), 0)* tblForecast[[#This Row],[un_2022]]/10^6</f>
        <v>0</v>
      </c>
      <c r="AC81" s="106" cm="1">
        <f t="array" ref="AC81">INDEX(tblPrices[cv_2023], MATCH($A81,tblPrices[Products],0), 0)* tblForecast[[#This Row],[un_2023]]/10^6</f>
        <v>0</v>
      </c>
      <c r="AD81" s="106" cm="1">
        <f t="array" ref="AD81">INDEX(tblPrices[cv_2024], MATCH($A81,tblPrices[Products],0), 0)* tblForecast[[#This Row],[un_2024]]/10^6</f>
        <v>0</v>
      </c>
      <c r="AE81" s="106" cm="1">
        <f t="array" ref="AE81">INDEX(tblPrices[cv_2025], MATCH($A81,tblPrices[Products],0), 0)* tblForecast[[#This Row],[un_2025]]/10^6</f>
        <v>0</v>
      </c>
      <c r="AF81" s="106" cm="1">
        <f t="array" ref="AF81">INDEX(tblPrices[cv_2026], MATCH($A81,tblPrices[Products],0), 0)* tblForecast[[#This Row],[un_2026]]/10^6</f>
        <v>0</v>
      </c>
      <c r="AG81" s="106" cm="1">
        <f t="array" ref="AG81">INDEX(tblPrices[cv_2027], MATCH($A81,tblPrices[Products],0), 0)* tblForecast[[#This Row],[un_2027]]/10^6</f>
        <v>0</v>
      </c>
      <c r="AH81" s="106" cm="1">
        <f t="array" ref="AH81">INDEX(tblPrices[cv_2028], MATCH($A81,tblPrices[Products],0), 0)* tblForecast[[#This Row],[un_2028]]/10^6</f>
        <v>0</v>
      </c>
      <c r="AI81" s="60">
        <f>VLOOKUP(A81,Products!$A$11:$F$110,6,FALSE)</f>
        <v>200</v>
      </c>
    </row>
    <row r="82" spans="1:35">
      <c r="A82" s="12" t="s">
        <v>9</v>
      </c>
      <c r="B82" s="8">
        <f xml:space="preserve"> SUMIF(tblGoogleUnits[Products],$A82, tblGoogleUnits[cv_2018]) + SUMIF(tblMetaUnits[Products],$A82, tblMetaUnits[cv_2018]) + SUMIF(tblAmazonUnits[Products],$A82, tblAmazonUnits[cv_2018]) + SUMIF(tblMicrosoftUnits[Products],$A82, tblMicrosoftUnits[cv_2018]) + SUMIF(tblAppleUnits[Products],$A82, tblAppleUnits[cv_2018]) + SUMIF(tblAlibabaUnits[Products],$A82, tblAlibabaUnits[cv_2018]) + SUMIF(tblHuaweiUnits[Products],$A82, tblHuaweiUnits[cv_2018]) + SUMIF(tblTencentUnits[Products],$A82, tblTencentUnits[cv_2018]) + SUMIF(tblBaiduUnits[Products],$A82, tblBaiduUnits[cv_2018]) + SUMIF(tblByteDanceUnits[Products],$A82, tblByteDanceUnits[cv_2018]) + SUMIF(tblCloudAOUnits[Products],$A82, tblCloudAOUnits[cv_2018]) + SUMIF(tblTelecomUnits[Products],$A82, tblTelecomUnits[cv_2018]) + SUMIF(tblEnterpriseUnits[Products],$A82, tblEnterpriseUnits[cv_2018])</f>
        <v>23000</v>
      </c>
      <c r="C82" s="8">
        <f xml:space="preserve"> SUMIF(tblGoogleUnits[Products],$A82, tblGoogleUnits[cv_2019]) + SUMIF(tblMetaUnits[Products],$A82, tblMetaUnits[cv_2019]) + SUMIF(tblAmazonUnits[Products],$A82, tblAmazonUnits[cv_2019]) + SUMIF(tblMicrosoftUnits[Products],$A82, tblMicrosoftUnits[cv_2019]) + SUMIF(tblAppleUnits[Products],$A82, tblAppleUnits[cv_2019]) + SUMIF(tblAlibabaUnits[Products],$A82, tblAlibabaUnits[cv_2019]) + SUMIF(tblHuaweiUnits[Products],$A82, tblHuaweiUnits[cv_2019]) + SUMIF(tblTencentUnits[Products],$A82, tblTencentUnits[cv_2019]) + SUMIF(tblBaiduUnits[Products],$A82, tblBaiduUnits[cv_2019]) + SUMIF(tblByteDanceUnits[Products],$A82, tblByteDanceUnits[cv_2019]) + SUMIF(tblCloudAOUnits[Products],$A82, tblCloudAOUnits[cv_2019]) + SUMIF(tblTelecomUnits[Products],$A82, tblTelecomUnits[cv_2019]) + SUMIF(tblEnterpriseUnits[Products],$A82, tblEnterpriseUnits[cv_2019])</f>
        <v>60000</v>
      </c>
      <c r="D82" s="8">
        <f xml:space="preserve"> SUMIF(tblGoogleUnits[Products],$A82, tblGoogleUnits[cv_2020]) + SUMIF(tblMetaUnits[Products],$A82, tblMetaUnits[cv_2020]) + SUMIF(tblAmazonUnits[Products],$A82, tblAmazonUnits[cv_2020]) + SUMIF(tblMicrosoftUnits[Products],$A82, tblMicrosoftUnits[cv_2020]) + SUMIF(tblAppleUnits[Products],$A82, tblAppleUnits[cv_2020]) + SUMIF(tblAlibabaUnits[Products],$A82, tblAlibabaUnits[cv_2020]) + SUMIF(tblHuaweiUnits[Products],$A82, tblHuaweiUnits[cv_2020]) + SUMIF(tblTencentUnits[Products],$A82, tblTencentUnits[cv_2020]) + SUMIF(tblBaiduUnits[Products],$A82, tblBaiduUnits[cv_2020]) + SUMIF(tblByteDanceUnits[Products],$A82, tblByteDanceUnits[cv_2020]) + SUMIF(tblCloudAOUnits[Products],$A82, tblCloudAOUnits[cv_2020]) + SUMIF(tblTelecomUnits[Products],$A82, tblTelecomUnits[cv_2020]) + SUMIF(tblEnterpriseUnits[Products],$A82, tblEnterpriseUnits[cv_2020])</f>
        <v>0</v>
      </c>
      <c r="E82" s="8">
        <f xml:space="preserve"> SUMIF(tblGoogleUnits[Products],$A82, tblGoogleUnits[cv_2021]) + SUMIF(tblMetaUnits[Products],$A82, tblMetaUnits[cv_2021]) + SUMIF(tblAmazonUnits[Products],$A82, tblAmazonUnits[cv_2021]) + SUMIF(tblMicrosoftUnits[Products],$A82, tblMicrosoftUnits[cv_2021]) + SUMIF(tblAppleUnits[Products],$A82, tblAppleUnits[cv_2021]) + SUMIF(tblAlibabaUnits[Products],$A82, tblAlibabaUnits[cv_2021]) + SUMIF(tblHuaweiUnits[Products],$A82, tblHuaweiUnits[cv_2021]) + SUMIF(tblTencentUnits[Products],$A82, tblTencentUnits[cv_2021]) + SUMIF(tblBaiduUnits[Products],$A82, tblBaiduUnits[cv_2021]) + SUMIF(tblByteDanceUnits[Products],$A82, tblByteDanceUnits[cv_2021]) + SUMIF(tblCloudAOUnits[Products],$A82, tblCloudAOUnits[cv_2021]) + SUMIF(tblTelecomUnits[Products],$A82, tblTelecomUnits[cv_2021]) + SUMIF(tblEnterpriseUnits[Products],$A82, tblEnterpriseUnits[cv_2021])</f>
        <v>0</v>
      </c>
      <c r="F82" s="8">
        <f xml:space="preserve"> SUMIF(tblGoogleUnits[Products],$A82, tblGoogleUnits[cv_2022]) + SUMIF(tblMetaUnits[Products],$A82, tblMetaUnits[cv_2022]) + SUMIF(tblAmazonUnits[Products],$A82, tblAmazonUnits[cv_2022]) + SUMIF(tblMicrosoftUnits[Products],$A82, tblMicrosoftUnits[cv_2022]) + SUMIF(tblAppleUnits[Products],$A82, tblAppleUnits[cv_2022]) + SUMIF(tblAlibabaUnits[Products],$A82, tblAlibabaUnits[cv_2022]) + SUMIF(tblHuaweiUnits[Products],$A82, tblHuaweiUnits[cv_2022]) + SUMIF(tblTencentUnits[Products],$A82, tblTencentUnits[cv_2022]) + SUMIF(tblBaiduUnits[Products],$A82, tblBaiduUnits[cv_2022]) + SUMIF(tblByteDanceUnits[Products],$A82, tblByteDanceUnits[cv_2022]) + SUMIF(tblCloudAOUnits[Products],$A82, tblCloudAOUnits[cv_2022]) + SUMIF(tblTelecomUnits[Products],$A82, tblTelecomUnits[cv_2022]) + SUMIF(tblEnterpriseUnits[Products],$A82, tblEnterpriseUnits[cv_2022])</f>
        <v>0</v>
      </c>
      <c r="G82" s="8">
        <f xml:space="preserve"> SUMIF(tblGoogleUnits[Products],$A82, tblGoogleUnits[cv_2023]) + SUMIF(tblMetaUnits[Products],$A82, tblMetaUnits[cv_2023]) + SUMIF(tblAmazonUnits[Products],$A82, tblAmazonUnits[cv_2023]) + SUMIF(tblMicrosoftUnits[Products],$A82, tblMicrosoftUnits[cv_2023]) + SUMIF(tblAppleUnits[Products],$A82, tblAppleUnits[cv_2023]) + SUMIF(tblAlibabaUnits[Products],$A82, tblAlibabaUnits[cv_2023]) + SUMIF(tblHuaweiUnits[Products],$A82, tblHuaweiUnits[cv_2023]) + SUMIF(tblTencentUnits[Products],$A82, tblTencentUnits[cv_2023]) + SUMIF(tblBaiduUnits[Products],$A82, tblBaiduUnits[cv_2023]) + SUMIF(tblByteDanceUnits[Products],$A82, tblByteDanceUnits[cv_2023]) + SUMIF(tblCloudAOUnits[Products],$A82, tblCloudAOUnits[cv_2023]) + SUMIF(tblTelecomUnits[Products],$A82, tblTelecomUnits[cv_2023]) + SUMIF(tblEnterpriseUnits[Products],$A82, tblEnterpriseUnits[cv_2023])</f>
        <v>0</v>
      </c>
      <c r="H82" s="8">
        <f xml:space="preserve"> SUMIF(tblGoogleUnits[Products],$A82, tblGoogleUnits[cv_2024]) + SUMIF(tblMetaUnits[Products],$A82, tblMetaUnits[cv_2024]) + SUMIF(tblAmazonUnits[Products],$A82, tblAmazonUnits[cv_2024]) + SUMIF(tblMicrosoftUnits[Products],$A82, tblMicrosoftUnits[cv_2024]) + SUMIF(tblAppleUnits[Products],$A82, tblAppleUnits[cv_2024]) + SUMIF(tblAlibabaUnits[Products],$A82, tblAlibabaUnits[cv_2024]) + SUMIF(tblHuaweiUnits[Products],$A82, tblHuaweiUnits[cv_2024]) + SUMIF(tblTencentUnits[Products],$A82, tblTencentUnits[cv_2024]) + SUMIF(tblBaiduUnits[Products],$A82, tblBaiduUnits[cv_2024]) + SUMIF(tblByteDanceUnits[Products],$A82, tblByteDanceUnits[cv_2024]) + SUMIF(tblCloudAOUnits[Products],$A82, tblCloudAOUnits[cv_2024]) + SUMIF(tblTelecomUnits[Products],$A82, tblTelecomUnits[cv_2024]) + SUMIF(tblEnterpriseUnits[Products],$A82, tblEnterpriseUnits[cv_2024])</f>
        <v>0</v>
      </c>
      <c r="I82" s="8">
        <f xml:space="preserve"> SUMIF(tblGoogleUnits[Products],$A82, tblGoogleUnits[cv_2025]) + SUMIF(tblMetaUnits[Products],$A82, tblMetaUnits[cv_2025]) + SUMIF(tblAmazonUnits[Products],$A82, tblAmazonUnits[cv_2025]) + SUMIF(tblMicrosoftUnits[Products],$A82, tblMicrosoftUnits[cv_2025]) + SUMIF(tblAppleUnits[Products],$A82, tblAppleUnits[cv_2025]) + SUMIF(tblAlibabaUnits[Products],$A82, tblAlibabaUnits[cv_2025]) + SUMIF(tblHuaweiUnits[Products],$A82, tblHuaweiUnits[cv_2025]) + SUMIF(tblTencentUnits[Products],$A82, tblTencentUnits[cv_2025]) + SUMIF(tblBaiduUnits[Products],$A82, tblBaiduUnits[cv_2025]) + SUMIF(tblByteDanceUnits[Products],$A82, tblByteDanceUnits[cv_2025]) + SUMIF(tblCloudAOUnits[Products],$A82, tblCloudAOUnits[cv_2025]) + SUMIF(tblTelecomUnits[Products],$A82, tblTelecomUnits[cv_2025]) + SUMIF(tblEnterpriseUnits[Products],$A82, tblEnterpriseUnits[cv_2025])</f>
        <v>0</v>
      </c>
      <c r="J82" s="8">
        <f xml:space="preserve"> SUMIF(tblGoogleUnits[Products],$A82, tblGoogleUnits[cv_2026]) + SUMIF(tblMetaUnits[Products],$A82, tblMetaUnits[cv_2026]) + SUMIF(tblAmazonUnits[Products],$A82, tblAmazonUnits[cv_2026]) + SUMIF(tblMicrosoftUnits[Products],$A82, tblMicrosoftUnits[cv_2026]) + SUMIF(tblAppleUnits[Products],$A82, tblAppleUnits[cv_2026]) + SUMIF(tblAlibabaUnits[Products],$A82, tblAlibabaUnits[cv_2026]) + SUMIF(tblHuaweiUnits[Products],$A82, tblHuaweiUnits[cv_2026]) + SUMIF(tblTencentUnits[Products],$A82, tblTencentUnits[cv_2026]) + SUMIF(tblBaiduUnits[Products],$A82, tblBaiduUnits[cv_2026]) + SUMIF(tblByteDanceUnits[Products],$A82, tblByteDanceUnits[cv_2026]) + SUMIF(tblCloudAOUnits[Products],$A82, tblCloudAOUnits[cv_2026]) + SUMIF(tblTelecomUnits[Products],$A82, tblTelecomUnits[cv_2026]) + SUMIF(tblEnterpriseUnits[Products],$A82, tblEnterpriseUnits[cv_2026])</f>
        <v>0</v>
      </c>
      <c r="K82" s="8">
        <f xml:space="preserve"> SUMIF(tblGoogleUnits[Products],$A82, tblGoogleUnits[cv_2027]) + SUMIF(tblMetaUnits[Products],$A82, tblMetaUnits[cv_2027]) + SUMIF(tblAmazonUnits[Products],$A82, tblAmazonUnits[cv_2027]) + SUMIF(tblMicrosoftUnits[Products],$A82, tblMicrosoftUnits[cv_2027]) + SUMIF(tblAppleUnits[Products],$A82, tblAppleUnits[cv_2027]) + SUMIF(tblAlibabaUnits[Products],$A82, tblAlibabaUnits[cv_2027]) + SUMIF(tblHuaweiUnits[Products],$A82, tblHuaweiUnits[cv_2027]) + SUMIF(tblTencentUnits[Products],$A82, tblTencentUnits[cv_2027]) + SUMIF(tblBaiduUnits[Products],$A82, tblBaiduUnits[cv_2027]) + SUMIF(tblByteDanceUnits[Products],$A82, tblByteDanceUnits[cv_2027]) + SUMIF(tblCloudAOUnits[Products],$A82, tblCloudAOUnits[cv_2027]) + SUMIF(tblTelecomUnits[Products],$A82, tblTelecomUnits[cv_2027]) + SUMIF(tblEnterpriseUnits[Products],$A82, tblEnterpriseUnits[cv_2027])</f>
        <v>0</v>
      </c>
      <c r="L82" s="8">
        <f xml:space="preserve"> SUMIF(tblGoogleUnits[Products],$A82, tblGoogleUnits[cv_2028]) + SUMIF(tblMetaUnits[Products],$A82, tblMetaUnits[cv_2028]) + SUMIF(tblAmazonUnits[Products],$A82, tblAmazonUnits[cv_2028]) + SUMIF(tblMicrosoftUnits[Products],$A82, tblMicrosoftUnits[cv_2028]) + SUMIF(tblAppleUnits[Products],$A82, tblAppleUnits[cv_2028]) + SUMIF(tblAlibabaUnits[Products],$A82, tblAlibabaUnits[cv_2028]) + SUMIF(tblHuaweiUnits[Products],$A82, tblHuaweiUnits[cv_2028]) + SUMIF(tblTencentUnits[Products],$A82, tblTencentUnits[cv_2028]) + SUMIF(tblBaiduUnits[Products],$A82, tblBaiduUnits[cv_2028]) + SUMIF(tblByteDanceUnits[Products],$A82, tblByteDanceUnits[cv_2028]) + SUMIF(tblCloudAOUnits[Products],$A82, tblCloudAOUnits[cv_2028]) + SUMIF(tblTelecomUnits[Products],$A82, tblTelecomUnits[cv_2028]) + SUMIF(tblEnterpriseUnits[Products],$A82, tblEnterpriseUnits[cv_2028])</f>
        <v>0</v>
      </c>
      <c r="M82" s="105" cm="1">
        <f t="array" ref="M82">INDEX(tblPrices[cv_2018], MATCH($A82,tblPrices[Products],0), 0)</f>
        <v>644</v>
      </c>
      <c r="N82" s="105" cm="1">
        <f t="array" ref="N82">INDEX(tblPrices[cv_2019], MATCH($A82,tblPrices[Products],0), 0)</f>
        <v>520</v>
      </c>
      <c r="O82" s="105" cm="1">
        <f t="array" ref="O82">INDEX(tblPrices[cv_2020], MATCH($A82,tblPrices[Products],0), 0)</f>
        <v>0</v>
      </c>
      <c r="P82" s="105" cm="1">
        <f t="array" ref="P82">INDEX(tblPrices[cv_2021], MATCH($A82,tblPrices[Products],0), 0)</f>
        <v>0</v>
      </c>
      <c r="Q82" s="105" cm="1">
        <f t="array" ref="Q82">INDEX(tblPrices[cv_2022], MATCH($A82,tblPrices[Products],0), 0)</f>
        <v>0</v>
      </c>
      <c r="R82" s="105" cm="1">
        <f t="array" ref="R82">INDEX(tblPrices[cv_2023], MATCH($A82,tblPrices[Products],0), 0)</f>
        <v>0</v>
      </c>
      <c r="S82" s="105" cm="1">
        <f t="array" ref="S82">INDEX(tblPrices[cv_2024], MATCH($A82,tblPrices[Products],0), 0)</f>
        <v>0</v>
      </c>
      <c r="T82" s="105" cm="1">
        <f t="array" ref="T82">INDEX(tblPrices[cv_2025], MATCH($A82,tblPrices[Products],0), 0)</f>
        <v>0</v>
      </c>
      <c r="U82" s="105" cm="1">
        <f t="array" ref="U82">INDEX(tblPrices[cv_2026], MATCH($A82,tblPrices[Products],0), 0)</f>
        <v>0</v>
      </c>
      <c r="V82" s="105" cm="1">
        <f t="array" ref="V82">INDEX(tblPrices[cv_2027], MATCH($A82,tblPrices[Products],0), 0)</f>
        <v>0</v>
      </c>
      <c r="W82" s="105" cm="1">
        <f t="array" ref="W82">INDEX(tblPrices[cv_2028], MATCH($A82,tblPrices[Products],0), 0)</f>
        <v>0</v>
      </c>
      <c r="X82" s="106" cm="1">
        <f t="array" ref="X82">INDEX(tblPrices[cv_2018], MATCH($A82,tblPrices[Products],0), 0)* tblForecast[[#This Row],[un_2018]]/10^6</f>
        <v>14.811999999999999</v>
      </c>
      <c r="Y82" s="106" cm="1">
        <f t="array" ref="Y82">INDEX(tblPrices[cv_2019], MATCH($A82,tblPrices[Products],0), 0)* tblForecast[[#This Row],[un_2019]]/10^6</f>
        <v>31.2</v>
      </c>
      <c r="Z82" s="106" cm="1">
        <f t="array" ref="Z82">INDEX(tblPrices[cv_2020], MATCH($A82,tblPrices[Products],0), 0)* tblForecast[[#This Row],[un_2020]]/10^6</f>
        <v>0</v>
      </c>
      <c r="AA82" s="106" cm="1">
        <f t="array" ref="AA82">INDEX(tblPrices[cv_2021], MATCH($A82,tblPrices[Products],0), 0)* tblForecast[[#This Row],[un_2021]]/10^6</f>
        <v>0</v>
      </c>
      <c r="AB82" s="106" cm="1">
        <f t="array" ref="AB82">INDEX(tblPrices[cv_2022], MATCH($A82,tblPrices[Products],0), 0)* tblForecast[[#This Row],[un_2022]]/10^6</f>
        <v>0</v>
      </c>
      <c r="AC82" s="106" cm="1">
        <f t="array" ref="AC82">INDEX(tblPrices[cv_2023], MATCH($A82,tblPrices[Products],0), 0)* tblForecast[[#This Row],[un_2023]]/10^6</f>
        <v>0</v>
      </c>
      <c r="AD82" s="106" cm="1">
        <f t="array" ref="AD82">INDEX(tblPrices[cv_2024], MATCH($A82,tblPrices[Products],0), 0)* tblForecast[[#This Row],[un_2024]]/10^6</f>
        <v>0</v>
      </c>
      <c r="AE82" s="106" cm="1">
        <f t="array" ref="AE82">INDEX(tblPrices[cv_2025], MATCH($A82,tblPrices[Products],0), 0)* tblForecast[[#This Row],[un_2025]]/10^6</f>
        <v>0</v>
      </c>
      <c r="AF82" s="106" cm="1">
        <f t="array" ref="AF82">INDEX(tblPrices[cv_2026], MATCH($A82,tblPrices[Products],0), 0)* tblForecast[[#This Row],[un_2026]]/10^6</f>
        <v>0</v>
      </c>
      <c r="AG82" s="106" cm="1">
        <f t="array" ref="AG82">INDEX(tblPrices[cv_2027], MATCH($A82,tblPrices[Products],0), 0)* tblForecast[[#This Row],[un_2027]]/10^6</f>
        <v>0</v>
      </c>
      <c r="AH82" s="106" cm="1">
        <f t="array" ref="AH82">INDEX(tblPrices[cv_2028], MATCH($A82,tblPrices[Products],0), 0)* tblForecast[[#This Row],[un_2028]]/10^6</f>
        <v>0</v>
      </c>
      <c r="AI82" s="60">
        <f>VLOOKUP(A82,Products!$A$11:$F$110,6,FALSE)</f>
        <v>400</v>
      </c>
    </row>
    <row r="83" spans="1:35">
      <c r="A83" s="12" t="s">
        <v>339</v>
      </c>
      <c r="B83" s="8">
        <f xml:space="preserve"> SUMIF(tblGoogleUnits[Products],$A83, tblGoogleUnits[cv_2018]) + SUMIF(tblMetaUnits[Products],$A83, tblMetaUnits[cv_2018]) + SUMIF(tblAmazonUnits[Products],$A83, tblAmazonUnits[cv_2018]) + SUMIF(tblMicrosoftUnits[Products],$A83, tblMicrosoftUnits[cv_2018]) + SUMIF(tblAppleUnits[Products],$A83, tblAppleUnits[cv_2018]) + SUMIF(tblAlibabaUnits[Products],$A83, tblAlibabaUnits[cv_2018]) + SUMIF(tblHuaweiUnits[Products],$A83, tblHuaweiUnits[cv_2018]) + SUMIF(tblTencentUnits[Products],$A83, tblTencentUnits[cv_2018]) + SUMIF(tblBaiduUnits[Products],$A83, tblBaiduUnits[cv_2018]) + SUMIF(tblByteDanceUnits[Products],$A83, tblByteDanceUnits[cv_2018]) + SUMIF(tblCloudAOUnits[Products],$A83, tblCloudAOUnits[cv_2018]) + SUMIF(tblTelecomUnits[Products],$A83, tblTelecomUnits[cv_2018]) + SUMIF(tblEnterpriseUnits[Products],$A83, tblEnterpriseUnits[cv_2018])</f>
        <v>0</v>
      </c>
      <c r="C83" s="8">
        <f xml:space="preserve"> SUMIF(tblGoogleUnits[Products],$A83, tblGoogleUnits[cv_2019]) + SUMIF(tblMetaUnits[Products],$A83, tblMetaUnits[cv_2019]) + SUMIF(tblAmazonUnits[Products],$A83, tblAmazonUnits[cv_2019]) + SUMIF(tblMicrosoftUnits[Products],$A83, tblMicrosoftUnits[cv_2019]) + SUMIF(tblAppleUnits[Products],$A83, tblAppleUnits[cv_2019]) + SUMIF(tblAlibabaUnits[Products],$A83, tblAlibabaUnits[cv_2019]) + SUMIF(tblHuaweiUnits[Products],$A83, tblHuaweiUnits[cv_2019]) + SUMIF(tblTencentUnits[Products],$A83, tblTencentUnits[cv_2019]) + SUMIF(tblBaiduUnits[Products],$A83, tblBaiduUnits[cv_2019]) + SUMIF(tblByteDanceUnits[Products],$A83, tblByteDanceUnits[cv_2019]) + SUMIF(tblCloudAOUnits[Products],$A83, tblCloudAOUnits[cv_2019]) + SUMIF(tblTelecomUnits[Products],$A83, tblTelecomUnits[cv_2019]) + SUMIF(tblEnterpriseUnits[Products],$A83, tblEnterpriseUnits[cv_2019])</f>
        <v>0</v>
      </c>
      <c r="D83" s="8">
        <f xml:space="preserve"> SUMIF(tblGoogleUnits[Products],$A83, tblGoogleUnits[cv_2020]) + SUMIF(tblMetaUnits[Products],$A83, tblMetaUnits[cv_2020]) + SUMIF(tblAmazonUnits[Products],$A83, tblAmazonUnits[cv_2020]) + SUMIF(tblMicrosoftUnits[Products],$A83, tblMicrosoftUnits[cv_2020]) + SUMIF(tblAppleUnits[Products],$A83, tblAppleUnits[cv_2020]) + SUMIF(tblAlibabaUnits[Products],$A83, tblAlibabaUnits[cv_2020]) + SUMIF(tblHuaweiUnits[Products],$A83, tblHuaweiUnits[cv_2020]) + SUMIF(tblTencentUnits[Products],$A83, tblTencentUnits[cv_2020]) + SUMIF(tblBaiduUnits[Products],$A83, tblBaiduUnits[cv_2020]) + SUMIF(tblByteDanceUnits[Products],$A83, tblByteDanceUnits[cv_2020]) + SUMIF(tblCloudAOUnits[Products],$A83, tblCloudAOUnits[cv_2020]) + SUMIF(tblTelecomUnits[Products],$A83, tblTelecomUnits[cv_2020]) + SUMIF(tblEnterpriseUnits[Products],$A83, tblEnterpriseUnits[cv_2020])</f>
        <v>0</v>
      </c>
      <c r="E83" s="8">
        <f xml:space="preserve"> SUMIF(tblGoogleUnits[Products],$A83, tblGoogleUnits[cv_2021]) + SUMIF(tblMetaUnits[Products],$A83, tblMetaUnits[cv_2021]) + SUMIF(tblAmazonUnits[Products],$A83, tblAmazonUnits[cv_2021]) + SUMIF(tblMicrosoftUnits[Products],$A83, tblMicrosoftUnits[cv_2021]) + SUMIF(tblAppleUnits[Products],$A83, tblAppleUnits[cv_2021]) + SUMIF(tblAlibabaUnits[Products],$A83, tblAlibabaUnits[cv_2021]) + SUMIF(tblHuaweiUnits[Products],$A83, tblHuaweiUnits[cv_2021]) + SUMIF(tblTencentUnits[Products],$A83, tblTencentUnits[cv_2021]) + SUMIF(tblBaiduUnits[Products],$A83, tblBaiduUnits[cv_2021]) + SUMIF(tblByteDanceUnits[Products],$A83, tblByteDanceUnits[cv_2021]) + SUMIF(tblCloudAOUnits[Products],$A83, tblCloudAOUnits[cv_2021]) + SUMIF(tblTelecomUnits[Products],$A83, tblTelecomUnits[cv_2021]) + SUMIF(tblEnterpriseUnits[Products],$A83, tblEnterpriseUnits[cv_2021])</f>
        <v>0</v>
      </c>
      <c r="F83" s="8">
        <f xml:space="preserve"> SUMIF(tblGoogleUnits[Products],$A83, tblGoogleUnits[cv_2022]) + SUMIF(tblMetaUnits[Products],$A83, tblMetaUnits[cv_2022]) + SUMIF(tblAmazonUnits[Products],$A83, tblAmazonUnits[cv_2022]) + SUMIF(tblMicrosoftUnits[Products],$A83, tblMicrosoftUnits[cv_2022]) + SUMIF(tblAppleUnits[Products],$A83, tblAppleUnits[cv_2022]) + SUMIF(tblAlibabaUnits[Products],$A83, tblAlibabaUnits[cv_2022]) + SUMIF(tblHuaweiUnits[Products],$A83, tblHuaweiUnits[cv_2022]) + SUMIF(tblTencentUnits[Products],$A83, tblTencentUnits[cv_2022]) + SUMIF(tblBaiduUnits[Products],$A83, tblBaiduUnits[cv_2022]) + SUMIF(tblByteDanceUnits[Products],$A83, tblByteDanceUnits[cv_2022]) + SUMIF(tblCloudAOUnits[Products],$A83, tblCloudAOUnits[cv_2022]) + SUMIF(tblTelecomUnits[Products],$A83, tblTelecomUnits[cv_2022]) + SUMIF(tblEnterpriseUnits[Products],$A83, tblEnterpriseUnits[cv_2022])</f>
        <v>0</v>
      </c>
      <c r="G83" s="8">
        <f xml:space="preserve"> SUMIF(tblGoogleUnits[Products],$A83, tblGoogleUnits[cv_2023]) + SUMIF(tblMetaUnits[Products],$A83, tblMetaUnits[cv_2023]) + SUMIF(tblAmazonUnits[Products],$A83, tblAmazonUnits[cv_2023]) + SUMIF(tblMicrosoftUnits[Products],$A83, tblMicrosoftUnits[cv_2023]) + SUMIF(tblAppleUnits[Products],$A83, tblAppleUnits[cv_2023]) + SUMIF(tblAlibabaUnits[Products],$A83, tblAlibabaUnits[cv_2023]) + SUMIF(tblHuaweiUnits[Products],$A83, tblHuaweiUnits[cv_2023]) + SUMIF(tblTencentUnits[Products],$A83, tblTencentUnits[cv_2023]) + SUMIF(tblBaiduUnits[Products],$A83, tblBaiduUnits[cv_2023]) + SUMIF(tblByteDanceUnits[Products],$A83, tblByteDanceUnits[cv_2023]) + SUMIF(tblCloudAOUnits[Products],$A83, tblCloudAOUnits[cv_2023]) + SUMIF(tblTelecomUnits[Products],$A83, tblTelecomUnits[cv_2023]) + SUMIF(tblEnterpriseUnits[Products],$A83, tblEnterpriseUnits[cv_2023])</f>
        <v>0</v>
      </c>
      <c r="H83" s="8">
        <f xml:space="preserve"> SUMIF(tblGoogleUnits[Products],$A83, tblGoogleUnits[cv_2024]) + SUMIF(tblMetaUnits[Products],$A83, tblMetaUnits[cv_2024]) + SUMIF(tblAmazonUnits[Products],$A83, tblAmazonUnits[cv_2024]) + SUMIF(tblMicrosoftUnits[Products],$A83, tblMicrosoftUnits[cv_2024]) + SUMIF(tblAppleUnits[Products],$A83, tblAppleUnits[cv_2024]) + SUMIF(tblAlibabaUnits[Products],$A83, tblAlibabaUnits[cv_2024]) + SUMIF(tblHuaweiUnits[Products],$A83, tblHuaweiUnits[cv_2024]) + SUMIF(tblTencentUnits[Products],$A83, tblTencentUnits[cv_2024]) + SUMIF(tblBaiduUnits[Products],$A83, tblBaiduUnits[cv_2024]) + SUMIF(tblByteDanceUnits[Products],$A83, tblByteDanceUnits[cv_2024]) + SUMIF(tblCloudAOUnits[Products],$A83, tblCloudAOUnits[cv_2024]) + SUMIF(tblTelecomUnits[Products],$A83, tblTelecomUnits[cv_2024]) + SUMIF(tblEnterpriseUnits[Products],$A83, tblEnterpriseUnits[cv_2024])</f>
        <v>0</v>
      </c>
      <c r="I83" s="8">
        <f xml:space="preserve"> SUMIF(tblGoogleUnits[Products],$A83, tblGoogleUnits[cv_2025]) + SUMIF(tblMetaUnits[Products],$A83, tblMetaUnits[cv_2025]) + SUMIF(tblAmazonUnits[Products],$A83, tblAmazonUnits[cv_2025]) + SUMIF(tblMicrosoftUnits[Products],$A83, tblMicrosoftUnits[cv_2025]) + SUMIF(tblAppleUnits[Products],$A83, tblAppleUnits[cv_2025]) + SUMIF(tblAlibabaUnits[Products],$A83, tblAlibabaUnits[cv_2025]) + SUMIF(tblHuaweiUnits[Products],$A83, tblHuaweiUnits[cv_2025]) + SUMIF(tblTencentUnits[Products],$A83, tblTencentUnits[cv_2025]) + SUMIF(tblBaiduUnits[Products],$A83, tblBaiduUnits[cv_2025]) + SUMIF(tblByteDanceUnits[Products],$A83, tblByteDanceUnits[cv_2025]) + SUMIF(tblCloudAOUnits[Products],$A83, tblCloudAOUnits[cv_2025]) + SUMIF(tblTelecomUnits[Products],$A83, tblTelecomUnits[cv_2025]) + SUMIF(tblEnterpriseUnits[Products],$A83, tblEnterpriseUnits[cv_2025])</f>
        <v>0</v>
      </c>
      <c r="J83" s="8">
        <f xml:space="preserve"> SUMIF(tblGoogleUnits[Products],$A83, tblGoogleUnits[cv_2026]) + SUMIF(tblMetaUnits[Products],$A83, tblMetaUnits[cv_2026]) + SUMIF(tblAmazonUnits[Products],$A83, tblAmazonUnits[cv_2026]) + SUMIF(tblMicrosoftUnits[Products],$A83, tblMicrosoftUnits[cv_2026]) + SUMIF(tblAppleUnits[Products],$A83, tblAppleUnits[cv_2026]) + SUMIF(tblAlibabaUnits[Products],$A83, tblAlibabaUnits[cv_2026]) + SUMIF(tblHuaweiUnits[Products],$A83, tblHuaweiUnits[cv_2026]) + SUMIF(tblTencentUnits[Products],$A83, tblTencentUnits[cv_2026]) + SUMIF(tblBaiduUnits[Products],$A83, tblBaiduUnits[cv_2026]) + SUMIF(tblByteDanceUnits[Products],$A83, tblByteDanceUnits[cv_2026]) + SUMIF(tblCloudAOUnits[Products],$A83, tblCloudAOUnits[cv_2026]) + SUMIF(tblTelecomUnits[Products],$A83, tblTelecomUnits[cv_2026]) + SUMIF(tblEnterpriseUnits[Products],$A83, tblEnterpriseUnits[cv_2026])</f>
        <v>0</v>
      </c>
      <c r="K83" s="8">
        <f xml:space="preserve"> SUMIF(tblGoogleUnits[Products],$A83, tblGoogleUnits[cv_2027]) + SUMIF(tblMetaUnits[Products],$A83, tblMetaUnits[cv_2027]) + SUMIF(tblAmazonUnits[Products],$A83, tblAmazonUnits[cv_2027]) + SUMIF(tblMicrosoftUnits[Products],$A83, tblMicrosoftUnits[cv_2027]) + SUMIF(tblAppleUnits[Products],$A83, tblAppleUnits[cv_2027]) + SUMIF(tblAlibabaUnits[Products],$A83, tblAlibabaUnits[cv_2027]) + SUMIF(tblHuaweiUnits[Products],$A83, tblHuaweiUnits[cv_2027]) + SUMIF(tblTencentUnits[Products],$A83, tblTencentUnits[cv_2027]) + SUMIF(tblBaiduUnits[Products],$A83, tblBaiduUnits[cv_2027]) + SUMIF(tblByteDanceUnits[Products],$A83, tblByteDanceUnits[cv_2027]) + SUMIF(tblCloudAOUnits[Products],$A83, tblCloudAOUnits[cv_2027]) + SUMIF(tblTelecomUnits[Products],$A83, tblTelecomUnits[cv_2027]) + SUMIF(tblEnterpriseUnits[Products],$A83, tblEnterpriseUnits[cv_2027])</f>
        <v>0</v>
      </c>
      <c r="L83" s="8">
        <f xml:space="preserve"> SUMIF(tblGoogleUnits[Products],$A83, tblGoogleUnits[cv_2028]) + SUMIF(tblMetaUnits[Products],$A83, tblMetaUnits[cv_2028]) + SUMIF(tblAmazonUnits[Products],$A83, tblAmazonUnits[cv_2028]) + SUMIF(tblMicrosoftUnits[Products],$A83, tblMicrosoftUnits[cv_2028]) + SUMIF(tblAppleUnits[Products],$A83, tblAppleUnits[cv_2028]) + SUMIF(tblAlibabaUnits[Products],$A83, tblAlibabaUnits[cv_2028]) + SUMIF(tblHuaweiUnits[Products],$A83, tblHuaweiUnits[cv_2028]) + SUMIF(tblTencentUnits[Products],$A83, tblTencentUnits[cv_2028]) + SUMIF(tblBaiduUnits[Products],$A83, tblBaiduUnits[cv_2028]) + SUMIF(tblByteDanceUnits[Products],$A83, tblByteDanceUnits[cv_2028]) + SUMIF(tblCloudAOUnits[Products],$A83, tblCloudAOUnits[cv_2028]) + SUMIF(tblTelecomUnits[Products],$A83, tblTelecomUnits[cv_2028]) + SUMIF(tblEnterpriseUnits[Products],$A83, tblEnterpriseUnits[cv_2028])</f>
        <v>0</v>
      </c>
      <c r="M83" s="105" cm="1">
        <f t="array" ref="M83">INDEX(tblPrices[cv_2018], MATCH($A83,tblPrices[Products],0), 0)</f>
        <v>0</v>
      </c>
      <c r="N83" s="105" cm="1">
        <f t="array" ref="N83">INDEX(tblPrices[cv_2019], MATCH($A83,tblPrices[Products],0), 0)</f>
        <v>0</v>
      </c>
      <c r="O83" s="105" cm="1">
        <f t="array" ref="O83">INDEX(tblPrices[cv_2020], MATCH($A83,tblPrices[Products],0), 0)</f>
        <v>0</v>
      </c>
      <c r="P83" s="105" cm="1">
        <f t="array" ref="P83">INDEX(tblPrices[cv_2021], MATCH($A83,tblPrices[Products],0), 0)</f>
        <v>0</v>
      </c>
      <c r="Q83" s="105" cm="1">
        <f t="array" ref="Q83">INDEX(tblPrices[cv_2022], MATCH($A83,tblPrices[Products],0), 0)</f>
        <v>0</v>
      </c>
      <c r="R83" s="105" cm="1">
        <f t="array" ref="R83">INDEX(tblPrices[cv_2023], MATCH($A83,tblPrices[Products],0), 0)</f>
        <v>0</v>
      </c>
      <c r="S83" s="105" cm="1">
        <f t="array" ref="S83">INDEX(tblPrices[cv_2024], MATCH($A83,tblPrices[Products],0), 0)</f>
        <v>0</v>
      </c>
      <c r="T83" s="105" cm="1">
        <f t="array" ref="T83">INDEX(tblPrices[cv_2025], MATCH($A83,tblPrices[Products],0), 0)</f>
        <v>0</v>
      </c>
      <c r="U83" s="105" cm="1">
        <f t="array" ref="U83">INDEX(tblPrices[cv_2026], MATCH($A83,tblPrices[Products],0), 0)</f>
        <v>0</v>
      </c>
      <c r="V83" s="105" cm="1">
        <f t="array" ref="V83">INDEX(tblPrices[cv_2027], MATCH($A83,tblPrices[Products],0), 0)</f>
        <v>0</v>
      </c>
      <c r="W83" s="105" cm="1">
        <f t="array" ref="W83">INDEX(tblPrices[cv_2028], MATCH($A83,tblPrices[Products],0), 0)</f>
        <v>0</v>
      </c>
      <c r="X83" s="106" cm="1">
        <f t="array" ref="X83">INDEX(tblPrices[cv_2018], MATCH($A83,tblPrices[Products],0), 0)* tblForecast[[#This Row],[un_2018]]/10^6</f>
        <v>0</v>
      </c>
      <c r="Y83" s="106" cm="1">
        <f t="array" ref="Y83">INDEX(tblPrices[cv_2019], MATCH($A83,tblPrices[Products],0), 0)* tblForecast[[#This Row],[un_2019]]/10^6</f>
        <v>0</v>
      </c>
      <c r="Z83" s="106" cm="1">
        <f t="array" ref="Z83">INDEX(tblPrices[cv_2020], MATCH($A83,tblPrices[Products],0), 0)* tblForecast[[#This Row],[un_2020]]/10^6</f>
        <v>0</v>
      </c>
      <c r="AA83" s="106" cm="1">
        <f t="array" ref="AA83">INDEX(tblPrices[cv_2021], MATCH($A83,tblPrices[Products],0), 0)* tblForecast[[#This Row],[un_2021]]/10^6</f>
        <v>0</v>
      </c>
      <c r="AB83" s="106" cm="1">
        <f t="array" ref="AB83">INDEX(tblPrices[cv_2022], MATCH($A83,tblPrices[Products],0), 0)* tblForecast[[#This Row],[un_2022]]/10^6</f>
        <v>0</v>
      </c>
      <c r="AC83" s="106" cm="1">
        <f t="array" ref="AC83">INDEX(tblPrices[cv_2023], MATCH($A83,tblPrices[Products],0), 0)* tblForecast[[#This Row],[un_2023]]/10^6</f>
        <v>0</v>
      </c>
      <c r="AD83" s="106" cm="1">
        <f t="array" ref="AD83">INDEX(tblPrices[cv_2024], MATCH($A83,tblPrices[Products],0), 0)* tblForecast[[#This Row],[un_2024]]/10^6</f>
        <v>0</v>
      </c>
      <c r="AE83" s="106" cm="1">
        <f t="array" ref="AE83">INDEX(tblPrices[cv_2025], MATCH($A83,tblPrices[Products],0), 0)* tblForecast[[#This Row],[un_2025]]/10^6</f>
        <v>0</v>
      </c>
      <c r="AF83" s="106" cm="1">
        <f t="array" ref="AF83">INDEX(tblPrices[cv_2026], MATCH($A83,tblPrices[Products],0), 0)* tblForecast[[#This Row],[un_2026]]/10^6</f>
        <v>0</v>
      </c>
      <c r="AG83" s="106" cm="1">
        <f t="array" ref="AG83">INDEX(tblPrices[cv_2027], MATCH($A83,tblPrices[Products],0), 0)* tblForecast[[#This Row],[un_2027]]/10^6</f>
        <v>0</v>
      </c>
      <c r="AH83" s="106" cm="1">
        <f t="array" ref="AH83">INDEX(tblPrices[cv_2028], MATCH($A83,tblPrices[Products],0), 0)* tblForecast[[#This Row],[un_2028]]/10^6</f>
        <v>0</v>
      </c>
      <c r="AI83" s="60">
        <f>VLOOKUP(A83,Products!$A$11:$F$110,6,FALSE)</f>
        <v>400</v>
      </c>
    </row>
    <row r="84" spans="1:35">
      <c r="A84" s="12" t="s">
        <v>11</v>
      </c>
      <c r="B84" s="8">
        <f xml:space="preserve"> SUMIF(tblGoogleUnits[Products],$A84, tblGoogleUnits[cv_2018]) + SUMIF(tblMetaUnits[Products],$A84, tblMetaUnits[cv_2018]) + SUMIF(tblAmazonUnits[Products],$A84, tblAmazonUnits[cv_2018]) + SUMIF(tblMicrosoftUnits[Products],$A84, tblMicrosoftUnits[cv_2018]) + SUMIF(tblAppleUnits[Products],$A84, tblAppleUnits[cv_2018]) + SUMIF(tblAlibabaUnits[Products],$A84, tblAlibabaUnits[cv_2018]) + SUMIF(tblHuaweiUnits[Products],$A84, tblHuaweiUnits[cv_2018]) + SUMIF(tblTencentUnits[Products],$A84, tblTencentUnits[cv_2018]) + SUMIF(tblBaiduUnits[Products],$A84, tblBaiduUnits[cv_2018]) + SUMIF(tblByteDanceUnits[Products],$A84, tblByteDanceUnits[cv_2018]) + SUMIF(tblCloudAOUnits[Products],$A84, tblCloudAOUnits[cv_2018]) + SUMIF(tblTelecomUnits[Products],$A84, tblTelecomUnits[cv_2018]) + SUMIF(tblEnterpriseUnits[Products],$A84, tblEnterpriseUnits[cv_2018])</f>
        <v>2000</v>
      </c>
      <c r="C84" s="8">
        <f xml:space="preserve"> SUMIF(tblGoogleUnits[Products],$A84, tblGoogleUnits[cv_2019]) + SUMIF(tblMetaUnits[Products],$A84, tblMetaUnits[cv_2019]) + SUMIF(tblAmazonUnits[Products],$A84, tblAmazonUnits[cv_2019]) + SUMIF(tblMicrosoftUnits[Products],$A84, tblMicrosoftUnits[cv_2019]) + SUMIF(tblAppleUnits[Products],$A84, tblAppleUnits[cv_2019]) + SUMIF(tblAlibabaUnits[Products],$A84, tblAlibabaUnits[cv_2019]) + SUMIF(tblHuaweiUnits[Products],$A84, tblHuaweiUnits[cv_2019]) + SUMIF(tblTencentUnits[Products],$A84, tblTencentUnits[cv_2019]) + SUMIF(tblBaiduUnits[Products],$A84, tblBaiduUnits[cv_2019]) + SUMIF(tblByteDanceUnits[Products],$A84, tblByteDanceUnits[cv_2019]) + SUMIF(tblCloudAOUnits[Products],$A84, tblCloudAOUnits[cv_2019]) + SUMIF(tblTelecomUnits[Products],$A84, tblTelecomUnits[cv_2019]) + SUMIF(tblEnterpriseUnits[Products],$A84, tblEnterpriseUnits[cv_2019])</f>
        <v>29283</v>
      </c>
      <c r="D84" s="8">
        <f xml:space="preserve"> SUMIF(tblGoogleUnits[Products],$A84, tblGoogleUnits[cv_2020]) + SUMIF(tblMetaUnits[Products],$A84, tblMetaUnits[cv_2020]) + SUMIF(tblAmazonUnits[Products],$A84, tblAmazonUnits[cv_2020]) + SUMIF(tblMicrosoftUnits[Products],$A84, tblMicrosoftUnits[cv_2020]) + SUMIF(tblAppleUnits[Products],$A84, tblAppleUnits[cv_2020]) + SUMIF(tblAlibabaUnits[Products],$A84, tblAlibabaUnits[cv_2020]) + SUMIF(tblHuaweiUnits[Products],$A84, tblHuaweiUnits[cv_2020]) + SUMIF(tblTencentUnits[Products],$A84, tblTencentUnits[cv_2020]) + SUMIF(tblBaiduUnits[Products],$A84, tblBaiduUnits[cv_2020]) + SUMIF(tblByteDanceUnits[Products],$A84, tblByteDanceUnits[cv_2020]) + SUMIF(tblCloudAOUnits[Products],$A84, tblCloudAOUnits[cv_2020]) + SUMIF(tblTelecomUnits[Products],$A84, tblTelecomUnits[cv_2020]) + SUMIF(tblEnterpriseUnits[Products],$A84, tblEnterpriseUnits[cv_2020])</f>
        <v>0</v>
      </c>
      <c r="E84" s="8">
        <f xml:space="preserve"> SUMIF(tblGoogleUnits[Products],$A84, tblGoogleUnits[cv_2021]) + SUMIF(tblMetaUnits[Products],$A84, tblMetaUnits[cv_2021]) + SUMIF(tblAmazonUnits[Products],$A84, tblAmazonUnits[cv_2021]) + SUMIF(tblMicrosoftUnits[Products],$A84, tblMicrosoftUnits[cv_2021]) + SUMIF(tblAppleUnits[Products],$A84, tblAppleUnits[cv_2021]) + SUMIF(tblAlibabaUnits[Products],$A84, tblAlibabaUnits[cv_2021]) + SUMIF(tblHuaweiUnits[Products],$A84, tblHuaweiUnits[cv_2021]) + SUMIF(tblTencentUnits[Products],$A84, tblTencentUnits[cv_2021]) + SUMIF(tblBaiduUnits[Products],$A84, tblBaiduUnits[cv_2021]) + SUMIF(tblByteDanceUnits[Products],$A84, tblByteDanceUnits[cv_2021]) + SUMIF(tblCloudAOUnits[Products],$A84, tblCloudAOUnits[cv_2021]) + SUMIF(tblTelecomUnits[Products],$A84, tblTelecomUnits[cv_2021]) + SUMIF(tblEnterpriseUnits[Products],$A84, tblEnterpriseUnits[cv_2021])</f>
        <v>0</v>
      </c>
      <c r="F84" s="8">
        <f xml:space="preserve"> SUMIF(tblGoogleUnits[Products],$A84, tblGoogleUnits[cv_2022]) + SUMIF(tblMetaUnits[Products],$A84, tblMetaUnits[cv_2022]) + SUMIF(tblAmazonUnits[Products],$A84, tblAmazonUnits[cv_2022]) + SUMIF(tblMicrosoftUnits[Products],$A84, tblMicrosoftUnits[cv_2022]) + SUMIF(tblAppleUnits[Products],$A84, tblAppleUnits[cv_2022]) + SUMIF(tblAlibabaUnits[Products],$A84, tblAlibabaUnits[cv_2022]) + SUMIF(tblHuaweiUnits[Products],$A84, tblHuaweiUnits[cv_2022]) + SUMIF(tblTencentUnits[Products],$A84, tblTencentUnits[cv_2022]) + SUMIF(tblBaiduUnits[Products],$A84, tblBaiduUnits[cv_2022]) + SUMIF(tblByteDanceUnits[Products],$A84, tblByteDanceUnits[cv_2022]) + SUMIF(tblCloudAOUnits[Products],$A84, tblCloudAOUnits[cv_2022]) + SUMIF(tblTelecomUnits[Products],$A84, tblTelecomUnits[cv_2022]) + SUMIF(tblEnterpriseUnits[Products],$A84, tblEnterpriseUnits[cv_2022])</f>
        <v>0</v>
      </c>
      <c r="G84" s="8">
        <f xml:space="preserve"> SUMIF(tblGoogleUnits[Products],$A84, tblGoogleUnits[cv_2023]) + SUMIF(tblMetaUnits[Products],$A84, tblMetaUnits[cv_2023]) + SUMIF(tblAmazonUnits[Products],$A84, tblAmazonUnits[cv_2023]) + SUMIF(tblMicrosoftUnits[Products],$A84, tblMicrosoftUnits[cv_2023]) + SUMIF(tblAppleUnits[Products],$A84, tblAppleUnits[cv_2023]) + SUMIF(tblAlibabaUnits[Products],$A84, tblAlibabaUnits[cv_2023]) + SUMIF(tblHuaweiUnits[Products],$A84, tblHuaweiUnits[cv_2023]) + SUMIF(tblTencentUnits[Products],$A84, tblTencentUnits[cv_2023]) + SUMIF(tblBaiduUnits[Products],$A84, tblBaiduUnits[cv_2023]) + SUMIF(tblByteDanceUnits[Products],$A84, tblByteDanceUnits[cv_2023]) + SUMIF(tblCloudAOUnits[Products],$A84, tblCloudAOUnits[cv_2023]) + SUMIF(tblTelecomUnits[Products],$A84, tblTelecomUnits[cv_2023]) + SUMIF(tblEnterpriseUnits[Products],$A84, tblEnterpriseUnits[cv_2023])</f>
        <v>0</v>
      </c>
      <c r="H84" s="8">
        <f xml:space="preserve"> SUMIF(tblGoogleUnits[Products],$A84, tblGoogleUnits[cv_2024]) + SUMIF(tblMetaUnits[Products],$A84, tblMetaUnits[cv_2024]) + SUMIF(tblAmazonUnits[Products],$A84, tblAmazonUnits[cv_2024]) + SUMIF(tblMicrosoftUnits[Products],$A84, tblMicrosoftUnits[cv_2024]) + SUMIF(tblAppleUnits[Products],$A84, tblAppleUnits[cv_2024]) + SUMIF(tblAlibabaUnits[Products],$A84, tblAlibabaUnits[cv_2024]) + SUMIF(tblHuaweiUnits[Products],$A84, tblHuaweiUnits[cv_2024]) + SUMIF(tblTencentUnits[Products],$A84, tblTencentUnits[cv_2024]) + SUMIF(tblBaiduUnits[Products],$A84, tblBaiduUnits[cv_2024]) + SUMIF(tblByteDanceUnits[Products],$A84, tblByteDanceUnits[cv_2024]) + SUMIF(tblCloudAOUnits[Products],$A84, tblCloudAOUnits[cv_2024]) + SUMIF(tblTelecomUnits[Products],$A84, tblTelecomUnits[cv_2024]) + SUMIF(tblEnterpriseUnits[Products],$A84, tblEnterpriseUnits[cv_2024])</f>
        <v>0</v>
      </c>
      <c r="I84" s="8">
        <f xml:space="preserve"> SUMIF(tblGoogleUnits[Products],$A84, tblGoogleUnits[cv_2025]) + SUMIF(tblMetaUnits[Products],$A84, tblMetaUnits[cv_2025]) + SUMIF(tblAmazonUnits[Products],$A84, tblAmazonUnits[cv_2025]) + SUMIF(tblMicrosoftUnits[Products],$A84, tblMicrosoftUnits[cv_2025]) + SUMIF(tblAppleUnits[Products],$A84, tblAppleUnits[cv_2025]) + SUMIF(tblAlibabaUnits[Products],$A84, tblAlibabaUnits[cv_2025]) + SUMIF(tblHuaweiUnits[Products],$A84, tblHuaweiUnits[cv_2025]) + SUMIF(tblTencentUnits[Products],$A84, tblTencentUnits[cv_2025]) + SUMIF(tblBaiduUnits[Products],$A84, tblBaiduUnits[cv_2025]) + SUMIF(tblByteDanceUnits[Products],$A84, tblByteDanceUnits[cv_2025]) + SUMIF(tblCloudAOUnits[Products],$A84, tblCloudAOUnits[cv_2025]) + SUMIF(tblTelecomUnits[Products],$A84, tblTelecomUnits[cv_2025]) + SUMIF(tblEnterpriseUnits[Products],$A84, tblEnterpriseUnits[cv_2025])</f>
        <v>0</v>
      </c>
      <c r="J84" s="8">
        <f xml:space="preserve"> SUMIF(tblGoogleUnits[Products],$A84, tblGoogleUnits[cv_2026]) + SUMIF(tblMetaUnits[Products],$A84, tblMetaUnits[cv_2026]) + SUMIF(tblAmazonUnits[Products],$A84, tblAmazonUnits[cv_2026]) + SUMIF(tblMicrosoftUnits[Products],$A84, tblMicrosoftUnits[cv_2026]) + SUMIF(tblAppleUnits[Products],$A84, tblAppleUnits[cv_2026]) + SUMIF(tblAlibabaUnits[Products],$A84, tblAlibabaUnits[cv_2026]) + SUMIF(tblHuaweiUnits[Products],$A84, tblHuaweiUnits[cv_2026]) + SUMIF(tblTencentUnits[Products],$A84, tblTencentUnits[cv_2026]) + SUMIF(tblBaiduUnits[Products],$A84, tblBaiduUnits[cv_2026]) + SUMIF(tblByteDanceUnits[Products],$A84, tblByteDanceUnits[cv_2026]) + SUMIF(tblCloudAOUnits[Products],$A84, tblCloudAOUnits[cv_2026]) + SUMIF(tblTelecomUnits[Products],$A84, tblTelecomUnits[cv_2026]) + SUMIF(tblEnterpriseUnits[Products],$A84, tblEnterpriseUnits[cv_2026])</f>
        <v>0</v>
      </c>
      <c r="K84" s="8">
        <f xml:space="preserve"> SUMIF(tblGoogleUnits[Products],$A84, tblGoogleUnits[cv_2027]) + SUMIF(tblMetaUnits[Products],$A84, tblMetaUnits[cv_2027]) + SUMIF(tblAmazonUnits[Products],$A84, tblAmazonUnits[cv_2027]) + SUMIF(tblMicrosoftUnits[Products],$A84, tblMicrosoftUnits[cv_2027]) + SUMIF(tblAppleUnits[Products],$A84, tblAppleUnits[cv_2027]) + SUMIF(tblAlibabaUnits[Products],$A84, tblAlibabaUnits[cv_2027]) + SUMIF(tblHuaweiUnits[Products],$A84, tblHuaweiUnits[cv_2027]) + SUMIF(tblTencentUnits[Products],$A84, tblTencentUnits[cv_2027]) + SUMIF(tblBaiduUnits[Products],$A84, tblBaiduUnits[cv_2027]) + SUMIF(tblByteDanceUnits[Products],$A84, tblByteDanceUnits[cv_2027]) + SUMIF(tblCloudAOUnits[Products],$A84, tblCloudAOUnits[cv_2027]) + SUMIF(tblTelecomUnits[Products],$A84, tblTelecomUnits[cv_2027]) + SUMIF(tblEnterpriseUnits[Products],$A84, tblEnterpriseUnits[cv_2027])</f>
        <v>0</v>
      </c>
      <c r="L84" s="8">
        <f xml:space="preserve"> SUMIF(tblGoogleUnits[Products],$A84, tblGoogleUnits[cv_2028]) + SUMIF(tblMetaUnits[Products],$A84, tblMetaUnits[cv_2028]) + SUMIF(tblAmazonUnits[Products],$A84, tblAmazonUnits[cv_2028]) + SUMIF(tblMicrosoftUnits[Products],$A84, tblMicrosoftUnits[cv_2028]) + SUMIF(tblAppleUnits[Products],$A84, tblAppleUnits[cv_2028]) + SUMIF(tblAlibabaUnits[Products],$A84, tblAlibabaUnits[cv_2028]) + SUMIF(tblHuaweiUnits[Products],$A84, tblHuaweiUnits[cv_2028]) + SUMIF(tblTencentUnits[Products],$A84, tblTencentUnits[cv_2028]) + SUMIF(tblBaiduUnits[Products],$A84, tblBaiduUnits[cv_2028]) + SUMIF(tblByteDanceUnits[Products],$A84, tblByteDanceUnits[cv_2028]) + SUMIF(tblCloudAOUnits[Products],$A84, tblCloudAOUnits[cv_2028]) + SUMIF(tblTelecomUnits[Products],$A84, tblTelecomUnits[cv_2028]) + SUMIF(tblEnterpriseUnits[Products],$A84, tblEnterpriseUnits[cv_2028])</f>
        <v>0</v>
      </c>
      <c r="M84" s="105" cm="1">
        <f t="array" ref="M84">INDEX(tblPrices[cv_2018], MATCH($A84,tblPrices[Products],0), 0)</f>
        <v>1100</v>
      </c>
      <c r="N84" s="105" cm="1">
        <f t="array" ref="N84">INDEX(tblPrices[cv_2019], MATCH($A84,tblPrices[Products],0), 0)</f>
        <v>815.28168664412806</v>
      </c>
      <c r="O84" s="105" cm="1">
        <f t="array" ref="O84">INDEX(tblPrices[cv_2020], MATCH($A84,tblPrices[Products],0), 0)</f>
        <v>0</v>
      </c>
      <c r="P84" s="105" cm="1">
        <f t="array" ref="P84">INDEX(tblPrices[cv_2021], MATCH($A84,tblPrices[Products],0), 0)</f>
        <v>0</v>
      </c>
      <c r="Q84" s="105" cm="1">
        <f t="array" ref="Q84">INDEX(tblPrices[cv_2022], MATCH($A84,tblPrices[Products],0), 0)</f>
        <v>0</v>
      </c>
      <c r="R84" s="105" cm="1">
        <f t="array" ref="R84">INDEX(tblPrices[cv_2023], MATCH($A84,tblPrices[Products],0), 0)</f>
        <v>0</v>
      </c>
      <c r="S84" s="105" cm="1">
        <f t="array" ref="S84">INDEX(tblPrices[cv_2024], MATCH($A84,tblPrices[Products],0), 0)</f>
        <v>0</v>
      </c>
      <c r="T84" s="105" cm="1">
        <f t="array" ref="T84">INDEX(tblPrices[cv_2025], MATCH($A84,tblPrices[Products],0), 0)</f>
        <v>0</v>
      </c>
      <c r="U84" s="105" cm="1">
        <f t="array" ref="U84">INDEX(tblPrices[cv_2026], MATCH($A84,tblPrices[Products],0), 0)</f>
        <v>0</v>
      </c>
      <c r="V84" s="105" cm="1">
        <f t="array" ref="V84">INDEX(tblPrices[cv_2027], MATCH($A84,tblPrices[Products],0), 0)</f>
        <v>0</v>
      </c>
      <c r="W84" s="105" cm="1">
        <f t="array" ref="W84">INDEX(tblPrices[cv_2028], MATCH($A84,tblPrices[Products],0), 0)</f>
        <v>0</v>
      </c>
      <c r="X84" s="106" cm="1">
        <f t="array" ref="X84">INDEX(tblPrices[cv_2018], MATCH($A84,tblPrices[Products],0), 0)* tblForecast[[#This Row],[un_2018]]/10^6</f>
        <v>2.2000000000000002</v>
      </c>
      <c r="Y84" s="106" cm="1">
        <f t="array" ref="Y84">INDEX(tblPrices[cv_2019], MATCH($A84,tblPrices[Products],0), 0)* tblForecast[[#This Row],[un_2019]]/10^6</f>
        <v>23.873893630000001</v>
      </c>
      <c r="Z84" s="106" cm="1">
        <f t="array" ref="Z84">INDEX(tblPrices[cv_2020], MATCH($A84,tblPrices[Products],0), 0)* tblForecast[[#This Row],[un_2020]]/10^6</f>
        <v>0</v>
      </c>
      <c r="AA84" s="106" cm="1">
        <f t="array" ref="AA84">INDEX(tblPrices[cv_2021], MATCH($A84,tblPrices[Products],0), 0)* tblForecast[[#This Row],[un_2021]]/10^6</f>
        <v>0</v>
      </c>
      <c r="AB84" s="106" cm="1">
        <f t="array" ref="AB84">INDEX(tblPrices[cv_2022], MATCH($A84,tblPrices[Products],0), 0)* tblForecast[[#This Row],[un_2022]]/10^6</f>
        <v>0</v>
      </c>
      <c r="AC84" s="106" cm="1">
        <f t="array" ref="AC84">INDEX(tblPrices[cv_2023], MATCH($A84,tblPrices[Products],0), 0)* tblForecast[[#This Row],[un_2023]]/10^6</f>
        <v>0</v>
      </c>
      <c r="AD84" s="106" cm="1">
        <f t="array" ref="AD84">INDEX(tblPrices[cv_2024], MATCH($A84,tblPrices[Products],0), 0)* tblForecast[[#This Row],[un_2024]]/10^6</f>
        <v>0</v>
      </c>
      <c r="AE84" s="106" cm="1">
        <f t="array" ref="AE84">INDEX(tblPrices[cv_2025], MATCH($A84,tblPrices[Products],0), 0)* tblForecast[[#This Row],[un_2025]]/10^6</f>
        <v>0</v>
      </c>
      <c r="AF84" s="106" cm="1">
        <f t="array" ref="AF84">INDEX(tblPrices[cv_2026], MATCH($A84,tblPrices[Products],0), 0)* tblForecast[[#This Row],[un_2026]]/10^6</f>
        <v>0</v>
      </c>
      <c r="AG84" s="106" cm="1">
        <f t="array" ref="AG84">INDEX(tblPrices[cv_2027], MATCH($A84,tblPrices[Products],0), 0)* tblForecast[[#This Row],[un_2027]]/10^6</f>
        <v>0</v>
      </c>
      <c r="AH84" s="106" cm="1">
        <f t="array" ref="AH84">INDEX(tblPrices[cv_2028], MATCH($A84,tblPrices[Products],0), 0)* tblForecast[[#This Row],[un_2028]]/10^6</f>
        <v>0</v>
      </c>
      <c r="AI84" s="60">
        <f>VLOOKUP(A84,Products!$A$11:$F$110,6,FALSE)</f>
        <v>400</v>
      </c>
    </row>
    <row r="85" spans="1:35">
      <c r="A85" s="12" t="s">
        <v>10</v>
      </c>
      <c r="B85" s="8">
        <f xml:space="preserve"> SUMIF(tblGoogleUnits[Products],$A85, tblGoogleUnits[cv_2018]) + SUMIF(tblMetaUnits[Products],$A85, tblMetaUnits[cv_2018]) + SUMIF(tblAmazonUnits[Products],$A85, tblAmazonUnits[cv_2018]) + SUMIF(tblMicrosoftUnits[Products],$A85, tblMicrosoftUnits[cv_2018]) + SUMIF(tblAppleUnits[Products],$A85, tblAppleUnits[cv_2018]) + SUMIF(tblAlibabaUnits[Products],$A85, tblAlibabaUnits[cv_2018]) + SUMIF(tblHuaweiUnits[Products],$A85, tblHuaweiUnits[cv_2018]) + SUMIF(tblTencentUnits[Products],$A85, tblTencentUnits[cv_2018]) + SUMIF(tblBaiduUnits[Products],$A85, tblBaiduUnits[cv_2018]) + SUMIF(tblByteDanceUnits[Products],$A85, tblByteDanceUnits[cv_2018]) + SUMIF(tblCloudAOUnits[Products],$A85, tblCloudAOUnits[cv_2018]) + SUMIF(tblTelecomUnits[Products],$A85, tblTelecomUnits[cv_2018]) + SUMIF(tblEnterpriseUnits[Products],$A85, tblEnterpriseUnits[cv_2018])</f>
        <v>12000</v>
      </c>
      <c r="C85" s="8">
        <f xml:space="preserve"> SUMIF(tblGoogleUnits[Products],$A85, tblGoogleUnits[cv_2019]) + SUMIF(tblMetaUnits[Products],$A85, tblMetaUnits[cv_2019]) + SUMIF(tblAmazonUnits[Products],$A85, tblAmazonUnits[cv_2019]) + SUMIF(tblMicrosoftUnits[Products],$A85, tblMicrosoftUnits[cv_2019]) + SUMIF(tblAppleUnits[Products],$A85, tblAppleUnits[cv_2019]) + SUMIF(tblAlibabaUnits[Products],$A85, tblAlibabaUnits[cv_2019]) + SUMIF(tblHuaweiUnits[Products],$A85, tblHuaweiUnits[cv_2019]) + SUMIF(tblTencentUnits[Products],$A85, tblTencentUnits[cv_2019]) + SUMIF(tblBaiduUnits[Products],$A85, tblBaiduUnits[cv_2019]) + SUMIF(tblByteDanceUnits[Products],$A85, tblByteDanceUnits[cv_2019]) + SUMIF(tblCloudAOUnits[Products],$A85, tblCloudAOUnits[cv_2019]) + SUMIF(tblTelecomUnits[Products],$A85, tblTelecomUnits[cv_2019]) + SUMIF(tblEnterpriseUnits[Products],$A85, tblEnterpriseUnits[cv_2019])</f>
        <v>53000</v>
      </c>
      <c r="D85" s="8">
        <f xml:space="preserve"> SUMIF(tblGoogleUnits[Products],$A85, tblGoogleUnits[cv_2020]) + SUMIF(tblMetaUnits[Products],$A85, tblMetaUnits[cv_2020]) + SUMIF(tblAmazonUnits[Products],$A85, tblAmazonUnits[cv_2020]) + SUMIF(tblMicrosoftUnits[Products],$A85, tblMicrosoftUnits[cv_2020]) + SUMIF(tblAppleUnits[Products],$A85, tblAppleUnits[cv_2020]) + SUMIF(tblAlibabaUnits[Products],$A85, tblAlibabaUnits[cv_2020]) + SUMIF(tblHuaweiUnits[Products],$A85, tblHuaweiUnits[cv_2020]) + SUMIF(tblTencentUnits[Products],$A85, tblTencentUnits[cv_2020]) + SUMIF(tblBaiduUnits[Products],$A85, tblBaiduUnits[cv_2020]) + SUMIF(tblByteDanceUnits[Products],$A85, tblByteDanceUnits[cv_2020]) + SUMIF(tblCloudAOUnits[Products],$A85, tblCloudAOUnits[cv_2020]) + SUMIF(tblTelecomUnits[Products],$A85, tblTelecomUnits[cv_2020]) + SUMIF(tblEnterpriseUnits[Products],$A85, tblEnterpriseUnits[cv_2020])</f>
        <v>0</v>
      </c>
      <c r="E85" s="8">
        <f xml:space="preserve"> SUMIF(tblGoogleUnits[Products],$A85, tblGoogleUnits[cv_2021]) + SUMIF(tblMetaUnits[Products],$A85, tblMetaUnits[cv_2021]) + SUMIF(tblAmazonUnits[Products],$A85, tblAmazonUnits[cv_2021]) + SUMIF(tblMicrosoftUnits[Products],$A85, tblMicrosoftUnits[cv_2021]) + SUMIF(tblAppleUnits[Products],$A85, tblAppleUnits[cv_2021]) + SUMIF(tblAlibabaUnits[Products],$A85, tblAlibabaUnits[cv_2021]) + SUMIF(tblHuaweiUnits[Products],$A85, tblHuaweiUnits[cv_2021]) + SUMIF(tblTencentUnits[Products],$A85, tblTencentUnits[cv_2021]) + SUMIF(tblBaiduUnits[Products],$A85, tblBaiduUnits[cv_2021]) + SUMIF(tblByteDanceUnits[Products],$A85, tblByteDanceUnits[cv_2021]) + SUMIF(tblCloudAOUnits[Products],$A85, tblCloudAOUnits[cv_2021]) + SUMIF(tblTelecomUnits[Products],$A85, tblTelecomUnits[cv_2021]) + SUMIF(tblEnterpriseUnits[Products],$A85, tblEnterpriseUnits[cv_2021])</f>
        <v>0</v>
      </c>
      <c r="F85" s="8">
        <f xml:space="preserve"> SUMIF(tblGoogleUnits[Products],$A85, tblGoogleUnits[cv_2022]) + SUMIF(tblMetaUnits[Products],$A85, tblMetaUnits[cv_2022]) + SUMIF(tblAmazonUnits[Products],$A85, tblAmazonUnits[cv_2022]) + SUMIF(tblMicrosoftUnits[Products],$A85, tblMicrosoftUnits[cv_2022]) + SUMIF(tblAppleUnits[Products],$A85, tblAppleUnits[cv_2022]) + SUMIF(tblAlibabaUnits[Products],$A85, tblAlibabaUnits[cv_2022]) + SUMIF(tblHuaweiUnits[Products],$A85, tblHuaweiUnits[cv_2022]) + SUMIF(tblTencentUnits[Products],$A85, tblTencentUnits[cv_2022]) + SUMIF(tblBaiduUnits[Products],$A85, tblBaiduUnits[cv_2022]) + SUMIF(tblByteDanceUnits[Products],$A85, tblByteDanceUnits[cv_2022]) + SUMIF(tblCloudAOUnits[Products],$A85, tblCloudAOUnits[cv_2022]) + SUMIF(tblTelecomUnits[Products],$A85, tblTelecomUnits[cv_2022]) + SUMIF(tblEnterpriseUnits[Products],$A85, tblEnterpriseUnits[cv_2022])</f>
        <v>0</v>
      </c>
      <c r="G85" s="8">
        <f xml:space="preserve"> SUMIF(tblGoogleUnits[Products],$A85, tblGoogleUnits[cv_2023]) + SUMIF(tblMetaUnits[Products],$A85, tblMetaUnits[cv_2023]) + SUMIF(tblAmazonUnits[Products],$A85, tblAmazonUnits[cv_2023]) + SUMIF(tblMicrosoftUnits[Products],$A85, tblMicrosoftUnits[cv_2023]) + SUMIF(tblAppleUnits[Products],$A85, tblAppleUnits[cv_2023]) + SUMIF(tblAlibabaUnits[Products],$A85, tblAlibabaUnits[cv_2023]) + SUMIF(tblHuaweiUnits[Products],$A85, tblHuaweiUnits[cv_2023]) + SUMIF(tblTencentUnits[Products],$A85, tblTencentUnits[cv_2023]) + SUMIF(tblBaiduUnits[Products],$A85, tblBaiduUnits[cv_2023]) + SUMIF(tblByteDanceUnits[Products],$A85, tblByteDanceUnits[cv_2023]) + SUMIF(tblCloudAOUnits[Products],$A85, tblCloudAOUnits[cv_2023]) + SUMIF(tblTelecomUnits[Products],$A85, tblTelecomUnits[cv_2023]) + SUMIF(tblEnterpriseUnits[Products],$A85, tblEnterpriseUnits[cv_2023])</f>
        <v>0</v>
      </c>
      <c r="H85" s="8">
        <f xml:space="preserve"> SUMIF(tblGoogleUnits[Products],$A85, tblGoogleUnits[cv_2024]) + SUMIF(tblMetaUnits[Products],$A85, tblMetaUnits[cv_2024]) + SUMIF(tblAmazonUnits[Products],$A85, tblAmazonUnits[cv_2024]) + SUMIF(tblMicrosoftUnits[Products],$A85, tblMicrosoftUnits[cv_2024]) + SUMIF(tblAppleUnits[Products],$A85, tblAppleUnits[cv_2024]) + SUMIF(tblAlibabaUnits[Products],$A85, tblAlibabaUnits[cv_2024]) + SUMIF(tblHuaweiUnits[Products],$A85, tblHuaweiUnits[cv_2024]) + SUMIF(tblTencentUnits[Products],$A85, tblTencentUnits[cv_2024]) + SUMIF(tblBaiduUnits[Products],$A85, tblBaiduUnits[cv_2024]) + SUMIF(tblByteDanceUnits[Products],$A85, tblByteDanceUnits[cv_2024]) + SUMIF(tblCloudAOUnits[Products],$A85, tblCloudAOUnits[cv_2024]) + SUMIF(tblTelecomUnits[Products],$A85, tblTelecomUnits[cv_2024]) + SUMIF(tblEnterpriseUnits[Products],$A85, tblEnterpriseUnits[cv_2024])</f>
        <v>0</v>
      </c>
      <c r="I85" s="8">
        <f xml:space="preserve"> SUMIF(tblGoogleUnits[Products],$A85, tblGoogleUnits[cv_2025]) + SUMIF(tblMetaUnits[Products],$A85, tblMetaUnits[cv_2025]) + SUMIF(tblAmazonUnits[Products],$A85, tblAmazonUnits[cv_2025]) + SUMIF(tblMicrosoftUnits[Products],$A85, tblMicrosoftUnits[cv_2025]) + SUMIF(tblAppleUnits[Products],$A85, tblAppleUnits[cv_2025]) + SUMIF(tblAlibabaUnits[Products],$A85, tblAlibabaUnits[cv_2025]) + SUMIF(tblHuaweiUnits[Products],$A85, tblHuaweiUnits[cv_2025]) + SUMIF(tblTencentUnits[Products],$A85, tblTencentUnits[cv_2025]) + SUMIF(tblBaiduUnits[Products],$A85, tblBaiduUnits[cv_2025]) + SUMIF(tblByteDanceUnits[Products],$A85, tblByteDanceUnits[cv_2025]) + SUMIF(tblCloudAOUnits[Products],$A85, tblCloudAOUnits[cv_2025]) + SUMIF(tblTelecomUnits[Products],$A85, tblTelecomUnits[cv_2025]) + SUMIF(tblEnterpriseUnits[Products],$A85, tblEnterpriseUnits[cv_2025])</f>
        <v>0</v>
      </c>
      <c r="J85" s="8">
        <f xml:space="preserve"> SUMIF(tblGoogleUnits[Products],$A85, tblGoogleUnits[cv_2026]) + SUMIF(tblMetaUnits[Products],$A85, tblMetaUnits[cv_2026]) + SUMIF(tblAmazonUnits[Products],$A85, tblAmazonUnits[cv_2026]) + SUMIF(tblMicrosoftUnits[Products],$A85, tblMicrosoftUnits[cv_2026]) + SUMIF(tblAppleUnits[Products],$A85, tblAppleUnits[cv_2026]) + SUMIF(tblAlibabaUnits[Products],$A85, tblAlibabaUnits[cv_2026]) + SUMIF(tblHuaweiUnits[Products],$A85, tblHuaweiUnits[cv_2026]) + SUMIF(tblTencentUnits[Products],$A85, tblTencentUnits[cv_2026]) + SUMIF(tblBaiduUnits[Products],$A85, tblBaiduUnits[cv_2026]) + SUMIF(tblByteDanceUnits[Products],$A85, tblByteDanceUnits[cv_2026]) + SUMIF(tblCloudAOUnits[Products],$A85, tblCloudAOUnits[cv_2026]) + SUMIF(tblTelecomUnits[Products],$A85, tblTelecomUnits[cv_2026]) + SUMIF(tblEnterpriseUnits[Products],$A85, tblEnterpriseUnits[cv_2026])</f>
        <v>0</v>
      </c>
      <c r="K85" s="8">
        <f xml:space="preserve"> SUMIF(tblGoogleUnits[Products],$A85, tblGoogleUnits[cv_2027]) + SUMIF(tblMetaUnits[Products],$A85, tblMetaUnits[cv_2027]) + SUMIF(tblAmazonUnits[Products],$A85, tblAmazonUnits[cv_2027]) + SUMIF(tblMicrosoftUnits[Products],$A85, tblMicrosoftUnits[cv_2027]) + SUMIF(tblAppleUnits[Products],$A85, tblAppleUnits[cv_2027]) + SUMIF(tblAlibabaUnits[Products],$A85, tblAlibabaUnits[cv_2027]) + SUMIF(tblHuaweiUnits[Products],$A85, tblHuaweiUnits[cv_2027]) + SUMIF(tblTencentUnits[Products],$A85, tblTencentUnits[cv_2027]) + SUMIF(tblBaiduUnits[Products],$A85, tblBaiduUnits[cv_2027]) + SUMIF(tblByteDanceUnits[Products],$A85, tblByteDanceUnits[cv_2027]) + SUMIF(tblCloudAOUnits[Products],$A85, tblCloudAOUnits[cv_2027]) + SUMIF(tblTelecomUnits[Products],$A85, tblTelecomUnits[cv_2027]) + SUMIF(tblEnterpriseUnits[Products],$A85, tblEnterpriseUnits[cv_2027])</f>
        <v>0</v>
      </c>
      <c r="L85" s="8">
        <f xml:space="preserve"> SUMIF(tblGoogleUnits[Products],$A85, tblGoogleUnits[cv_2028]) + SUMIF(tblMetaUnits[Products],$A85, tblMetaUnits[cv_2028]) + SUMIF(tblAmazonUnits[Products],$A85, tblAmazonUnits[cv_2028]) + SUMIF(tblMicrosoftUnits[Products],$A85, tblMicrosoftUnits[cv_2028]) + SUMIF(tblAppleUnits[Products],$A85, tblAppleUnits[cv_2028]) + SUMIF(tblAlibabaUnits[Products],$A85, tblAlibabaUnits[cv_2028]) + SUMIF(tblHuaweiUnits[Products],$A85, tblHuaweiUnits[cv_2028]) + SUMIF(tblTencentUnits[Products],$A85, tblTencentUnits[cv_2028]) + SUMIF(tblBaiduUnits[Products],$A85, tblBaiduUnits[cv_2028]) + SUMIF(tblByteDanceUnits[Products],$A85, tblByteDanceUnits[cv_2028]) + SUMIF(tblCloudAOUnits[Products],$A85, tblCloudAOUnits[cv_2028]) + SUMIF(tblTelecomUnits[Products],$A85, tblTelecomUnits[cv_2028]) + SUMIF(tblEnterpriseUnits[Products],$A85, tblEnterpriseUnits[cv_2028])</f>
        <v>0</v>
      </c>
      <c r="M85" s="105" cm="1">
        <f t="array" ref="M85">INDEX(tblPrices[cv_2018], MATCH($A85,tblPrices[Products],0), 0)</f>
        <v>1850</v>
      </c>
      <c r="N85" s="105" cm="1">
        <f t="array" ref="N85">INDEX(tblPrices[cv_2019], MATCH($A85,tblPrices[Products],0), 0)</f>
        <v>1000</v>
      </c>
      <c r="O85" s="105" cm="1">
        <f t="array" ref="O85">INDEX(tblPrices[cv_2020], MATCH($A85,tblPrices[Products],0), 0)</f>
        <v>0</v>
      </c>
      <c r="P85" s="105" cm="1">
        <f t="array" ref="P85">INDEX(tblPrices[cv_2021], MATCH($A85,tblPrices[Products],0), 0)</f>
        <v>0</v>
      </c>
      <c r="Q85" s="105" cm="1">
        <f t="array" ref="Q85">INDEX(tblPrices[cv_2022], MATCH($A85,tblPrices[Products],0), 0)</f>
        <v>0</v>
      </c>
      <c r="R85" s="105" cm="1">
        <f t="array" ref="R85">INDEX(tblPrices[cv_2023], MATCH($A85,tblPrices[Products],0), 0)</f>
        <v>0</v>
      </c>
      <c r="S85" s="105" cm="1">
        <f t="array" ref="S85">INDEX(tblPrices[cv_2024], MATCH($A85,tblPrices[Products],0), 0)</f>
        <v>0</v>
      </c>
      <c r="T85" s="105" cm="1">
        <f t="array" ref="T85">INDEX(tblPrices[cv_2025], MATCH($A85,tblPrices[Products],0), 0)</f>
        <v>0</v>
      </c>
      <c r="U85" s="105" cm="1">
        <f t="array" ref="U85">INDEX(tblPrices[cv_2026], MATCH($A85,tblPrices[Products],0), 0)</f>
        <v>0</v>
      </c>
      <c r="V85" s="105" cm="1">
        <f t="array" ref="V85">INDEX(tblPrices[cv_2027], MATCH($A85,tblPrices[Products],0), 0)</f>
        <v>0</v>
      </c>
      <c r="W85" s="105" cm="1">
        <f t="array" ref="W85">INDEX(tblPrices[cv_2028], MATCH($A85,tblPrices[Products],0), 0)</f>
        <v>0</v>
      </c>
      <c r="X85" s="106" cm="1">
        <f t="array" ref="X85">INDEX(tblPrices[cv_2018], MATCH($A85,tblPrices[Products],0), 0)* tblForecast[[#This Row],[un_2018]]/10^6</f>
        <v>22.2</v>
      </c>
      <c r="Y85" s="106" cm="1">
        <f t="array" ref="Y85">INDEX(tblPrices[cv_2019], MATCH($A85,tblPrices[Products],0), 0)* tblForecast[[#This Row],[un_2019]]/10^6</f>
        <v>53</v>
      </c>
      <c r="Z85" s="106" cm="1">
        <f t="array" ref="Z85">INDEX(tblPrices[cv_2020], MATCH($A85,tblPrices[Products],0), 0)* tblForecast[[#This Row],[un_2020]]/10^6</f>
        <v>0</v>
      </c>
      <c r="AA85" s="106" cm="1">
        <f t="array" ref="AA85">INDEX(tblPrices[cv_2021], MATCH($A85,tblPrices[Products],0), 0)* tblForecast[[#This Row],[un_2021]]/10^6</f>
        <v>0</v>
      </c>
      <c r="AB85" s="106" cm="1">
        <f t="array" ref="AB85">INDEX(tblPrices[cv_2022], MATCH($A85,tblPrices[Products],0), 0)* tblForecast[[#This Row],[un_2022]]/10^6</f>
        <v>0</v>
      </c>
      <c r="AC85" s="106" cm="1">
        <f t="array" ref="AC85">INDEX(tblPrices[cv_2023], MATCH($A85,tblPrices[Products],0), 0)* tblForecast[[#This Row],[un_2023]]/10^6</f>
        <v>0</v>
      </c>
      <c r="AD85" s="106" cm="1">
        <f t="array" ref="AD85">INDEX(tblPrices[cv_2024], MATCH($A85,tblPrices[Products],0), 0)* tblForecast[[#This Row],[un_2024]]/10^6</f>
        <v>0</v>
      </c>
      <c r="AE85" s="106" cm="1">
        <f t="array" ref="AE85">INDEX(tblPrices[cv_2025], MATCH($A85,tblPrices[Products],0), 0)* tblForecast[[#This Row],[un_2025]]/10^6</f>
        <v>0</v>
      </c>
      <c r="AF85" s="106" cm="1">
        <f t="array" ref="AF85">INDEX(tblPrices[cv_2026], MATCH($A85,tblPrices[Products],0), 0)* tblForecast[[#This Row],[un_2026]]/10^6</f>
        <v>0</v>
      </c>
      <c r="AG85" s="106" cm="1">
        <f t="array" ref="AG85">INDEX(tblPrices[cv_2027], MATCH($A85,tblPrices[Products],0), 0)* tblForecast[[#This Row],[un_2027]]/10^6</f>
        <v>0</v>
      </c>
      <c r="AH85" s="106" cm="1">
        <f t="array" ref="AH85">INDEX(tblPrices[cv_2028], MATCH($A85,tblPrices[Products],0), 0)* tblForecast[[#This Row],[un_2028]]/10^6</f>
        <v>0</v>
      </c>
      <c r="AI85" s="60">
        <f>VLOOKUP(A85,Products!$A$11:$F$110,6,FALSE)</f>
        <v>400</v>
      </c>
    </row>
    <row r="86" spans="1:35">
      <c r="A86" s="12" t="s">
        <v>42</v>
      </c>
      <c r="B86" s="8">
        <f xml:space="preserve"> SUMIF(tblGoogleUnits[Products],$A86, tblGoogleUnits[cv_2018]) + SUMIF(tblMetaUnits[Products],$A86, tblMetaUnits[cv_2018]) + SUMIF(tblAmazonUnits[Products],$A86, tblAmazonUnits[cv_2018]) + SUMIF(tblMicrosoftUnits[Products],$A86, tblMicrosoftUnits[cv_2018]) + SUMIF(tblAppleUnits[Products],$A86, tblAppleUnits[cv_2018]) + SUMIF(tblAlibabaUnits[Products],$A86, tblAlibabaUnits[cv_2018]) + SUMIF(tblHuaweiUnits[Products],$A86, tblHuaweiUnits[cv_2018]) + SUMIF(tblTencentUnits[Products],$A86, tblTencentUnits[cv_2018]) + SUMIF(tblBaiduUnits[Products],$A86, tblBaiduUnits[cv_2018]) + SUMIF(tblByteDanceUnits[Products],$A86, tblByteDanceUnits[cv_2018]) + SUMIF(tblCloudAOUnits[Products],$A86, tblCloudAOUnits[cv_2018]) + SUMIF(tblTelecomUnits[Products],$A86, tblTelecomUnits[cv_2018]) + SUMIF(tblEnterpriseUnits[Products],$A86, tblEnterpriseUnits[cv_2018])</f>
        <v>1000</v>
      </c>
      <c r="C86" s="8">
        <f xml:space="preserve"> SUMIF(tblGoogleUnits[Products],$A86, tblGoogleUnits[cv_2019]) + SUMIF(tblMetaUnits[Products],$A86, tblMetaUnits[cv_2019]) + SUMIF(tblAmazonUnits[Products],$A86, tblAmazonUnits[cv_2019]) + SUMIF(tblMicrosoftUnits[Products],$A86, tblMicrosoftUnits[cv_2019]) + SUMIF(tblAppleUnits[Products],$A86, tblAppleUnits[cv_2019]) + SUMIF(tblAlibabaUnits[Products],$A86, tblAlibabaUnits[cv_2019]) + SUMIF(tblHuaweiUnits[Products],$A86, tblHuaweiUnits[cv_2019]) + SUMIF(tblTencentUnits[Products],$A86, tblTencentUnits[cv_2019]) + SUMIF(tblBaiduUnits[Products],$A86, tblBaiduUnits[cv_2019]) + SUMIF(tblByteDanceUnits[Products],$A86, tblByteDanceUnits[cv_2019]) + SUMIF(tblCloudAOUnits[Products],$A86, tblCloudAOUnits[cv_2019]) + SUMIF(tblTelecomUnits[Products],$A86, tblTelecomUnits[cv_2019]) + SUMIF(tblEnterpriseUnits[Products],$A86, tblEnterpriseUnits[cv_2019])</f>
        <v>2555</v>
      </c>
      <c r="D86" s="8">
        <f xml:space="preserve"> SUMIF(tblGoogleUnits[Products],$A86, tblGoogleUnits[cv_2020]) + SUMIF(tblMetaUnits[Products],$A86, tblMetaUnits[cv_2020]) + SUMIF(tblAmazonUnits[Products],$A86, tblAmazonUnits[cv_2020]) + SUMIF(tblMicrosoftUnits[Products],$A86, tblMicrosoftUnits[cv_2020]) + SUMIF(tblAppleUnits[Products],$A86, tblAppleUnits[cv_2020]) + SUMIF(tblAlibabaUnits[Products],$A86, tblAlibabaUnits[cv_2020]) + SUMIF(tblHuaweiUnits[Products],$A86, tblHuaweiUnits[cv_2020]) + SUMIF(tblTencentUnits[Products],$A86, tblTencentUnits[cv_2020]) + SUMIF(tblBaiduUnits[Products],$A86, tblBaiduUnits[cv_2020]) + SUMIF(tblByteDanceUnits[Products],$A86, tblByteDanceUnits[cv_2020]) + SUMIF(tblCloudAOUnits[Products],$A86, tblCloudAOUnits[cv_2020]) + SUMIF(tblTelecomUnits[Products],$A86, tblTelecomUnits[cv_2020]) + SUMIF(tblEnterpriseUnits[Products],$A86, tblEnterpriseUnits[cv_2020])</f>
        <v>0</v>
      </c>
      <c r="E86" s="8">
        <f xml:space="preserve"> SUMIF(tblGoogleUnits[Products],$A86, tblGoogleUnits[cv_2021]) + SUMIF(tblMetaUnits[Products],$A86, tblMetaUnits[cv_2021]) + SUMIF(tblAmazonUnits[Products],$A86, tblAmazonUnits[cv_2021]) + SUMIF(tblMicrosoftUnits[Products],$A86, tblMicrosoftUnits[cv_2021]) + SUMIF(tblAppleUnits[Products],$A86, tblAppleUnits[cv_2021]) + SUMIF(tblAlibabaUnits[Products],$A86, tblAlibabaUnits[cv_2021]) + SUMIF(tblHuaweiUnits[Products],$A86, tblHuaweiUnits[cv_2021]) + SUMIF(tblTencentUnits[Products],$A86, tblTencentUnits[cv_2021]) + SUMIF(tblBaiduUnits[Products],$A86, tblBaiduUnits[cv_2021]) + SUMIF(tblByteDanceUnits[Products],$A86, tblByteDanceUnits[cv_2021]) + SUMIF(tblCloudAOUnits[Products],$A86, tblCloudAOUnits[cv_2021]) + SUMIF(tblTelecomUnits[Products],$A86, tblTelecomUnits[cv_2021]) + SUMIF(tblEnterpriseUnits[Products],$A86, tblEnterpriseUnits[cv_2021])</f>
        <v>0</v>
      </c>
      <c r="F86" s="8">
        <f xml:space="preserve"> SUMIF(tblGoogleUnits[Products],$A86, tblGoogleUnits[cv_2022]) + SUMIF(tblMetaUnits[Products],$A86, tblMetaUnits[cv_2022]) + SUMIF(tblAmazonUnits[Products],$A86, tblAmazonUnits[cv_2022]) + SUMIF(tblMicrosoftUnits[Products],$A86, tblMicrosoftUnits[cv_2022]) + SUMIF(tblAppleUnits[Products],$A86, tblAppleUnits[cv_2022]) + SUMIF(tblAlibabaUnits[Products],$A86, tblAlibabaUnits[cv_2022]) + SUMIF(tblHuaweiUnits[Products],$A86, tblHuaweiUnits[cv_2022]) + SUMIF(tblTencentUnits[Products],$A86, tblTencentUnits[cv_2022]) + SUMIF(tblBaiduUnits[Products],$A86, tblBaiduUnits[cv_2022]) + SUMIF(tblByteDanceUnits[Products],$A86, tblByteDanceUnits[cv_2022]) + SUMIF(tblCloudAOUnits[Products],$A86, tblCloudAOUnits[cv_2022]) + SUMIF(tblTelecomUnits[Products],$A86, tblTelecomUnits[cv_2022]) + SUMIF(tblEnterpriseUnits[Products],$A86, tblEnterpriseUnits[cv_2022])</f>
        <v>0</v>
      </c>
      <c r="G86" s="8">
        <f xml:space="preserve"> SUMIF(tblGoogleUnits[Products],$A86, tblGoogleUnits[cv_2023]) + SUMIF(tblMetaUnits[Products],$A86, tblMetaUnits[cv_2023]) + SUMIF(tblAmazonUnits[Products],$A86, tblAmazonUnits[cv_2023]) + SUMIF(tblMicrosoftUnits[Products],$A86, tblMicrosoftUnits[cv_2023]) + SUMIF(tblAppleUnits[Products],$A86, tblAppleUnits[cv_2023]) + SUMIF(tblAlibabaUnits[Products],$A86, tblAlibabaUnits[cv_2023]) + SUMIF(tblHuaweiUnits[Products],$A86, tblHuaweiUnits[cv_2023]) + SUMIF(tblTencentUnits[Products],$A86, tblTencentUnits[cv_2023]) + SUMIF(tblBaiduUnits[Products],$A86, tblBaiduUnits[cv_2023]) + SUMIF(tblByteDanceUnits[Products],$A86, tblByteDanceUnits[cv_2023]) + SUMIF(tblCloudAOUnits[Products],$A86, tblCloudAOUnits[cv_2023]) + SUMIF(tblTelecomUnits[Products],$A86, tblTelecomUnits[cv_2023]) + SUMIF(tblEnterpriseUnits[Products],$A86, tblEnterpriseUnits[cv_2023])</f>
        <v>0</v>
      </c>
      <c r="H86" s="8">
        <f xml:space="preserve"> SUMIF(tblGoogleUnits[Products],$A86, tblGoogleUnits[cv_2024]) + SUMIF(tblMetaUnits[Products],$A86, tblMetaUnits[cv_2024]) + SUMIF(tblAmazonUnits[Products],$A86, tblAmazonUnits[cv_2024]) + SUMIF(tblMicrosoftUnits[Products],$A86, tblMicrosoftUnits[cv_2024]) + SUMIF(tblAppleUnits[Products],$A86, tblAppleUnits[cv_2024]) + SUMIF(tblAlibabaUnits[Products],$A86, tblAlibabaUnits[cv_2024]) + SUMIF(tblHuaweiUnits[Products],$A86, tblHuaweiUnits[cv_2024]) + SUMIF(tblTencentUnits[Products],$A86, tblTencentUnits[cv_2024]) + SUMIF(tblBaiduUnits[Products],$A86, tblBaiduUnits[cv_2024]) + SUMIF(tblByteDanceUnits[Products],$A86, tblByteDanceUnits[cv_2024]) + SUMIF(tblCloudAOUnits[Products],$A86, tblCloudAOUnits[cv_2024]) + SUMIF(tblTelecomUnits[Products],$A86, tblTelecomUnits[cv_2024]) + SUMIF(tblEnterpriseUnits[Products],$A86, tblEnterpriseUnits[cv_2024])</f>
        <v>0</v>
      </c>
      <c r="I86" s="8">
        <f xml:space="preserve"> SUMIF(tblGoogleUnits[Products],$A86, tblGoogleUnits[cv_2025]) + SUMIF(tblMetaUnits[Products],$A86, tblMetaUnits[cv_2025]) + SUMIF(tblAmazonUnits[Products],$A86, tblAmazonUnits[cv_2025]) + SUMIF(tblMicrosoftUnits[Products],$A86, tblMicrosoftUnits[cv_2025]) + SUMIF(tblAppleUnits[Products],$A86, tblAppleUnits[cv_2025]) + SUMIF(tblAlibabaUnits[Products],$A86, tblAlibabaUnits[cv_2025]) + SUMIF(tblHuaweiUnits[Products],$A86, tblHuaweiUnits[cv_2025]) + SUMIF(tblTencentUnits[Products],$A86, tblTencentUnits[cv_2025]) + SUMIF(tblBaiduUnits[Products],$A86, tblBaiduUnits[cv_2025]) + SUMIF(tblByteDanceUnits[Products],$A86, tblByteDanceUnits[cv_2025]) + SUMIF(tblCloudAOUnits[Products],$A86, tblCloudAOUnits[cv_2025]) + SUMIF(tblTelecomUnits[Products],$A86, tblTelecomUnits[cv_2025]) + SUMIF(tblEnterpriseUnits[Products],$A86, tblEnterpriseUnits[cv_2025])</f>
        <v>0</v>
      </c>
      <c r="J86" s="8">
        <f xml:space="preserve"> SUMIF(tblGoogleUnits[Products],$A86, tblGoogleUnits[cv_2026]) + SUMIF(tblMetaUnits[Products],$A86, tblMetaUnits[cv_2026]) + SUMIF(tblAmazonUnits[Products],$A86, tblAmazonUnits[cv_2026]) + SUMIF(tblMicrosoftUnits[Products],$A86, tblMicrosoftUnits[cv_2026]) + SUMIF(tblAppleUnits[Products],$A86, tblAppleUnits[cv_2026]) + SUMIF(tblAlibabaUnits[Products],$A86, tblAlibabaUnits[cv_2026]) + SUMIF(tblHuaweiUnits[Products],$A86, tblHuaweiUnits[cv_2026]) + SUMIF(tblTencentUnits[Products],$A86, tblTencentUnits[cv_2026]) + SUMIF(tblBaiduUnits[Products],$A86, tblBaiduUnits[cv_2026]) + SUMIF(tblByteDanceUnits[Products],$A86, tblByteDanceUnits[cv_2026]) + SUMIF(tblCloudAOUnits[Products],$A86, tblCloudAOUnits[cv_2026]) + SUMIF(tblTelecomUnits[Products],$A86, tblTelecomUnits[cv_2026]) + SUMIF(tblEnterpriseUnits[Products],$A86, tblEnterpriseUnits[cv_2026])</f>
        <v>0</v>
      </c>
      <c r="K86" s="8">
        <f xml:space="preserve"> SUMIF(tblGoogleUnits[Products],$A86, tblGoogleUnits[cv_2027]) + SUMIF(tblMetaUnits[Products],$A86, tblMetaUnits[cv_2027]) + SUMIF(tblAmazonUnits[Products],$A86, tblAmazonUnits[cv_2027]) + SUMIF(tblMicrosoftUnits[Products],$A86, tblMicrosoftUnits[cv_2027]) + SUMIF(tblAppleUnits[Products],$A86, tblAppleUnits[cv_2027]) + SUMIF(tblAlibabaUnits[Products],$A86, tblAlibabaUnits[cv_2027]) + SUMIF(tblHuaweiUnits[Products],$A86, tblHuaweiUnits[cv_2027]) + SUMIF(tblTencentUnits[Products],$A86, tblTencentUnits[cv_2027]) + SUMIF(tblBaiduUnits[Products],$A86, tblBaiduUnits[cv_2027]) + SUMIF(tblByteDanceUnits[Products],$A86, tblByteDanceUnits[cv_2027]) + SUMIF(tblCloudAOUnits[Products],$A86, tblCloudAOUnits[cv_2027]) + SUMIF(tblTelecomUnits[Products],$A86, tblTelecomUnits[cv_2027]) + SUMIF(tblEnterpriseUnits[Products],$A86, tblEnterpriseUnits[cv_2027])</f>
        <v>0</v>
      </c>
      <c r="L86" s="8">
        <f xml:space="preserve"> SUMIF(tblGoogleUnits[Products],$A86, tblGoogleUnits[cv_2028]) + SUMIF(tblMetaUnits[Products],$A86, tblMetaUnits[cv_2028]) + SUMIF(tblAmazonUnits[Products],$A86, tblAmazonUnits[cv_2028]) + SUMIF(tblMicrosoftUnits[Products],$A86, tblMicrosoftUnits[cv_2028]) + SUMIF(tblAppleUnits[Products],$A86, tblAppleUnits[cv_2028]) + SUMIF(tblAlibabaUnits[Products],$A86, tblAlibabaUnits[cv_2028]) + SUMIF(tblHuaweiUnits[Products],$A86, tblHuaweiUnits[cv_2028]) + SUMIF(tblTencentUnits[Products],$A86, tblTencentUnits[cv_2028]) + SUMIF(tblBaiduUnits[Products],$A86, tblBaiduUnits[cv_2028]) + SUMIF(tblByteDanceUnits[Products],$A86, tblByteDanceUnits[cv_2028]) + SUMIF(tblCloudAOUnits[Products],$A86, tblCloudAOUnits[cv_2028]) + SUMIF(tblTelecomUnits[Products],$A86, tblTelecomUnits[cv_2028]) + SUMIF(tblEnterpriseUnits[Products],$A86, tblEnterpriseUnits[cv_2028])</f>
        <v>0</v>
      </c>
      <c r="M86" s="105" cm="1">
        <f t="array" ref="M86">INDEX(tblPrices[cv_2018], MATCH($A86,tblPrices[Products],0), 0)</f>
        <v>2000</v>
      </c>
      <c r="N86" s="105" cm="1">
        <f t="array" ref="N86">INDEX(tblPrices[cv_2019], MATCH($A86,tblPrices[Products],0), 0)</f>
        <v>1515.7223793275484</v>
      </c>
      <c r="O86" s="105" cm="1">
        <f t="array" ref="O86">INDEX(tblPrices[cv_2020], MATCH($A86,tblPrices[Products],0), 0)</f>
        <v>0</v>
      </c>
      <c r="P86" s="105" cm="1">
        <f t="array" ref="P86">INDEX(tblPrices[cv_2021], MATCH($A86,tblPrices[Products],0), 0)</f>
        <v>0</v>
      </c>
      <c r="Q86" s="105" cm="1">
        <f t="array" ref="Q86">INDEX(tblPrices[cv_2022], MATCH($A86,tblPrices[Products],0), 0)</f>
        <v>0</v>
      </c>
      <c r="R86" s="105" cm="1">
        <f t="array" ref="R86">INDEX(tblPrices[cv_2023], MATCH($A86,tblPrices[Products],0), 0)</f>
        <v>0</v>
      </c>
      <c r="S86" s="105" cm="1">
        <f t="array" ref="S86">INDEX(tblPrices[cv_2024], MATCH($A86,tblPrices[Products],0), 0)</f>
        <v>0</v>
      </c>
      <c r="T86" s="105" cm="1">
        <f t="array" ref="T86">INDEX(tblPrices[cv_2025], MATCH($A86,tblPrices[Products],0), 0)</f>
        <v>0</v>
      </c>
      <c r="U86" s="105" cm="1">
        <f t="array" ref="U86">INDEX(tblPrices[cv_2026], MATCH($A86,tblPrices[Products],0), 0)</f>
        <v>0</v>
      </c>
      <c r="V86" s="105" cm="1">
        <f t="array" ref="V86">INDEX(tblPrices[cv_2027], MATCH($A86,tblPrices[Products],0), 0)</f>
        <v>0</v>
      </c>
      <c r="W86" s="105" cm="1">
        <f t="array" ref="W86">INDEX(tblPrices[cv_2028], MATCH($A86,tblPrices[Products],0), 0)</f>
        <v>0</v>
      </c>
      <c r="X86" s="106" cm="1">
        <f t="array" ref="X86">INDEX(tblPrices[cv_2018], MATCH($A86,tblPrices[Products],0), 0)* tblForecast[[#This Row],[un_2018]]/10^6</f>
        <v>2</v>
      </c>
      <c r="Y86" s="106" cm="1">
        <f t="array" ref="Y86">INDEX(tblPrices[cv_2019], MATCH($A86,tblPrices[Products],0), 0)* tblForecast[[#This Row],[un_2019]]/10^6</f>
        <v>3.8726706791818866</v>
      </c>
      <c r="Z86" s="106" cm="1">
        <f t="array" ref="Z86">INDEX(tblPrices[cv_2020], MATCH($A86,tblPrices[Products],0), 0)* tblForecast[[#This Row],[un_2020]]/10^6</f>
        <v>0</v>
      </c>
      <c r="AA86" s="106" cm="1">
        <f t="array" ref="AA86">INDEX(tblPrices[cv_2021], MATCH($A86,tblPrices[Products],0), 0)* tblForecast[[#This Row],[un_2021]]/10^6</f>
        <v>0</v>
      </c>
      <c r="AB86" s="106" cm="1">
        <f t="array" ref="AB86">INDEX(tblPrices[cv_2022], MATCH($A86,tblPrices[Products],0), 0)* tblForecast[[#This Row],[un_2022]]/10^6</f>
        <v>0</v>
      </c>
      <c r="AC86" s="106" cm="1">
        <f t="array" ref="AC86">INDEX(tblPrices[cv_2023], MATCH($A86,tblPrices[Products],0), 0)* tblForecast[[#This Row],[un_2023]]/10^6</f>
        <v>0</v>
      </c>
      <c r="AD86" s="106" cm="1">
        <f t="array" ref="AD86">INDEX(tblPrices[cv_2024], MATCH($A86,tblPrices[Products],0), 0)* tblForecast[[#This Row],[un_2024]]/10^6</f>
        <v>0</v>
      </c>
      <c r="AE86" s="106" cm="1">
        <f t="array" ref="AE86">INDEX(tblPrices[cv_2025], MATCH($A86,tblPrices[Products],0), 0)* tblForecast[[#This Row],[un_2025]]/10^6</f>
        <v>0</v>
      </c>
      <c r="AF86" s="106" cm="1">
        <f t="array" ref="AF86">INDEX(tblPrices[cv_2026], MATCH($A86,tblPrices[Products],0), 0)* tblForecast[[#This Row],[un_2026]]/10^6</f>
        <v>0</v>
      </c>
      <c r="AG86" s="106" cm="1">
        <f t="array" ref="AG86">INDEX(tblPrices[cv_2027], MATCH($A86,tblPrices[Products],0), 0)* tblForecast[[#This Row],[un_2027]]/10^6</f>
        <v>0</v>
      </c>
      <c r="AH86" s="106" cm="1">
        <f t="array" ref="AH86">INDEX(tblPrices[cv_2028], MATCH($A86,tblPrices[Products],0), 0)* tblForecast[[#This Row],[un_2028]]/10^6</f>
        <v>0</v>
      </c>
      <c r="AI86" s="60">
        <f>VLOOKUP(A86,Products!$A$11:$F$110,6,FALSE)</f>
        <v>400</v>
      </c>
    </row>
    <row r="87" spans="1:35">
      <c r="A87" s="12" t="s">
        <v>12</v>
      </c>
      <c r="B87" s="8">
        <f xml:space="preserve"> SUMIF(tblGoogleUnits[Products],$A87, tblGoogleUnits[cv_2018]) + SUMIF(tblMetaUnits[Products],$A87, tblMetaUnits[cv_2018]) + SUMIF(tblAmazonUnits[Products],$A87, tblAmazonUnits[cv_2018]) + SUMIF(tblMicrosoftUnits[Products],$A87, tblMicrosoftUnits[cv_2018]) + SUMIF(tblAppleUnits[Products],$A87, tblAppleUnits[cv_2018]) + SUMIF(tblAlibabaUnits[Products],$A87, tblAlibabaUnits[cv_2018]) + SUMIF(tblHuaweiUnits[Products],$A87, tblHuaweiUnits[cv_2018]) + SUMIF(tblTencentUnits[Products],$A87, tblTencentUnits[cv_2018]) + SUMIF(tblBaiduUnits[Products],$A87, tblBaiduUnits[cv_2018]) + SUMIF(tblByteDanceUnits[Products],$A87, tblByteDanceUnits[cv_2018]) + SUMIF(tblCloudAOUnits[Products],$A87, tblCloudAOUnits[cv_2018]) + SUMIF(tblTelecomUnits[Products],$A87, tblTelecomUnits[cv_2018]) + SUMIF(tblEnterpriseUnits[Products],$A87, tblEnterpriseUnits[cv_2018])</f>
        <v>1000</v>
      </c>
      <c r="C87" s="8">
        <f xml:space="preserve"> SUMIF(tblGoogleUnits[Products],$A87, tblGoogleUnits[cv_2019]) + SUMIF(tblMetaUnits[Products],$A87, tblMetaUnits[cv_2019]) + SUMIF(tblAmazonUnits[Products],$A87, tblAmazonUnits[cv_2019]) + SUMIF(tblMicrosoftUnits[Products],$A87, tblMicrosoftUnits[cv_2019]) + SUMIF(tblAppleUnits[Products],$A87, tblAppleUnits[cv_2019]) + SUMIF(tblAlibabaUnits[Products],$A87, tblAlibabaUnits[cv_2019]) + SUMIF(tblHuaweiUnits[Products],$A87, tblHuaweiUnits[cv_2019]) + SUMIF(tblTencentUnits[Products],$A87, tblTencentUnits[cv_2019]) + SUMIF(tblBaiduUnits[Products],$A87, tblBaiduUnits[cv_2019]) + SUMIF(tblByteDanceUnits[Products],$A87, tblByteDanceUnits[cv_2019]) + SUMIF(tblCloudAOUnits[Products],$A87, tblCloudAOUnits[cv_2019]) + SUMIF(tblTelecomUnits[Products],$A87, tblTelecomUnits[cv_2019]) + SUMIF(tblEnterpriseUnits[Products],$A87, tblEnterpriseUnits[cv_2019])</f>
        <v>1817.6263736263736</v>
      </c>
      <c r="D87" s="8">
        <f xml:space="preserve"> SUMIF(tblGoogleUnits[Products],$A87, tblGoogleUnits[cv_2020]) + SUMIF(tblMetaUnits[Products],$A87, tblMetaUnits[cv_2020]) + SUMIF(tblAmazonUnits[Products],$A87, tblAmazonUnits[cv_2020]) + SUMIF(tblMicrosoftUnits[Products],$A87, tblMicrosoftUnits[cv_2020]) + SUMIF(tblAppleUnits[Products],$A87, tblAppleUnits[cv_2020]) + SUMIF(tblAlibabaUnits[Products],$A87, tblAlibabaUnits[cv_2020]) + SUMIF(tblHuaweiUnits[Products],$A87, tblHuaweiUnits[cv_2020]) + SUMIF(tblTencentUnits[Products],$A87, tblTencentUnits[cv_2020]) + SUMIF(tblBaiduUnits[Products],$A87, tblBaiduUnits[cv_2020]) + SUMIF(tblByteDanceUnits[Products],$A87, tblByteDanceUnits[cv_2020]) + SUMIF(tblCloudAOUnits[Products],$A87, tblCloudAOUnits[cv_2020]) + SUMIF(tblTelecomUnits[Products],$A87, tblTelecomUnits[cv_2020]) + SUMIF(tblEnterpriseUnits[Products],$A87, tblEnterpriseUnits[cv_2020])</f>
        <v>0</v>
      </c>
      <c r="E87" s="8">
        <f xml:space="preserve"> SUMIF(tblGoogleUnits[Products],$A87, tblGoogleUnits[cv_2021]) + SUMIF(tblMetaUnits[Products],$A87, tblMetaUnits[cv_2021]) + SUMIF(tblAmazonUnits[Products],$A87, tblAmazonUnits[cv_2021]) + SUMIF(tblMicrosoftUnits[Products],$A87, tblMicrosoftUnits[cv_2021]) + SUMIF(tblAppleUnits[Products],$A87, tblAppleUnits[cv_2021]) + SUMIF(tblAlibabaUnits[Products],$A87, tblAlibabaUnits[cv_2021]) + SUMIF(tblHuaweiUnits[Products],$A87, tblHuaweiUnits[cv_2021]) + SUMIF(tblTencentUnits[Products],$A87, tblTencentUnits[cv_2021]) + SUMIF(tblBaiduUnits[Products],$A87, tblBaiduUnits[cv_2021]) + SUMIF(tblByteDanceUnits[Products],$A87, tblByteDanceUnits[cv_2021]) + SUMIF(tblCloudAOUnits[Products],$A87, tblCloudAOUnits[cv_2021]) + SUMIF(tblTelecomUnits[Products],$A87, tblTelecomUnits[cv_2021]) + SUMIF(tblEnterpriseUnits[Products],$A87, tblEnterpriseUnits[cv_2021])</f>
        <v>0</v>
      </c>
      <c r="F87" s="8">
        <f xml:space="preserve"> SUMIF(tblGoogleUnits[Products],$A87, tblGoogleUnits[cv_2022]) + SUMIF(tblMetaUnits[Products],$A87, tblMetaUnits[cv_2022]) + SUMIF(tblAmazonUnits[Products],$A87, tblAmazonUnits[cv_2022]) + SUMIF(tblMicrosoftUnits[Products],$A87, tblMicrosoftUnits[cv_2022]) + SUMIF(tblAppleUnits[Products],$A87, tblAppleUnits[cv_2022]) + SUMIF(tblAlibabaUnits[Products],$A87, tblAlibabaUnits[cv_2022]) + SUMIF(tblHuaweiUnits[Products],$A87, tblHuaweiUnits[cv_2022]) + SUMIF(tblTencentUnits[Products],$A87, tblTencentUnits[cv_2022]) + SUMIF(tblBaiduUnits[Products],$A87, tblBaiduUnits[cv_2022]) + SUMIF(tblByteDanceUnits[Products],$A87, tblByteDanceUnits[cv_2022]) + SUMIF(tblCloudAOUnits[Products],$A87, tblCloudAOUnits[cv_2022]) + SUMIF(tblTelecomUnits[Products],$A87, tblTelecomUnits[cv_2022]) + SUMIF(tblEnterpriseUnits[Products],$A87, tblEnterpriseUnits[cv_2022])</f>
        <v>0</v>
      </c>
      <c r="G87" s="8">
        <f xml:space="preserve"> SUMIF(tblGoogleUnits[Products],$A87, tblGoogleUnits[cv_2023]) + SUMIF(tblMetaUnits[Products],$A87, tblMetaUnits[cv_2023]) + SUMIF(tblAmazonUnits[Products],$A87, tblAmazonUnits[cv_2023]) + SUMIF(tblMicrosoftUnits[Products],$A87, tblMicrosoftUnits[cv_2023]) + SUMIF(tblAppleUnits[Products],$A87, tblAppleUnits[cv_2023]) + SUMIF(tblAlibabaUnits[Products],$A87, tblAlibabaUnits[cv_2023]) + SUMIF(tblHuaweiUnits[Products],$A87, tblHuaweiUnits[cv_2023]) + SUMIF(tblTencentUnits[Products],$A87, tblTencentUnits[cv_2023]) + SUMIF(tblBaiduUnits[Products],$A87, tblBaiduUnits[cv_2023]) + SUMIF(tblByteDanceUnits[Products],$A87, tblByteDanceUnits[cv_2023]) + SUMIF(tblCloudAOUnits[Products],$A87, tblCloudAOUnits[cv_2023]) + SUMIF(tblTelecomUnits[Products],$A87, tblTelecomUnits[cv_2023]) + SUMIF(tblEnterpriseUnits[Products],$A87, tblEnterpriseUnits[cv_2023])</f>
        <v>0</v>
      </c>
      <c r="H87" s="8">
        <f xml:space="preserve"> SUMIF(tblGoogleUnits[Products],$A87, tblGoogleUnits[cv_2024]) + SUMIF(tblMetaUnits[Products],$A87, tblMetaUnits[cv_2024]) + SUMIF(tblAmazonUnits[Products],$A87, tblAmazonUnits[cv_2024]) + SUMIF(tblMicrosoftUnits[Products],$A87, tblMicrosoftUnits[cv_2024]) + SUMIF(tblAppleUnits[Products],$A87, tblAppleUnits[cv_2024]) + SUMIF(tblAlibabaUnits[Products],$A87, tblAlibabaUnits[cv_2024]) + SUMIF(tblHuaweiUnits[Products],$A87, tblHuaweiUnits[cv_2024]) + SUMIF(tblTencentUnits[Products],$A87, tblTencentUnits[cv_2024]) + SUMIF(tblBaiduUnits[Products],$A87, tblBaiduUnits[cv_2024]) + SUMIF(tblByteDanceUnits[Products],$A87, tblByteDanceUnits[cv_2024]) + SUMIF(tblCloudAOUnits[Products],$A87, tblCloudAOUnits[cv_2024]) + SUMIF(tblTelecomUnits[Products],$A87, tblTelecomUnits[cv_2024]) + SUMIF(tblEnterpriseUnits[Products],$A87, tblEnterpriseUnits[cv_2024])</f>
        <v>0</v>
      </c>
      <c r="I87" s="8">
        <f xml:space="preserve"> SUMIF(tblGoogleUnits[Products],$A87, tblGoogleUnits[cv_2025]) + SUMIF(tblMetaUnits[Products],$A87, tblMetaUnits[cv_2025]) + SUMIF(tblAmazonUnits[Products],$A87, tblAmazonUnits[cv_2025]) + SUMIF(tblMicrosoftUnits[Products],$A87, tblMicrosoftUnits[cv_2025]) + SUMIF(tblAppleUnits[Products],$A87, tblAppleUnits[cv_2025]) + SUMIF(tblAlibabaUnits[Products],$A87, tblAlibabaUnits[cv_2025]) + SUMIF(tblHuaweiUnits[Products],$A87, tblHuaweiUnits[cv_2025]) + SUMIF(tblTencentUnits[Products],$A87, tblTencentUnits[cv_2025]) + SUMIF(tblBaiduUnits[Products],$A87, tblBaiduUnits[cv_2025]) + SUMIF(tblByteDanceUnits[Products],$A87, tblByteDanceUnits[cv_2025]) + SUMIF(tblCloudAOUnits[Products],$A87, tblCloudAOUnits[cv_2025]) + SUMIF(tblTelecomUnits[Products],$A87, tblTelecomUnits[cv_2025]) + SUMIF(tblEnterpriseUnits[Products],$A87, tblEnterpriseUnits[cv_2025])</f>
        <v>0</v>
      </c>
      <c r="J87" s="8">
        <f xml:space="preserve"> SUMIF(tblGoogleUnits[Products],$A87, tblGoogleUnits[cv_2026]) + SUMIF(tblMetaUnits[Products],$A87, tblMetaUnits[cv_2026]) + SUMIF(tblAmazonUnits[Products],$A87, tblAmazonUnits[cv_2026]) + SUMIF(tblMicrosoftUnits[Products],$A87, tblMicrosoftUnits[cv_2026]) + SUMIF(tblAppleUnits[Products],$A87, tblAppleUnits[cv_2026]) + SUMIF(tblAlibabaUnits[Products],$A87, tblAlibabaUnits[cv_2026]) + SUMIF(tblHuaweiUnits[Products],$A87, tblHuaweiUnits[cv_2026]) + SUMIF(tblTencentUnits[Products],$A87, tblTencentUnits[cv_2026]) + SUMIF(tblBaiduUnits[Products],$A87, tblBaiduUnits[cv_2026]) + SUMIF(tblByteDanceUnits[Products],$A87, tblByteDanceUnits[cv_2026]) + SUMIF(tblCloudAOUnits[Products],$A87, tblCloudAOUnits[cv_2026]) + SUMIF(tblTelecomUnits[Products],$A87, tblTelecomUnits[cv_2026]) + SUMIF(tblEnterpriseUnits[Products],$A87, tblEnterpriseUnits[cv_2026])</f>
        <v>0</v>
      </c>
      <c r="K87" s="8">
        <f xml:space="preserve"> SUMIF(tblGoogleUnits[Products],$A87, tblGoogleUnits[cv_2027]) + SUMIF(tblMetaUnits[Products],$A87, tblMetaUnits[cv_2027]) + SUMIF(tblAmazonUnits[Products],$A87, tblAmazonUnits[cv_2027]) + SUMIF(tblMicrosoftUnits[Products],$A87, tblMicrosoftUnits[cv_2027]) + SUMIF(tblAppleUnits[Products],$A87, tblAppleUnits[cv_2027]) + SUMIF(tblAlibabaUnits[Products],$A87, tblAlibabaUnits[cv_2027]) + SUMIF(tblHuaweiUnits[Products],$A87, tblHuaweiUnits[cv_2027]) + SUMIF(tblTencentUnits[Products],$A87, tblTencentUnits[cv_2027]) + SUMIF(tblBaiduUnits[Products],$A87, tblBaiduUnits[cv_2027]) + SUMIF(tblByteDanceUnits[Products],$A87, tblByteDanceUnits[cv_2027]) + SUMIF(tblCloudAOUnits[Products],$A87, tblCloudAOUnits[cv_2027]) + SUMIF(tblTelecomUnits[Products],$A87, tblTelecomUnits[cv_2027]) + SUMIF(tblEnterpriseUnits[Products],$A87, tblEnterpriseUnits[cv_2027])</f>
        <v>0</v>
      </c>
      <c r="L87" s="8">
        <f xml:space="preserve"> SUMIF(tblGoogleUnits[Products],$A87, tblGoogleUnits[cv_2028]) + SUMIF(tblMetaUnits[Products],$A87, tblMetaUnits[cv_2028]) + SUMIF(tblAmazonUnits[Products],$A87, tblAmazonUnits[cv_2028]) + SUMIF(tblMicrosoftUnits[Products],$A87, tblMicrosoftUnits[cv_2028]) + SUMIF(tblAppleUnits[Products],$A87, tblAppleUnits[cv_2028]) + SUMIF(tblAlibabaUnits[Products],$A87, tblAlibabaUnits[cv_2028]) + SUMIF(tblHuaweiUnits[Products],$A87, tblHuaweiUnits[cv_2028]) + SUMIF(tblTencentUnits[Products],$A87, tblTencentUnits[cv_2028]) + SUMIF(tblBaiduUnits[Products],$A87, tblBaiduUnits[cv_2028]) + SUMIF(tblByteDanceUnits[Products],$A87, tblByteDanceUnits[cv_2028]) + SUMIF(tblCloudAOUnits[Products],$A87, tblCloudAOUnits[cv_2028]) + SUMIF(tblTelecomUnits[Products],$A87, tblTelecomUnits[cv_2028]) + SUMIF(tblEnterpriseUnits[Products],$A87, tblEnterpriseUnits[cv_2028])</f>
        <v>0</v>
      </c>
      <c r="M87" s="105" cm="1">
        <f t="array" ref="M87">INDEX(tblPrices[cv_2018], MATCH($A87,tblPrices[Products],0), 0)</f>
        <v>8000</v>
      </c>
      <c r="N87" s="105" cm="1">
        <f t="array" ref="N87">INDEX(tblPrices[cv_2019], MATCH($A87,tblPrices[Products],0), 0)</f>
        <v>6611.5927686633941</v>
      </c>
      <c r="O87" s="105" cm="1">
        <f t="array" ref="O87">INDEX(tblPrices[cv_2020], MATCH($A87,tblPrices[Products],0), 0)</f>
        <v>0</v>
      </c>
      <c r="P87" s="105" cm="1">
        <f t="array" ref="P87">INDEX(tblPrices[cv_2021], MATCH($A87,tblPrices[Products],0), 0)</f>
        <v>0</v>
      </c>
      <c r="Q87" s="105" cm="1">
        <f t="array" ref="Q87">INDEX(tblPrices[cv_2022], MATCH($A87,tblPrices[Products],0), 0)</f>
        <v>0</v>
      </c>
      <c r="R87" s="105" cm="1">
        <f t="array" ref="R87">INDEX(tblPrices[cv_2023], MATCH($A87,tblPrices[Products],0), 0)</f>
        <v>0</v>
      </c>
      <c r="S87" s="105" cm="1">
        <f t="array" ref="S87">INDEX(tblPrices[cv_2024], MATCH($A87,tblPrices[Products],0), 0)</f>
        <v>0</v>
      </c>
      <c r="T87" s="105" cm="1">
        <f t="array" ref="T87">INDEX(tblPrices[cv_2025], MATCH($A87,tblPrices[Products],0), 0)</f>
        <v>0</v>
      </c>
      <c r="U87" s="105" cm="1">
        <f t="array" ref="U87">INDEX(tblPrices[cv_2026], MATCH($A87,tblPrices[Products],0), 0)</f>
        <v>0</v>
      </c>
      <c r="V87" s="105" cm="1">
        <f t="array" ref="V87">INDEX(tblPrices[cv_2027], MATCH($A87,tblPrices[Products],0), 0)</f>
        <v>0</v>
      </c>
      <c r="W87" s="105" cm="1">
        <f t="array" ref="W87">INDEX(tblPrices[cv_2028], MATCH($A87,tblPrices[Products],0), 0)</f>
        <v>0</v>
      </c>
      <c r="X87" s="106" cm="1">
        <f t="array" ref="X87">INDEX(tblPrices[cv_2018], MATCH($A87,tblPrices[Products],0), 0)* tblForecast[[#This Row],[un_2018]]/10^6</f>
        <v>8</v>
      </c>
      <c r="Y87" s="106" cm="1">
        <f t="array" ref="Y87">INDEX(tblPrices[cv_2019], MATCH($A87,tblPrices[Products],0), 0)* tblForecast[[#This Row],[un_2019]]/10^6</f>
        <v>12.017405388</v>
      </c>
      <c r="Z87" s="106" cm="1">
        <f t="array" ref="Z87">INDEX(tblPrices[cv_2020], MATCH($A87,tblPrices[Products],0), 0)* tblForecast[[#This Row],[un_2020]]/10^6</f>
        <v>0</v>
      </c>
      <c r="AA87" s="106" cm="1">
        <f t="array" ref="AA87">INDEX(tblPrices[cv_2021], MATCH($A87,tblPrices[Products],0), 0)* tblForecast[[#This Row],[un_2021]]/10^6</f>
        <v>0</v>
      </c>
      <c r="AB87" s="106" cm="1">
        <f t="array" ref="AB87">INDEX(tblPrices[cv_2022], MATCH($A87,tblPrices[Products],0), 0)* tblForecast[[#This Row],[un_2022]]/10^6</f>
        <v>0</v>
      </c>
      <c r="AC87" s="106" cm="1">
        <f t="array" ref="AC87">INDEX(tblPrices[cv_2023], MATCH($A87,tblPrices[Products],0), 0)* tblForecast[[#This Row],[un_2023]]/10^6</f>
        <v>0</v>
      </c>
      <c r="AD87" s="106" cm="1">
        <f t="array" ref="AD87">INDEX(tblPrices[cv_2024], MATCH($A87,tblPrices[Products],0), 0)* tblForecast[[#This Row],[un_2024]]/10^6</f>
        <v>0</v>
      </c>
      <c r="AE87" s="106" cm="1">
        <f t="array" ref="AE87">INDEX(tblPrices[cv_2025], MATCH($A87,tblPrices[Products],0), 0)* tblForecast[[#This Row],[un_2025]]/10^6</f>
        <v>0</v>
      </c>
      <c r="AF87" s="106" cm="1">
        <f t="array" ref="AF87">INDEX(tblPrices[cv_2026], MATCH($A87,tblPrices[Products],0), 0)* tblForecast[[#This Row],[un_2026]]/10^6</f>
        <v>0</v>
      </c>
      <c r="AG87" s="106" cm="1">
        <f t="array" ref="AG87">INDEX(tblPrices[cv_2027], MATCH($A87,tblPrices[Products],0), 0)* tblForecast[[#This Row],[un_2027]]/10^6</f>
        <v>0</v>
      </c>
      <c r="AH87" s="106" cm="1">
        <f t="array" ref="AH87">INDEX(tblPrices[cv_2028], MATCH($A87,tblPrices[Products],0), 0)* tblForecast[[#This Row],[un_2028]]/10^6</f>
        <v>0</v>
      </c>
      <c r="AI87" s="60">
        <f>VLOOKUP(A87,Products!$A$11:$F$110,6,FALSE)</f>
        <v>400</v>
      </c>
    </row>
    <row r="88" spans="1:35">
      <c r="A88" s="12" t="s">
        <v>190</v>
      </c>
      <c r="B88" s="8">
        <f xml:space="preserve"> SUMIF(tblGoogleUnits[Products],$A88, tblGoogleUnits[cv_2018]) + SUMIF(tblMetaUnits[Products],$A88, tblMetaUnits[cv_2018]) + SUMIF(tblAmazonUnits[Products],$A88, tblAmazonUnits[cv_2018]) + SUMIF(tblMicrosoftUnits[Products],$A88, tblMicrosoftUnits[cv_2018]) + SUMIF(tblAppleUnits[Products],$A88, tblAppleUnits[cv_2018]) + SUMIF(tblAlibabaUnits[Products],$A88, tblAlibabaUnits[cv_2018]) + SUMIF(tblHuaweiUnits[Products],$A88, tblHuaweiUnits[cv_2018]) + SUMIF(tblTencentUnits[Products],$A88, tblTencentUnits[cv_2018]) + SUMIF(tblBaiduUnits[Products],$A88, tblBaiduUnits[cv_2018]) + SUMIF(tblByteDanceUnits[Products],$A88, tblByteDanceUnits[cv_2018]) + SUMIF(tblCloudAOUnits[Products],$A88, tblCloudAOUnits[cv_2018]) + SUMIF(tblTelecomUnits[Products],$A88, tblTelecomUnits[cv_2018]) + SUMIF(tblEnterpriseUnits[Products],$A88, tblEnterpriseUnits[cv_2018])</f>
        <v>0</v>
      </c>
      <c r="C88" s="8">
        <f xml:space="preserve"> SUMIF(tblGoogleUnits[Products],$A88, tblGoogleUnits[cv_2019]) + SUMIF(tblMetaUnits[Products],$A88, tblMetaUnits[cv_2019]) + SUMIF(tblAmazonUnits[Products],$A88, tblAmazonUnits[cv_2019]) + SUMIF(tblMicrosoftUnits[Products],$A88, tblMicrosoftUnits[cv_2019]) + SUMIF(tblAppleUnits[Products],$A88, tblAppleUnits[cv_2019]) + SUMIF(tblAlibabaUnits[Products],$A88, tblAlibabaUnits[cv_2019]) + SUMIF(tblHuaweiUnits[Products],$A88, tblHuaweiUnits[cv_2019]) + SUMIF(tblTencentUnits[Products],$A88, tblTencentUnits[cv_2019]) + SUMIF(tblBaiduUnits[Products],$A88, tblBaiduUnits[cv_2019]) + SUMIF(tblByteDanceUnits[Products],$A88, tblByteDanceUnits[cv_2019]) + SUMIF(tblCloudAOUnits[Products],$A88, tblCloudAOUnits[cv_2019]) + SUMIF(tblTelecomUnits[Products],$A88, tblTelecomUnits[cv_2019]) + SUMIF(tblEnterpriseUnits[Products],$A88, tblEnterpriseUnits[cv_2019])</f>
        <v>0</v>
      </c>
      <c r="D88" s="8">
        <f xml:space="preserve"> SUMIF(tblGoogleUnits[Products],$A88, tblGoogleUnits[cv_2020]) + SUMIF(tblMetaUnits[Products],$A88, tblMetaUnits[cv_2020]) + SUMIF(tblAmazonUnits[Products],$A88, tblAmazonUnits[cv_2020]) + SUMIF(tblMicrosoftUnits[Products],$A88, tblMicrosoftUnits[cv_2020]) + SUMIF(tblAppleUnits[Products],$A88, tblAppleUnits[cv_2020]) + SUMIF(tblAlibabaUnits[Products],$A88, tblAlibabaUnits[cv_2020]) + SUMIF(tblHuaweiUnits[Products],$A88, tblHuaweiUnits[cv_2020]) + SUMIF(tblTencentUnits[Products],$A88, tblTencentUnits[cv_2020]) + SUMIF(tblBaiduUnits[Products],$A88, tblBaiduUnits[cv_2020]) + SUMIF(tblByteDanceUnits[Products],$A88, tblByteDanceUnits[cv_2020]) + SUMIF(tblCloudAOUnits[Products],$A88, tblCloudAOUnits[cv_2020]) + SUMIF(tblTelecomUnits[Products],$A88, tblTelecomUnits[cv_2020]) + SUMIF(tblEnterpriseUnits[Products],$A88, tblEnterpriseUnits[cv_2020])</f>
        <v>0</v>
      </c>
      <c r="E88" s="8">
        <f xml:space="preserve"> SUMIF(tblGoogleUnits[Products],$A88, tblGoogleUnits[cv_2021]) + SUMIF(tblMetaUnits[Products],$A88, tblMetaUnits[cv_2021]) + SUMIF(tblAmazonUnits[Products],$A88, tblAmazonUnits[cv_2021]) + SUMIF(tblMicrosoftUnits[Products],$A88, tblMicrosoftUnits[cv_2021]) + SUMIF(tblAppleUnits[Products],$A88, tblAppleUnits[cv_2021]) + SUMIF(tblAlibabaUnits[Products],$A88, tblAlibabaUnits[cv_2021]) + SUMIF(tblHuaweiUnits[Products],$A88, tblHuaweiUnits[cv_2021]) + SUMIF(tblTencentUnits[Products],$A88, tblTencentUnits[cv_2021]) + SUMIF(tblBaiduUnits[Products],$A88, tblBaiduUnits[cv_2021]) + SUMIF(tblByteDanceUnits[Products],$A88, tblByteDanceUnits[cv_2021]) + SUMIF(tblCloudAOUnits[Products],$A88, tblCloudAOUnits[cv_2021]) + SUMIF(tblTelecomUnits[Products],$A88, tblTelecomUnits[cv_2021]) + SUMIF(tblEnterpriseUnits[Products],$A88, tblEnterpriseUnits[cv_2021])</f>
        <v>0</v>
      </c>
      <c r="F88" s="8">
        <f xml:space="preserve"> SUMIF(tblGoogleUnits[Products],$A88, tblGoogleUnits[cv_2022]) + SUMIF(tblMetaUnits[Products],$A88, tblMetaUnits[cv_2022]) + SUMIF(tblAmazonUnits[Products],$A88, tblAmazonUnits[cv_2022]) + SUMIF(tblMicrosoftUnits[Products],$A88, tblMicrosoftUnits[cv_2022]) + SUMIF(tblAppleUnits[Products],$A88, tblAppleUnits[cv_2022]) + SUMIF(tblAlibabaUnits[Products],$A88, tblAlibabaUnits[cv_2022]) + SUMIF(tblHuaweiUnits[Products],$A88, tblHuaweiUnits[cv_2022]) + SUMIF(tblTencentUnits[Products],$A88, tblTencentUnits[cv_2022]) + SUMIF(tblBaiduUnits[Products],$A88, tblBaiduUnits[cv_2022]) + SUMIF(tblByteDanceUnits[Products],$A88, tblByteDanceUnits[cv_2022]) + SUMIF(tblCloudAOUnits[Products],$A88, tblCloudAOUnits[cv_2022]) + SUMIF(tblTelecomUnits[Products],$A88, tblTelecomUnits[cv_2022]) + SUMIF(tblEnterpriseUnits[Products],$A88, tblEnterpriseUnits[cv_2022])</f>
        <v>0</v>
      </c>
      <c r="G88" s="8">
        <f xml:space="preserve"> SUMIF(tblGoogleUnits[Products],$A88, tblGoogleUnits[cv_2023]) + SUMIF(tblMetaUnits[Products],$A88, tblMetaUnits[cv_2023]) + SUMIF(tblAmazonUnits[Products],$A88, tblAmazonUnits[cv_2023]) + SUMIF(tblMicrosoftUnits[Products],$A88, tblMicrosoftUnits[cv_2023]) + SUMIF(tblAppleUnits[Products],$A88, tblAppleUnits[cv_2023]) + SUMIF(tblAlibabaUnits[Products],$A88, tblAlibabaUnits[cv_2023]) + SUMIF(tblHuaweiUnits[Products],$A88, tblHuaweiUnits[cv_2023]) + SUMIF(tblTencentUnits[Products],$A88, tblTencentUnits[cv_2023]) + SUMIF(tblBaiduUnits[Products],$A88, tblBaiduUnits[cv_2023]) + SUMIF(tblByteDanceUnits[Products],$A88, tblByteDanceUnits[cv_2023]) + SUMIF(tblCloudAOUnits[Products],$A88, tblCloudAOUnits[cv_2023]) + SUMIF(tblTelecomUnits[Products],$A88, tblTelecomUnits[cv_2023]) + SUMIF(tblEnterpriseUnits[Products],$A88, tblEnterpriseUnits[cv_2023])</f>
        <v>0</v>
      </c>
      <c r="H88" s="8">
        <f xml:space="preserve"> SUMIF(tblGoogleUnits[Products],$A88, tblGoogleUnits[cv_2024]) + SUMIF(tblMetaUnits[Products],$A88, tblMetaUnits[cv_2024]) + SUMIF(tblAmazonUnits[Products],$A88, tblAmazonUnits[cv_2024]) + SUMIF(tblMicrosoftUnits[Products],$A88, tblMicrosoftUnits[cv_2024]) + SUMIF(tblAppleUnits[Products],$A88, tblAppleUnits[cv_2024]) + SUMIF(tblAlibabaUnits[Products],$A88, tblAlibabaUnits[cv_2024]) + SUMIF(tblHuaweiUnits[Products],$A88, tblHuaweiUnits[cv_2024]) + SUMIF(tblTencentUnits[Products],$A88, tblTencentUnits[cv_2024]) + SUMIF(tblBaiduUnits[Products],$A88, tblBaiduUnits[cv_2024]) + SUMIF(tblByteDanceUnits[Products],$A88, tblByteDanceUnits[cv_2024]) + SUMIF(tblCloudAOUnits[Products],$A88, tblCloudAOUnits[cv_2024]) + SUMIF(tblTelecomUnits[Products],$A88, tblTelecomUnits[cv_2024]) + SUMIF(tblEnterpriseUnits[Products],$A88, tblEnterpriseUnits[cv_2024])</f>
        <v>0</v>
      </c>
      <c r="I88" s="8">
        <f xml:space="preserve"> SUMIF(tblGoogleUnits[Products],$A88, tblGoogleUnits[cv_2025]) + SUMIF(tblMetaUnits[Products],$A88, tblMetaUnits[cv_2025]) + SUMIF(tblAmazonUnits[Products],$A88, tblAmazonUnits[cv_2025]) + SUMIF(tblMicrosoftUnits[Products],$A88, tblMicrosoftUnits[cv_2025]) + SUMIF(tblAppleUnits[Products],$A88, tblAppleUnits[cv_2025]) + SUMIF(tblAlibabaUnits[Products],$A88, tblAlibabaUnits[cv_2025]) + SUMIF(tblHuaweiUnits[Products],$A88, tblHuaweiUnits[cv_2025]) + SUMIF(tblTencentUnits[Products],$A88, tblTencentUnits[cv_2025]) + SUMIF(tblBaiduUnits[Products],$A88, tblBaiduUnits[cv_2025]) + SUMIF(tblByteDanceUnits[Products],$A88, tblByteDanceUnits[cv_2025]) + SUMIF(tblCloudAOUnits[Products],$A88, tblCloudAOUnits[cv_2025]) + SUMIF(tblTelecomUnits[Products],$A88, tblTelecomUnits[cv_2025]) + SUMIF(tblEnterpriseUnits[Products],$A88, tblEnterpriseUnits[cv_2025])</f>
        <v>0</v>
      </c>
      <c r="J88" s="8">
        <f xml:space="preserve"> SUMIF(tblGoogleUnits[Products],$A88, tblGoogleUnits[cv_2026]) + SUMIF(tblMetaUnits[Products],$A88, tblMetaUnits[cv_2026]) + SUMIF(tblAmazonUnits[Products],$A88, tblAmazonUnits[cv_2026]) + SUMIF(tblMicrosoftUnits[Products],$A88, tblMicrosoftUnits[cv_2026]) + SUMIF(tblAppleUnits[Products],$A88, tblAppleUnits[cv_2026]) + SUMIF(tblAlibabaUnits[Products],$A88, tblAlibabaUnits[cv_2026]) + SUMIF(tblHuaweiUnits[Products],$A88, tblHuaweiUnits[cv_2026]) + SUMIF(tblTencentUnits[Products],$A88, tblTencentUnits[cv_2026]) + SUMIF(tblBaiduUnits[Products],$A88, tblBaiduUnits[cv_2026]) + SUMIF(tblByteDanceUnits[Products],$A88, tblByteDanceUnits[cv_2026]) + SUMIF(tblCloudAOUnits[Products],$A88, tblCloudAOUnits[cv_2026]) + SUMIF(tblTelecomUnits[Products],$A88, tblTelecomUnits[cv_2026]) + SUMIF(tblEnterpriseUnits[Products],$A88, tblEnterpriseUnits[cv_2026])</f>
        <v>0</v>
      </c>
      <c r="K88" s="8">
        <f xml:space="preserve"> SUMIF(tblGoogleUnits[Products],$A88, tblGoogleUnits[cv_2027]) + SUMIF(tblMetaUnits[Products],$A88, tblMetaUnits[cv_2027]) + SUMIF(tblAmazonUnits[Products],$A88, tblAmazonUnits[cv_2027]) + SUMIF(tblMicrosoftUnits[Products],$A88, tblMicrosoftUnits[cv_2027]) + SUMIF(tblAppleUnits[Products],$A88, tblAppleUnits[cv_2027]) + SUMIF(tblAlibabaUnits[Products],$A88, tblAlibabaUnits[cv_2027]) + SUMIF(tblHuaweiUnits[Products],$A88, tblHuaweiUnits[cv_2027]) + SUMIF(tblTencentUnits[Products],$A88, tblTencentUnits[cv_2027]) + SUMIF(tblBaiduUnits[Products],$A88, tblBaiduUnits[cv_2027]) + SUMIF(tblByteDanceUnits[Products],$A88, tblByteDanceUnits[cv_2027]) + SUMIF(tblCloudAOUnits[Products],$A88, tblCloudAOUnits[cv_2027]) + SUMIF(tblTelecomUnits[Products],$A88, tblTelecomUnits[cv_2027]) + SUMIF(tblEnterpriseUnits[Products],$A88, tblEnterpriseUnits[cv_2027])</f>
        <v>0</v>
      </c>
      <c r="L88" s="8">
        <f xml:space="preserve"> SUMIF(tblGoogleUnits[Products],$A88, tblGoogleUnits[cv_2028]) + SUMIF(tblMetaUnits[Products],$A88, tblMetaUnits[cv_2028]) + SUMIF(tblAmazonUnits[Products],$A88, tblAmazonUnits[cv_2028]) + SUMIF(tblMicrosoftUnits[Products],$A88, tblMicrosoftUnits[cv_2028]) + SUMIF(tblAppleUnits[Products],$A88, tblAppleUnits[cv_2028]) + SUMIF(tblAlibabaUnits[Products],$A88, tblAlibabaUnits[cv_2028]) + SUMIF(tblHuaweiUnits[Products],$A88, tblHuaweiUnits[cv_2028]) + SUMIF(tblTencentUnits[Products],$A88, tblTencentUnits[cv_2028]) + SUMIF(tblBaiduUnits[Products],$A88, tblBaiduUnits[cv_2028]) + SUMIF(tblByteDanceUnits[Products],$A88, tblByteDanceUnits[cv_2028]) + SUMIF(tblCloudAOUnits[Products],$A88, tblCloudAOUnits[cv_2028]) + SUMIF(tblTelecomUnits[Products],$A88, tblTelecomUnits[cv_2028]) + SUMIF(tblEnterpriseUnits[Products],$A88, tblEnterpriseUnits[cv_2028])</f>
        <v>0</v>
      </c>
      <c r="M88" s="105" cm="1">
        <f t="array" ref="M88">INDEX(tblPrices[cv_2018], MATCH($A88,tblPrices[Products],0), 0)</f>
        <v>0</v>
      </c>
      <c r="N88" s="105" cm="1">
        <f t="array" ref="N88">INDEX(tblPrices[cv_2019], MATCH($A88,tblPrices[Products],0), 0)</f>
        <v>0</v>
      </c>
      <c r="O88" s="105" cm="1">
        <f t="array" ref="O88">INDEX(tblPrices[cv_2020], MATCH($A88,tblPrices[Products],0), 0)</f>
        <v>0</v>
      </c>
      <c r="P88" s="105" cm="1">
        <f t="array" ref="P88">INDEX(tblPrices[cv_2021], MATCH($A88,tblPrices[Products],0), 0)</f>
        <v>0</v>
      </c>
      <c r="Q88" s="105" cm="1">
        <f t="array" ref="Q88">INDEX(tblPrices[cv_2022], MATCH($A88,tblPrices[Products],0), 0)</f>
        <v>0</v>
      </c>
      <c r="R88" s="105" cm="1">
        <f t="array" ref="R88">INDEX(tblPrices[cv_2023], MATCH($A88,tblPrices[Products],0), 0)</f>
        <v>0</v>
      </c>
      <c r="S88" s="105" cm="1">
        <f t="array" ref="S88">INDEX(tblPrices[cv_2024], MATCH($A88,tblPrices[Products],0), 0)</f>
        <v>0</v>
      </c>
      <c r="T88" s="105" cm="1">
        <f t="array" ref="T88">INDEX(tblPrices[cv_2025], MATCH($A88,tblPrices[Products],0), 0)</f>
        <v>0</v>
      </c>
      <c r="U88" s="105" cm="1">
        <f t="array" ref="U88">INDEX(tblPrices[cv_2026], MATCH($A88,tblPrices[Products],0), 0)</f>
        <v>0</v>
      </c>
      <c r="V88" s="105" cm="1">
        <f t="array" ref="V88">INDEX(tblPrices[cv_2027], MATCH($A88,tblPrices[Products],0), 0)</f>
        <v>0</v>
      </c>
      <c r="W88" s="105" cm="1">
        <f t="array" ref="W88">INDEX(tblPrices[cv_2028], MATCH($A88,tblPrices[Products],0), 0)</f>
        <v>0</v>
      </c>
      <c r="X88" s="106" cm="1">
        <f t="array" ref="X88">INDEX(tblPrices[cv_2018], MATCH($A88,tblPrices[Products],0), 0)* tblForecast[[#This Row],[un_2018]]/10^6</f>
        <v>0</v>
      </c>
      <c r="Y88" s="106" cm="1">
        <f t="array" ref="Y88">INDEX(tblPrices[cv_2019], MATCH($A88,tblPrices[Products],0), 0)* tblForecast[[#This Row],[un_2019]]/10^6</f>
        <v>0</v>
      </c>
      <c r="Z88" s="106" cm="1">
        <f t="array" ref="Z88">INDEX(tblPrices[cv_2020], MATCH($A88,tblPrices[Products],0), 0)* tblForecast[[#This Row],[un_2020]]/10^6</f>
        <v>0</v>
      </c>
      <c r="AA88" s="106" cm="1">
        <f t="array" ref="AA88">INDEX(tblPrices[cv_2021], MATCH($A88,tblPrices[Products],0), 0)* tblForecast[[#This Row],[un_2021]]/10^6</f>
        <v>0</v>
      </c>
      <c r="AB88" s="106" cm="1">
        <f t="array" ref="AB88">INDEX(tblPrices[cv_2022], MATCH($A88,tblPrices[Products],0), 0)* tblForecast[[#This Row],[un_2022]]/10^6</f>
        <v>0</v>
      </c>
      <c r="AC88" s="106" cm="1">
        <f t="array" ref="AC88">INDEX(tblPrices[cv_2023], MATCH($A88,tblPrices[Products],0), 0)* tblForecast[[#This Row],[un_2023]]/10^6</f>
        <v>0</v>
      </c>
      <c r="AD88" s="106" cm="1">
        <f t="array" ref="AD88">INDEX(tblPrices[cv_2024], MATCH($A88,tblPrices[Products],0), 0)* tblForecast[[#This Row],[un_2024]]/10^6</f>
        <v>0</v>
      </c>
      <c r="AE88" s="106" cm="1">
        <f t="array" ref="AE88">INDEX(tblPrices[cv_2025], MATCH($A88,tblPrices[Products],0), 0)* tblForecast[[#This Row],[un_2025]]/10^6</f>
        <v>0</v>
      </c>
      <c r="AF88" s="106" cm="1">
        <f t="array" ref="AF88">INDEX(tblPrices[cv_2026], MATCH($A88,tblPrices[Products],0), 0)* tblForecast[[#This Row],[un_2026]]/10^6</f>
        <v>0</v>
      </c>
      <c r="AG88" s="106" cm="1">
        <f t="array" ref="AG88">INDEX(tblPrices[cv_2027], MATCH($A88,tblPrices[Products],0), 0)* tblForecast[[#This Row],[un_2027]]/10^6</f>
        <v>0</v>
      </c>
      <c r="AH88" s="106" cm="1">
        <f t="array" ref="AH88">INDEX(tblPrices[cv_2028], MATCH($A88,tblPrices[Products],0), 0)* tblForecast[[#This Row],[un_2028]]/10^6</f>
        <v>0</v>
      </c>
      <c r="AI88" s="60">
        <f>VLOOKUP(A88,Products!$A$11:$F$110,6,FALSE)</f>
        <v>400</v>
      </c>
    </row>
    <row r="89" spans="1:35">
      <c r="A89" s="12" t="s">
        <v>48</v>
      </c>
      <c r="B89" s="8">
        <f xml:space="preserve"> SUMIF(tblGoogleUnits[Products],$A89, tblGoogleUnits[cv_2018]) + SUMIF(tblMetaUnits[Products],$A89, tblMetaUnits[cv_2018]) + SUMIF(tblAmazonUnits[Products],$A89, tblAmazonUnits[cv_2018]) + SUMIF(tblMicrosoftUnits[Products],$A89, tblMicrosoftUnits[cv_2018]) + SUMIF(tblAppleUnits[Products],$A89, tblAppleUnits[cv_2018]) + SUMIF(tblAlibabaUnits[Products],$A89, tblAlibabaUnits[cv_2018]) + SUMIF(tblHuaweiUnits[Products],$A89, tblHuaweiUnits[cv_2018]) + SUMIF(tblTencentUnits[Products],$A89, tblTencentUnits[cv_2018]) + SUMIF(tblBaiduUnits[Products],$A89, tblBaiduUnits[cv_2018]) + SUMIF(tblByteDanceUnits[Products],$A89, tblByteDanceUnits[cv_2018]) + SUMIF(tblCloudAOUnits[Products],$A89, tblCloudAOUnits[cv_2018]) + SUMIF(tblTelecomUnits[Products],$A89, tblTelecomUnits[cv_2018]) + SUMIF(tblEnterpriseUnits[Products],$A89, tblEnterpriseUnits[cv_2018])</f>
        <v>0</v>
      </c>
      <c r="C89" s="8">
        <f xml:space="preserve"> SUMIF(tblGoogleUnits[Products],$A89, tblGoogleUnits[cv_2019]) + SUMIF(tblMetaUnits[Products],$A89, tblMetaUnits[cv_2019]) + SUMIF(tblAmazonUnits[Products],$A89, tblAmazonUnits[cv_2019]) + SUMIF(tblMicrosoftUnits[Products],$A89, tblMicrosoftUnits[cv_2019]) + SUMIF(tblAppleUnits[Products],$A89, tblAppleUnits[cv_2019]) + SUMIF(tblAlibabaUnits[Products],$A89, tblAlibabaUnits[cv_2019]) + SUMIF(tblHuaweiUnits[Products],$A89, tblHuaweiUnits[cv_2019]) + SUMIF(tblTencentUnits[Products],$A89, tblTencentUnits[cv_2019]) + SUMIF(tblBaiduUnits[Products],$A89, tblBaiduUnits[cv_2019]) + SUMIF(tblByteDanceUnits[Products],$A89, tblByteDanceUnits[cv_2019]) + SUMIF(tblCloudAOUnits[Products],$A89, tblCloudAOUnits[cv_2019]) + SUMIF(tblTelecomUnits[Products],$A89, tblTelecomUnits[cv_2019]) + SUMIF(tblEnterpriseUnits[Products],$A89, tblEnterpriseUnits[cv_2019])</f>
        <v>0</v>
      </c>
      <c r="D89" s="8">
        <f xml:space="preserve"> SUMIF(tblGoogleUnits[Products],$A89, tblGoogleUnits[cv_2020]) + SUMIF(tblMetaUnits[Products],$A89, tblMetaUnits[cv_2020]) + SUMIF(tblAmazonUnits[Products],$A89, tblAmazonUnits[cv_2020]) + SUMIF(tblMicrosoftUnits[Products],$A89, tblMicrosoftUnits[cv_2020]) + SUMIF(tblAppleUnits[Products],$A89, tblAppleUnits[cv_2020]) + SUMIF(tblAlibabaUnits[Products],$A89, tblAlibabaUnits[cv_2020]) + SUMIF(tblHuaweiUnits[Products],$A89, tblHuaweiUnits[cv_2020]) + SUMIF(tblTencentUnits[Products],$A89, tblTencentUnits[cv_2020]) + SUMIF(tblBaiduUnits[Products],$A89, tblBaiduUnits[cv_2020]) + SUMIF(tblByteDanceUnits[Products],$A89, tblByteDanceUnits[cv_2020]) + SUMIF(tblCloudAOUnits[Products],$A89, tblCloudAOUnits[cv_2020]) + SUMIF(tblTelecomUnits[Products],$A89, tblTelecomUnits[cv_2020]) + SUMIF(tblEnterpriseUnits[Products],$A89, tblEnterpriseUnits[cv_2020])</f>
        <v>0</v>
      </c>
      <c r="E89" s="8">
        <f xml:space="preserve"> SUMIF(tblGoogleUnits[Products],$A89, tblGoogleUnits[cv_2021]) + SUMIF(tblMetaUnits[Products],$A89, tblMetaUnits[cv_2021]) + SUMIF(tblAmazonUnits[Products],$A89, tblAmazonUnits[cv_2021]) + SUMIF(tblMicrosoftUnits[Products],$A89, tblMicrosoftUnits[cv_2021]) + SUMIF(tblAppleUnits[Products],$A89, tblAppleUnits[cv_2021]) + SUMIF(tblAlibabaUnits[Products],$A89, tblAlibabaUnits[cv_2021]) + SUMIF(tblHuaweiUnits[Products],$A89, tblHuaweiUnits[cv_2021]) + SUMIF(tblTencentUnits[Products],$A89, tblTencentUnits[cv_2021]) + SUMIF(tblBaiduUnits[Products],$A89, tblBaiduUnits[cv_2021]) + SUMIF(tblByteDanceUnits[Products],$A89, tblByteDanceUnits[cv_2021]) + SUMIF(tblCloudAOUnits[Products],$A89, tblCloudAOUnits[cv_2021]) + SUMIF(tblTelecomUnits[Products],$A89, tblTelecomUnits[cv_2021]) + SUMIF(tblEnterpriseUnits[Products],$A89, tblEnterpriseUnits[cv_2021])</f>
        <v>0</v>
      </c>
      <c r="F89" s="8">
        <f xml:space="preserve"> SUMIF(tblGoogleUnits[Products],$A89, tblGoogleUnits[cv_2022]) + SUMIF(tblMetaUnits[Products],$A89, tblMetaUnits[cv_2022]) + SUMIF(tblAmazonUnits[Products],$A89, tblAmazonUnits[cv_2022]) + SUMIF(tblMicrosoftUnits[Products],$A89, tblMicrosoftUnits[cv_2022]) + SUMIF(tblAppleUnits[Products],$A89, tblAppleUnits[cv_2022]) + SUMIF(tblAlibabaUnits[Products],$A89, tblAlibabaUnits[cv_2022]) + SUMIF(tblHuaweiUnits[Products],$A89, tblHuaweiUnits[cv_2022]) + SUMIF(tblTencentUnits[Products],$A89, tblTencentUnits[cv_2022]) + SUMIF(tblBaiduUnits[Products],$A89, tblBaiduUnits[cv_2022]) + SUMIF(tblByteDanceUnits[Products],$A89, tblByteDanceUnits[cv_2022]) + SUMIF(tblCloudAOUnits[Products],$A89, tblCloudAOUnits[cv_2022]) + SUMIF(tblTelecomUnits[Products],$A89, tblTelecomUnits[cv_2022]) + SUMIF(tblEnterpriseUnits[Products],$A89, tblEnterpriseUnits[cv_2022])</f>
        <v>0</v>
      </c>
      <c r="G89" s="8">
        <f xml:space="preserve"> SUMIF(tblGoogleUnits[Products],$A89, tblGoogleUnits[cv_2023]) + SUMIF(tblMetaUnits[Products],$A89, tblMetaUnits[cv_2023]) + SUMIF(tblAmazonUnits[Products],$A89, tblAmazonUnits[cv_2023]) + SUMIF(tblMicrosoftUnits[Products],$A89, tblMicrosoftUnits[cv_2023]) + SUMIF(tblAppleUnits[Products],$A89, tblAppleUnits[cv_2023]) + SUMIF(tblAlibabaUnits[Products],$A89, tblAlibabaUnits[cv_2023]) + SUMIF(tblHuaweiUnits[Products],$A89, tblHuaweiUnits[cv_2023]) + SUMIF(tblTencentUnits[Products],$A89, tblTencentUnits[cv_2023]) + SUMIF(tblBaiduUnits[Products],$A89, tblBaiduUnits[cv_2023]) + SUMIF(tblByteDanceUnits[Products],$A89, tblByteDanceUnits[cv_2023]) + SUMIF(tblCloudAOUnits[Products],$A89, tblCloudAOUnits[cv_2023]) + SUMIF(tblTelecomUnits[Products],$A89, tblTelecomUnits[cv_2023]) + SUMIF(tblEnterpriseUnits[Products],$A89, tblEnterpriseUnits[cv_2023])</f>
        <v>0</v>
      </c>
      <c r="H89" s="8">
        <f xml:space="preserve"> SUMIF(tblGoogleUnits[Products],$A89, tblGoogleUnits[cv_2024]) + SUMIF(tblMetaUnits[Products],$A89, tblMetaUnits[cv_2024]) + SUMIF(tblAmazonUnits[Products],$A89, tblAmazonUnits[cv_2024]) + SUMIF(tblMicrosoftUnits[Products],$A89, tblMicrosoftUnits[cv_2024]) + SUMIF(tblAppleUnits[Products],$A89, tblAppleUnits[cv_2024]) + SUMIF(tblAlibabaUnits[Products],$A89, tblAlibabaUnits[cv_2024]) + SUMIF(tblHuaweiUnits[Products],$A89, tblHuaweiUnits[cv_2024]) + SUMIF(tblTencentUnits[Products],$A89, tblTencentUnits[cv_2024]) + SUMIF(tblBaiduUnits[Products],$A89, tblBaiduUnits[cv_2024]) + SUMIF(tblByteDanceUnits[Products],$A89, tblByteDanceUnits[cv_2024]) + SUMIF(tblCloudAOUnits[Products],$A89, tblCloudAOUnits[cv_2024]) + SUMIF(tblTelecomUnits[Products],$A89, tblTelecomUnits[cv_2024]) + SUMIF(tblEnterpriseUnits[Products],$A89, tblEnterpriseUnits[cv_2024])</f>
        <v>0</v>
      </c>
      <c r="I89" s="8">
        <f xml:space="preserve"> SUMIF(tblGoogleUnits[Products],$A89, tblGoogleUnits[cv_2025]) + SUMIF(tblMetaUnits[Products],$A89, tblMetaUnits[cv_2025]) + SUMIF(tblAmazonUnits[Products],$A89, tblAmazonUnits[cv_2025]) + SUMIF(tblMicrosoftUnits[Products],$A89, tblMicrosoftUnits[cv_2025]) + SUMIF(tblAppleUnits[Products],$A89, tblAppleUnits[cv_2025]) + SUMIF(tblAlibabaUnits[Products],$A89, tblAlibabaUnits[cv_2025]) + SUMIF(tblHuaweiUnits[Products],$A89, tblHuaweiUnits[cv_2025]) + SUMIF(tblTencentUnits[Products],$A89, tblTencentUnits[cv_2025]) + SUMIF(tblBaiduUnits[Products],$A89, tblBaiduUnits[cv_2025]) + SUMIF(tblByteDanceUnits[Products],$A89, tblByteDanceUnits[cv_2025]) + SUMIF(tblCloudAOUnits[Products],$A89, tblCloudAOUnits[cv_2025]) + SUMIF(tblTelecomUnits[Products],$A89, tblTelecomUnits[cv_2025]) + SUMIF(tblEnterpriseUnits[Products],$A89, tblEnterpriseUnits[cv_2025])</f>
        <v>0</v>
      </c>
      <c r="J89" s="8">
        <f xml:space="preserve"> SUMIF(tblGoogleUnits[Products],$A89, tblGoogleUnits[cv_2026]) + SUMIF(tblMetaUnits[Products],$A89, tblMetaUnits[cv_2026]) + SUMIF(tblAmazonUnits[Products],$A89, tblAmazonUnits[cv_2026]) + SUMIF(tblMicrosoftUnits[Products],$A89, tblMicrosoftUnits[cv_2026]) + SUMIF(tblAppleUnits[Products],$A89, tblAppleUnits[cv_2026]) + SUMIF(tblAlibabaUnits[Products],$A89, tblAlibabaUnits[cv_2026]) + SUMIF(tblHuaweiUnits[Products],$A89, tblHuaweiUnits[cv_2026]) + SUMIF(tblTencentUnits[Products],$A89, tblTencentUnits[cv_2026]) + SUMIF(tblBaiduUnits[Products],$A89, tblBaiduUnits[cv_2026]) + SUMIF(tblByteDanceUnits[Products],$A89, tblByteDanceUnits[cv_2026]) + SUMIF(tblCloudAOUnits[Products],$A89, tblCloudAOUnits[cv_2026]) + SUMIF(tblTelecomUnits[Products],$A89, tblTelecomUnits[cv_2026]) + SUMIF(tblEnterpriseUnits[Products],$A89, tblEnterpriseUnits[cv_2026])</f>
        <v>0</v>
      </c>
      <c r="K89" s="8">
        <f xml:space="preserve"> SUMIF(tblGoogleUnits[Products],$A89, tblGoogleUnits[cv_2027]) + SUMIF(tblMetaUnits[Products],$A89, tblMetaUnits[cv_2027]) + SUMIF(tblAmazonUnits[Products],$A89, tblAmazonUnits[cv_2027]) + SUMIF(tblMicrosoftUnits[Products],$A89, tblMicrosoftUnits[cv_2027]) + SUMIF(tblAppleUnits[Products],$A89, tblAppleUnits[cv_2027]) + SUMIF(tblAlibabaUnits[Products],$A89, tblAlibabaUnits[cv_2027]) + SUMIF(tblHuaweiUnits[Products],$A89, tblHuaweiUnits[cv_2027]) + SUMIF(tblTencentUnits[Products],$A89, tblTencentUnits[cv_2027]) + SUMIF(tblBaiduUnits[Products],$A89, tblBaiduUnits[cv_2027]) + SUMIF(tblByteDanceUnits[Products],$A89, tblByteDanceUnits[cv_2027]) + SUMIF(tblCloudAOUnits[Products],$A89, tblCloudAOUnits[cv_2027]) + SUMIF(tblTelecomUnits[Products],$A89, tblTelecomUnits[cv_2027]) + SUMIF(tblEnterpriseUnits[Products],$A89, tblEnterpriseUnits[cv_2027])</f>
        <v>0</v>
      </c>
      <c r="L89" s="8">
        <f xml:space="preserve"> SUMIF(tblGoogleUnits[Products],$A89, tblGoogleUnits[cv_2028]) + SUMIF(tblMetaUnits[Products],$A89, tblMetaUnits[cv_2028]) + SUMIF(tblAmazonUnits[Products],$A89, tblAmazonUnits[cv_2028]) + SUMIF(tblMicrosoftUnits[Products],$A89, tblMicrosoftUnits[cv_2028]) + SUMIF(tblAppleUnits[Products],$A89, tblAppleUnits[cv_2028]) + SUMIF(tblAlibabaUnits[Products],$A89, tblAlibabaUnits[cv_2028]) + SUMIF(tblHuaweiUnits[Products],$A89, tblHuaweiUnits[cv_2028]) + SUMIF(tblTencentUnits[Products],$A89, tblTencentUnits[cv_2028]) + SUMIF(tblBaiduUnits[Products],$A89, tblBaiduUnits[cv_2028]) + SUMIF(tblByteDanceUnits[Products],$A89, tblByteDanceUnits[cv_2028]) + SUMIF(tblCloudAOUnits[Products],$A89, tblCloudAOUnits[cv_2028]) + SUMIF(tblTelecomUnits[Products],$A89, tblTelecomUnits[cv_2028]) + SUMIF(tblEnterpriseUnits[Products],$A89, tblEnterpriseUnits[cv_2028])</f>
        <v>0</v>
      </c>
      <c r="M89" s="105" cm="1">
        <f t="array" ref="M89">INDEX(tblPrices[cv_2018], MATCH($A89,tblPrices[Products],0), 0)</f>
        <v>0</v>
      </c>
      <c r="N89" s="105" cm="1">
        <f t="array" ref="N89">INDEX(tblPrices[cv_2019], MATCH($A89,tblPrices[Products],0), 0)</f>
        <v>0</v>
      </c>
      <c r="O89" s="105" cm="1">
        <f t="array" ref="O89">INDEX(tblPrices[cv_2020], MATCH($A89,tblPrices[Products],0), 0)</f>
        <v>0</v>
      </c>
      <c r="P89" s="105" cm="1">
        <f t="array" ref="P89">INDEX(tblPrices[cv_2021], MATCH($A89,tblPrices[Products],0), 0)</f>
        <v>0</v>
      </c>
      <c r="Q89" s="105" cm="1">
        <f t="array" ref="Q89">INDEX(tblPrices[cv_2022], MATCH($A89,tblPrices[Products],0), 0)</f>
        <v>0</v>
      </c>
      <c r="R89" s="105" cm="1">
        <f t="array" ref="R89">INDEX(tblPrices[cv_2023], MATCH($A89,tblPrices[Products],0), 0)</f>
        <v>0</v>
      </c>
      <c r="S89" s="105" cm="1">
        <f t="array" ref="S89">INDEX(tblPrices[cv_2024], MATCH($A89,tblPrices[Products],0), 0)</f>
        <v>0</v>
      </c>
      <c r="T89" s="105" cm="1">
        <f t="array" ref="T89">INDEX(tblPrices[cv_2025], MATCH($A89,tblPrices[Products],0), 0)</f>
        <v>0</v>
      </c>
      <c r="U89" s="105" cm="1">
        <f t="array" ref="U89">INDEX(tblPrices[cv_2026], MATCH($A89,tblPrices[Products],0), 0)</f>
        <v>0</v>
      </c>
      <c r="V89" s="105" cm="1">
        <f t="array" ref="V89">INDEX(tblPrices[cv_2027], MATCH($A89,tblPrices[Products],0), 0)</f>
        <v>0</v>
      </c>
      <c r="W89" s="105" cm="1">
        <f t="array" ref="W89">INDEX(tblPrices[cv_2028], MATCH($A89,tblPrices[Products],0), 0)</f>
        <v>0</v>
      </c>
      <c r="X89" s="106" cm="1">
        <f t="array" ref="X89">INDEX(tblPrices[cv_2018], MATCH($A89,tblPrices[Products],0), 0)* tblForecast[[#This Row],[un_2018]]/10^6</f>
        <v>0</v>
      </c>
      <c r="Y89" s="106" cm="1">
        <f t="array" ref="Y89">INDEX(tblPrices[cv_2019], MATCH($A89,tblPrices[Products],0), 0)* tblForecast[[#This Row],[un_2019]]/10^6</f>
        <v>0</v>
      </c>
      <c r="Z89" s="106" cm="1">
        <f t="array" ref="Z89">INDEX(tblPrices[cv_2020], MATCH($A89,tblPrices[Products],0), 0)* tblForecast[[#This Row],[un_2020]]/10^6</f>
        <v>0</v>
      </c>
      <c r="AA89" s="106" cm="1">
        <f t="array" ref="AA89">INDEX(tblPrices[cv_2021], MATCH($A89,tblPrices[Products],0), 0)* tblForecast[[#This Row],[un_2021]]/10^6</f>
        <v>0</v>
      </c>
      <c r="AB89" s="106" cm="1">
        <f t="array" ref="AB89">INDEX(tblPrices[cv_2022], MATCH($A89,tblPrices[Products],0), 0)* tblForecast[[#This Row],[un_2022]]/10^6</f>
        <v>0</v>
      </c>
      <c r="AC89" s="106" cm="1">
        <f t="array" ref="AC89">INDEX(tblPrices[cv_2023], MATCH($A89,tblPrices[Products],0), 0)* tblForecast[[#This Row],[un_2023]]/10^6</f>
        <v>0</v>
      </c>
      <c r="AD89" s="106" cm="1">
        <f t="array" ref="AD89">INDEX(tblPrices[cv_2024], MATCH($A89,tblPrices[Products],0), 0)* tblForecast[[#This Row],[un_2024]]/10^6</f>
        <v>0</v>
      </c>
      <c r="AE89" s="106" cm="1">
        <f t="array" ref="AE89">INDEX(tblPrices[cv_2025], MATCH($A89,tblPrices[Products],0), 0)* tblForecast[[#This Row],[un_2025]]/10^6</f>
        <v>0</v>
      </c>
      <c r="AF89" s="106" cm="1">
        <f t="array" ref="AF89">INDEX(tblPrices[cv_2026], MATCH($A89,tblPrices[Products],0), 0)* tblForecast[[#This Row],[un_2026]]/10^6</f>
        <v>0</v>
      </c>
      <c r="AG89" s="106" cm="1">
        <f t="array" ref="AG89">INDEX(tblPrices[cv_2027], MATCH($A89,tblPrices[Products],0), 0)* tblForecast[[#This Row],[un_2027]]/10^6</f>
        <v>0</v>
      </c>
      <c r="AH89" s="106" cm="1">
        <f t="array" ref="AH89">INDEX(tblPrices[cv_2028], MATCH($A89,tblPrices[Products],0), 0)* tblForecast[[#This Row],[un_2028]]/10^6</f>
        <v>0</v>
      </c>
      <c r="AI89" s="60">
        <f>VLOOKUP(A89,Products!$A$11:$F$110,6,FALSE)</f>
        <v>800</v>
      </c>
    </row>
    <row r="90" spans="1:35">
      <c r="A90" s="12" t="s">
        <v>13</v>
      </c>
      <c r="B90" s="8">
        <f xml:space="preserve"> SUMIF(tblGoogleUnits[Products],$A90, tblGoogleUnits[cv_2018]) + SUMIF(tblMetaUnits[Products],$A90, tblMetaUnits[cv_2018]) + SUMIF(tblAmazonUnits[Products],$A90, tblAmazonUnits[cv_2018]) + SUMIF(tblMicrosoftUnits[Products],$A90, tblMicrosoftUnits[cv_2018]) + SUMIF(tblAppleUnits[Products],$A90, tblAppleUnits[cv_2018]) + SUMIF(tblAlibabaUnits[Products],$A90, tblAlibabaUnits[cv_2018]) + SUMIF(tblHuaweiUnits[Products],$A90, tblHuaweiUnits[cv_2018]) + SUMIF(tblTencentUnits[Products],$A90, tblTencentUnits[cv_2018]) + SUMIF(tblBaiduUnits[Products],$A90, tblBaiduUnits[cv_2018]) + SUMIF(tblByteDanceUnits[Products],$A90, tblByteDanceUnits[cv_2018]) + SUMIF(tblCloudAOUnits[Products],$A90, tblCloudAOUnits[cv_2018]) + SUMIF(tblTelecomUnits[Products],$A90, tblTelecomUnits[cv_2018]) + SUMIF(tblEnterpriseUnits[Products],$A90, tblEnterpriseUnits[cv_2018])</f>
        <v>0</v>
      </c>
      <c r="C90" s="8">
        <f xml:space="preserve"> SUMIF(tblGoogleUnits[Products],$A90, tblGoogleUnits[cv_2019]) + SUMIF(tblMetaUnits[Products],$A90, tblMetaUnits[cv_2019]) + SUMIF(tblAmazonUnits[Products],$A90, tblAmazonUnits[cv_2019]) + SUMIF(tblMicrosoftUnits[Products],$A90, tblMicrosoftUnits[cv_2019]) + SUMIF(tblAppleUnits[Products],$A90, tblAppleUnits[cv_2019]) + SUMIF(tblAlibabaUnits[Products],$A90, tblAlibabaUnits[cv_2019]) + SUMIF(tblHuaweiUnits[Products],$A90, tblHuaweiUnits[cv_2019]) + SUMIF(tblTencentUnits[Products],$A90, tblTencentUnits[cv_2019]) + SUMIF(tblBaiduUnits[Products],$A90, tblBaiduUnits[cv_2019]) + SUMIF(tblByteDanceUnits[Products],$A90, tblByteDanceUnits[cv_2019]) + SUMIF(tblCloudAOUnits[Products],$A90, tblCloudAOUnits[cv_2019]) + SUMIF(tblTelecomUnits[Products],$A90, tblTelecomUnits[cv_2019]) + SUMIF(tblEnterpriseUnits[Products],$A90, tblEnterpriseUnits[cv_2019])</f>
        <v>0</v>
      </c>
      <c r="D90" s="8">
        <f xml:space="preserve"> SUMIF(tblGoogleUnits[Products],$A90, tblGoogleUnits[cv_2020]) + SUMIF(tblMetaUnits[Products],$A90, tblMetaUnits[cv_2020]) + SUMIF(tblAmazonUnits[Products],$A90, tblAmazonUnits[cv_2020]) + SUMIF(tblMicrosoftUnits[Products],$A90, tblMicrosoftUnits[cv_2020]) + SUMIF(tblAppleUnits[Products],$A90, tblAppleUnits[cv_2020]) + SUMIF(tblAlibabaUnits[Products],$A90, tblAlibabaUnits[cv_2020]) + SUMIF(tblHuaweiUnits[Products],$A90, tblHuaweiUnits[cv_2020]) + SUMIF(tblTencentUnits[Products],$A90, tblTencentUnits[cv_2020]) + SUMIF(tblBaiduUnits[Products],$A90, tblBaiduUnits[cv_2020]) + SUMIF(tblByteDanceUnits[Products],$A90, tblByteDanceUnits[cv_2020]) + SUMIF(tblCloudAOUnits[Products],$A90, tblCloudAOUnits[cv_2020]) + SUMIF(tblTelecomUnits[Products],$A90, tblTelecomUnits[cv_2020]) + SUMIF(tblEnterpriseUnits[Products],$A90, tblEnterpriseUnits[cv_2020])</f>
        <v>0</v>
      </c>
      <c r="E90" s="8">
        <f xml:space="preserve"> SUMIF(tblGoogleUnits[Products],$A90, tblGoogleUnits[cv_2021]) + SUMIF(tblMetaUnits[Products],$A90, tblMetaUnits[cv_2021]) + SUMIF(tblAmazonUnits[Products],$A90, tblAmazonUnits[cv_2021]) + SUMIF(tblMicrosoftUnits[Products],$A90, tblMicrosoftUnits[cv_2021]) + SUMIF(tblAppleUnits[Products],$A90, tblAppleUnits[cv_2021]) + SUMIF(tblAlibabaUnits[Products],$A90, tblAlibabaUnits[cv_2021]) + SUMIF(tblHuaweiUnits[Products],$A90, tblHuaweiUnits[cv_2021]) + SUMIF(tblTencentUnits[Products],$A90, tblTencentUnits[cv_2021]) + SUMIF(tblBaiduUnits[Products],$A90, tblBaiduUnits[cv_2021]) + SUMIF(tblByteDanceUnits[Products],$A90, tblByteDanceUnits[cv_2021]) + SUMIF(tblCloudAOUnits[Products],$A90, tblCloudAOUnits[cv_2021]) + SUMIF(tblTelecomUnits[Products],$A90, tblTelecomUnits[cv_2021]) + SUMIF(tblEnterpriseUnits[Products],$A90, tblEnterpriseUnits[cv_2021])</f>
        <v>0</v>
      </c>
      <c r="F90" s="8">
        <f xml:space="preserve"> SUMIF(tblGoogleUnits[Products],$A90, tblGoogleUnits[cv_2022]) + SUMIF(tblMetaUnits[Products],$A90, tblMetaUnits[cv_2022]) + SUMIF(tblAmazonUnits[Products],$A90, tblAmazonUnits[cv_2022]) + SUMIF(tblMicrosoftUnits[Products],$A90, tblMicrosoftUnits[cv_2022]) + SUMIF(tblAppleUnits[Products],$A90, tblAppleUnits[cv_2022]) + SUMIF(tblAlibabaUnits[Products],$A90, tblAlibabaUnits[cv_2022]) + SUMIF(tblHuaweiUnits[Products],$A90, tblHuaweiUnits[cv_2022]) + SUMIF(tblTencentUnits[Products],$A90, tblTencentUnits[cv_2022]) + SUMIF(tblBaiduUnits[Products],$A90, tblBaiduUnits[cv_2022]) + SUMIF(tblByteDanceUnits[Products],$A90, tblByteDanceUnits[cv_2022]) + SUMIF(tblCloudAOUnits[Products],$A90, tblCloudAOUnits[cv_2022]) + SUMIF(tblTelecomUnits[Products],$A90, tblTelecomUnits[cv_2022]) + SUMIF(tblEnterpriseUnits[Products],$A90, tblEnterpriseUnits[cv_2022])</f>
        <v>0</v>
      </c>
      <c r="G90" s="8">
        <f xml:space="preserve"> SUMIF(tblGoogleUnits[Products],$A90, tblGoogleUnits[cv_2023]) + SUMIF(tblMetaUnits[Products],$A90, tblMetaUnits[cv_2023]) + SUMIF(tblAmazonUnits[Products],$A90, tblAmazonUnits[cv_2023]) + SUMIF(tblMicrosoftUnits[Products],$A90, tblMicrosoftUnits[cv_2023]) + SUMIF(tblAppleUnits[Products],$A90, tblAppleUnits[cv_2023]) + SUMIF(tblAlibabaUnits[Products],$A90, tblAlibabaUnits[cv_2023]) + SUMIF(tblHuaweiUnits[Products],$A90, tblHuaweiUnits[cv_2023]) + SUMIF(tblTencentUnits[Products],$A90, tblTencentUnits[cv_2023]) + SUMIF(tblBaiduUnits[Products],$A90, tblBaiduUnits[cv_2023]) + SUMIF(tblByteDanceUnits[Products],$A90, tblByteDanceUnits[cv_2023]) + SUMIF(tblCloudAOUnits[Products],$A90, tblCloudAOUnits[cv_2023]) + SUMIF(tblTelecomUnits[Products],$A90, tblTelecomUnits[cv_2023]) + SUMIF(tblEnterpriseUnits[Products],$A90, tblEnterpriseUnits[cv_2023])</f>
        <v>0</v>
      </c>
      <c r="H90" s="8">
        <f xml:space="preserve"> SUMIF(tblGoogleUnits[Products],$A90, tblGoogleUnits[cv_2024]) + SUMIF(tblMetaUnits[Products],$A90, tblMetaUnits[cv_2024]) + SUMIF(tblAmazonUnits[Products],$A90, tblAmazonUnits[cv_2024]) + SUMIF(tblMicrosoftUnits[Products],$A90, tblMicrosoftUnits[cv_2024]) + SUMIF(tblAppleUnits[Products],$A90, tblAppleUnits[cv_2024]) + SUMIF(tblAlibabaUnits[Products],$A90, tblAlibabaUnits[cv_2024]) + SUMIF(tblHuaweiUnits[Products],$A90, tblHuaweiUnits[cv_2024]) + SUMIF(tblTencentUnits[Products],$A90, tblTencentUnits[cv_2024]) + SUMIF(tblBaiduUnits[Products],$A90, tblBaiduUnits[cv_2024]) + SUMIF(tblByteDanceUnits[Products],$A90, tblByteDanceUnits[cv_2024]) + SUMIF(tblCloudAOUnits[Products],$A90, tblCloudAOUnits[cv_2024]) + SUMIF(tblTelecomUnits[Products],$A90, tblTelecomUnits[cv_2024]) + SUMIF(tblEnterpriseUnits[Products],$A90, tblEnterpriseUnits[cv_2024])</f>
        <v>0</v>
      </c>
      <c r="I90" s="8">
        <f xml:space="preserve"> SUMIF(tblGoogleUnits[Products],$A90, tblGoogleUnits[cv_2025]) + SUMIF(tblMetaUnits[Products],$A90, tblMetaUnits[cv_2025]) + SUMIF(tblAmazonUnits[Products],$A90, tblAmazonUnits[cv_2025]) + SUMIF(tblMicrosoftUnits[Products],$A90, tblMicrosoftUnits[cv_2025]) + SUMIF(tblAppleUnits[Products],$A90, tblAppleUnits[cv_2025]) + SUMIF(tblAlibabaUnits[Products],$A90, tblAlibabaUnits[cv_2025]) + SUMIF(tblHuaweiUnits[Products],$A90, tblHuaweiUnits[cv_2025]) + SUMIF(tblTencentUnits[Products],$A90, tblTencentUnits[cv_2025]) + SUMIF(tblBaiduUnits[Products],$A90, tblBaiduUnits[cv_2025]) + SUMIF(tblByteDanceUnits[Products],$A90, tblByteDanceUnits[cv_2025]) + SUMIF(tblCloudAOUnits[Products],$A90, tblCloudAOUnits[cv_2025]) + SUMIF(tblTelecomUnits[Products],$A90, tblTelecomUnits[cv_2025]) + SUMIF(tblEnterpriseUnits[Products],$A90, tblEnterpriseUnits[cv_2025])</f>
        <v>0</v>
      </c>
      <c r="J90" s="8">
        <f xml:space="preserve"> SUMIF(tblGoogleUnits[Products],$A90, tblGoogleUnits[cv_2026]) + SUMIF(tblMetaUnits[Products],$A90, tblMetaUnits[cv_2026]) + SUMIF(tblAmazonUnits[Products],$A90, tblAmazonUnits[cv_2026]) + SUMIF(tblMicrosoftUnits[Products],$A90, tblMicrosoftUnits[cv_2026]) + SUMIF(tblAppleUnits[Products],$A90, tblAppleUnits[cv_2026]) + SUMIF(tblAlibabaUnits[Products],$A90, tblAlibabaUnits[cv_2026]) + SUMIF(tblHuaweiUnits[Products],$A90, tblHuaweiUnits[cv_2026]) + SUMIF(tblTencentUnits[Products],$A90, tblTencentUnits[cv_2026]) + SUMIF(tblBaiduUnits[Products],$A90, tblBaiduUnits[cv_2026]) + SUMIF(tblByteDanceUnits[Products],$A90, tblByteDanceUnits[cv_2026]) + SUMIF(tblCloudAOUnits[Products],$A90, tblCloudAOUnits[cv_2026]) + SUMIF(tblTelecomUnits[Products],$A90, tblTelecomUnits[cv_2026]) + SUMIF(tblEnterpriseUnits[Products],$A90, tblEnterpriseUnits[cv_2026])</f>
        <v>0</v>
      </c>
      <c r="K90" s="8">
        <f xml:space="preserve"> SUMIF(tblGoogleUnits[Products],$A90, tblGoogleUnits[cv_2027]) + SUMIF(tblMetaUnits[Products],$A90, tblMetaUnits[cv_2027]) + SUMIF(tblAmazonUnits[Products],$A90, tblAmazonUnits[cv_2027]) + SUMIF(tblMicrosoftUnits[Products],$A90, tblMicrosoftUnits[cv_2027]) + SUMIF(tblAppleUnits[Products],$A90, tblAppleUnits[cv_2027]) + SUMIF(tblAlibabaUnits[Products],$A90, tblAlibabaUnits[cv_2027]) + SUMIF(tblHuaweiUnits[Products],$A90, tblHuaweiUnits[cv_2027]) + SUMIF(tblTencentUnits[Products],$A90, tblTencentUnits[cv_2027]) + SUMIF(tblBaiduUnits[Products],$A90, tblBaiduUnits[cv_2027]) + SUMIF(tblByteDanceUnits[Products],$A90, tblByteDanceUnits[cv_2027]) + SUMIF(tblCloudAOUnits[Products],$A90, tblCloudAOUnits[cv_2027]) + SUMIF(tblTelecomUnits[Products],$A90, tblTelecomUnits[cv_2027]) + SUMIF(tblEnterpriseUnits[Products],$A90, tblEnterpriseUnits[cv_2027])</f>
        <v>0</v>
      </c>
      <c r="L90" s="8">
        <f xml:space="preserve"> SUMIF(tblGoogleUnits[Products],$A90, tblGoogleUnits[cv_2028]) + SUMIF(tblMetaUnits[Products],$A90, tblMetaUnits[cv_2028]) + SUMIF(tblAmazonUnits[Products],$A90, tblAmazonUnits[cv_2028]) + SUMIF(tblMicrosoftUnits[Products],$A90, tblMicrosoftUnits[cv_2028]) + SUMIF(tblAppleUnits[Products],$A90, tblAppleUnits[cv_2028]) + SUMIF(tblAlibabaUnits[Products],$A90, tblAlibabaUnits[cv_2028]) + SUMIF(tblHuaweiUnits[Products],$A90, tblHuaweiUnits[cv_2028]) + SUMIF(tblTencentUnits[Products],$A90, tblTencentUnits[cv_2028]) + SUMIF(tblBaiduUnits[Products],$A90, tblBaiduUnits[cv_2028]) + SUMIF(tblByteDanceUnits[Products],$A90, tblByteDanceUnits[cv_2028]) + SUMIF(tblCloudAOUnits[Products],$A90, tblCloudAOUnits[cv_2028]) + SUMIF(tblTelecomUnits[Products],$A90, tblTelecomUnits[cv_2028]) + SUMIF(tblEnterpriseUnits[Products],$A90, tblEnterpriseUnits[cv_2028])</f>
        <v>0</v>
      </c>
      <c r="M90" s="105" cm="1">
        <f t="array" ref="M90">INDEX(tblPrices[cv_2018], MATCH($A90,tblPrices[Products],0), 0)</f>
        <v>0</v>
      </c>
      <c r="N90" s="105" cm="1">
        <f t="array" ref="N90">INDEX(tblPrices[cv_2019], MATCH($A90,tblPrices[Products],0), 0)</f>
        <v>0</v>
      </c>
      <c r="O90" s="105" cm="1">
        <f t="array" ref="O90">INDEX(tblPrices[cv_2020], MATCH($A90,tblPrices[Products],0), 0)</f>
        <v>0</v>
      </c>
      <c r="P90" s="105" cm="1">
        <f t="array" ref="P90">INDEX(tblPrices[cv_2021], MATCH($A90,tblPrices[Products],0), 0)</f>
        <v>0</v>
      </c>
      <c r="Q90" s="105" cm="1">
        <f t="array" ref="Q90">INDEX(tblPrices[cv_2022], MATCH($A90,tblPrices[Products],0), 0)</f>
        <v>0</v>
      </c>
      <c r="R90" s="105" cm="1">
        <f t="array" ref="R90">INDEX(tblPrices[cv_2023], MATCH($A90,tblPrices[Products],0), 0)</f>
        <v>0</v>
      </c>
      <c r="S90" s="105" cm="1">
        <f t="array" ref="S90">INDEX(tblPrices[cv_2024], MATCH($A90,tblPrices[Products],0), 0)</f>
        <v>0</v>
      </c>
      <c r="T90" s="105" cm="1">
        <f t="array" ref="T90">INDEX(tblPrices[cv_2025], MATCH($A90,tblPrices[Products],0), 0)</f>
        <v>0</v>
      </c>
      <c r="U90" s="105" cm="1">
        <f t="array" ref="U90">INDEX(tblPrices[cv_2026], MATCH($A90,tblPrices[Products],0), 0)</f>
        <v>0</v>
      </c>
      <c r="V90" s="105" cm="1">
        <f t="array" ref="V90">INDEX(tblPrices[cv_2027], MATCH($A90,tblPrices[Products],0), 0)</f>
        <v>0</v>
      </c>
      <c r="W90" s="105" cm="1">
        <f t="array" ref="W90">INDEX(tblPrices[cv_2028], MATCH($A90,tblPrices[Products],0), 0)</f>
        <v>0</v>
      </c>
      <c r="X90" s="106" cm="1">
        <f t="array" ref="X90">INDEX(tblPrices[cv_2018], MATCH($A90,tblPrices[Products],0), 0)* tblForecast[[#This Row],[un_2018]]/10^6</f>
        <v>0</v>
      </c>
      <c r="Y90" s="106" cm="1">
        <f t="array" ref="Y90">INDEX(tblPrices[cv_2019], MATCH($A90,tblPrices[Products],0), 0)* tblForecast[[#This Row],[un_2019]]/10^6</f>
        <v>0</v>
      </c>
      <c r="Z90" s="106" cm="1">
        <f t="array" ref="Z90">INDEX(tblPrices[cv_2020], MATCH($A90,tblPrices[Products],0), 0)* tblForecast[[#This Row],[un_2020]]/10^6</f>
        <v>0</v>
      </c>
      <c r="AA90" s="106" cm="1">
        <f t="array" ref="AA90">INDEX(tblPrices[cv_2021], MATCH($A90,tblPrices[Products],0), 0)* tblForecast[[#This Row],[un_2021]]/10^6</f>
        <v>0</v>
      </c>
      <c r="AB90" s="106" cm="1">
        <f t="array" ref="AB90">INDEX(tblPrices[cv_2022], MATCH($A90,tblPrices[Products],0), 0)* tblForecast[[#This Row],[un_2022]]/10^6</f>
        <v>0</v>
      </c>
      <c r="AC90" s="106" cm="1">
        <f t="array" ref="AC90">INDEX(tblPrices[cv_2023], MATCH($A90,tblPrices[Products],0), 0)* tblForecast[[#This Row],[un_2023]]/10^6</f>
        <v>0</v>
      </c>
      <c r="AD90" s="106" cm="1">
        <f t="array" ref="AD90">INDEX(tblPrices[cv_2024], MATCH($A90,tblPrices[Products],0), 0)* tblForecast[[#This Row],[un_2024]]/10^6</f>
        <v>0</v>
      </c>
      <c r="AE90" s="106" cm="1">
        <f t="array" ref="AE90">INDEX(tblPrices[cv_2025], MATCH($A90,tblPrices[Products],0), 0)* tblForecast[[#This Row],[un_2025]]/10^6</f>
        <v>0</v>
      </c>
      <c r="AF90" s="106" cm="1">
        <f t="array" ref="AF90">INDEX(tblPrices[cv_2026], MATCH($A90,tblPrices[Products],0), 0)* tblForecast[[#This Row],[un_2026]]/10^6</f>
        <v>0</v>
      </c>
      <c r="AG90" s="106" cm="1">
        <f t="array" ref="AG90">INDEX(tblPrices[cv_2027], MATCH($A90,tblPrices[Products],0), 0)* tblForecast[[#This Row],[un_2027]]/10^6</f>
        <v>0</v>
      </c>
      <c r="AH90" s="106" cm="1">
        <f t="array" ref="AH90">INDEX(tblPrices[cv_2028], MATCH($A90,tblPrices[Products],0), 0)* tblForecast[[#This Row],[un_2028]]/10^6</f>
        <v>0</v>
      </c>
      <c r="AI90" s="60">
        <f>VLOOKUP(A90,Products!$A$11:$F$110,6,FALSE)</f>
        <v>800</v>
      </c>
    </row>
    <row r="91" spans="1:35">
      <c r="A91" s="12" t="s">
        <v>14</v>
      </c>
      <c r="B91" s="8">
        <f xml:space="preserve"> SUMIF(tblGoogleUnits[Products],$A91, tblGoogleUnits[cv_2018]) + SUMIF(tblMetaUnits[Products],$A91, tblMetaUnits[cv_2018]) + SUMIF(tblAmazonUnits[Products],$A91, tblAmazonUnits[cv_2018]) + SUMIF(tblMicrosoftUnits[Products],$A91, tblMicrosoftUnits[cv_2018]) + SUMIF(tblAppleUnits[Products],$A91, tblAppleUnits[cv_2018]) + SUMIF(tblAlibabaUnits[Products],$A91, tblAlibabaUnits[cv_2018]) + SUMIF(tblHuaweiUnits[Products],$A91, tblHuaweiUnits[cv_2018]) + SUMIF(tblTencentUnits[Products],$A91, tblTencentUnits[cv_2018]) + SUMIF(tblBaiduUnits[Products],$A91, tblBaiduUnits[cv_2018]) + SUMIF(tblByteDanceUnits[Products],$A91, tblByteDanceUnits[cv_2018]) + SUMIF(tblCloudAOUnits[Products],$A91, tblCloudAOUnits[cv_2018]) + SUMIF(tblTelecomUnits[Products],$A91, tblTelecomUnits[cv_2018]) + SUMIF(tblEnterpriseUnits[Products],$A91, tblEnterpriseUnits[cv_2018])</f>
        <v>0</v>
      </c>
      <c r="C91" s="8">
        <f xml:space="preserve"> SUMIF(tblGoogleUnits[Products],$A91, tblGoogleUnits[cv_2019]) + SUMIF(tblMetaUnits[Products],$A91, tblMetaUnits[cv_2019]) + SUMIF(tblAmazonUnits[Products],$A91, tblAmazonUnits[cv_2019]) + SUMIF(tblMicrosoftUnits[Products],$A91, tblMicrosoftUnits[cv_2019]) + SUMIF(tblAppleUnits[Products],$A91, tblAppleUnits[cv_2019]) + SUMIF(tblAlibabaUnits[Products],$A91, tblAlibabaUnits[cv_2019]) + SUMIF(tblHuaweiUnits[Products],$A91, tblHuaweiUnits[cv_2019]) + SUMIF(tblTencentUnits[Products],$A91, tblTencentUnits[cv_2019]) + SUMIF(tblBaiduUnits[Products],$A91, tblBaiduUnits[cv_2019]) + SUMIF(tblByteDanceUnits[Products],$A91, tblByteDanceUnits[cv_2019]) + SUMIF(tblCloudAOUnits[Products],$A91, tblCloudAOUnits[cv_2019]) + SUMIF(tblTelecomUnits[Products],$A91, tblTelecomUnits[cv_2019]) + SUMIF(tblEnterpriseUnits[Products],$A91, tblEnterpriseUnits[cv_2019])</f>
        <v>0</v>
      </c>
      <c r="D91" s="8">
        <f xml:space="preserve"> SUMIF(tblGoogleUnits[Products],$A91, tblGoogleUnits[cv_2020]) + SUMIF(tblMetaUnits[Products],$A91, tblMetaUnits[cv_2020]) + SUMIF(tblAmazonUnits[Products],$A91, tblAmazonUnits[cv_2020]) + SUMIF(tblMicrosoftUnits[Products],$A91, tblMicrosoftUnits[cv_2020]) + SUMIF(tblAppleUnits[Products],$A91, tblAppleUnits[cv_2020]) + SUMIF(tblAlibabaUnits[Products],$A91, tblAlibabaUnits[cv_2020]) + SUMIF(tblHuaweiUnits[Products],$A91, tblHuaweiUnits[cv_2020]) + SUMIF(tblTencentUnits[Products],$A91, tblTencentUnits[cv_2020]) + SUMIF(tblBaiduUnits[Products],$A91, tblBaiduUnits[cv_2020]) + SUMIF(tblByteDanceUnits[Products],$A91, tblByteDanceUnits[cv_2020]) + SUMIF(tblCloudAOUnits[Products],$A91, tblCloudAOUnits[cv_2020]) + SUMIF(tblTelecomUnits[Products],$A91, tblTelecomUnits[cv_2020]) + SUMIF(tblEnterpriseUnits[Products],$A91, tblEnterpriseUnits[cv_2020])</f>
        <v>0</v>
      </c>
      <c r="E91" s="8">
        <f xml:space="preserve"> SUMIF(tblGoogleUnits[Products],$A91, tblGoogleUnits[cv_2021]) + SUMIF(tblMetaUnits[Products],$A91, tblMetaUnits[cv_2021]) + SUMIF(tblAmazonUnits[Products],$A91, tblAmazonUnits[cv_2021]) + SUMIF(tblMicrosoftUnits[Products],$A91, tblMicrosoftUnits[cv_2021]) + SUMIF(tblAppleUnits[Products],$A91, tblAppleUnits[cv_2021]) + SUMIF(tblAlibabaUnits[Products],$A91, tblAlibabaUnits[cv_2021]) + SUMIF(tblHuaweiUnits[Products],$A91, tblHuaweiUnits[cv_2021]) + SUMIF(tblTencentUnits[Products],$A91, tblTencentUnits[cv_2021]) + SUMIF(tblBaiduUnits[Products],$A91, tblBaiduUnits[cv_2021]) + SUMIF(tblByteDanceUnits[Products],$A91, tblByteDanceUnits[cv_2021]) + SUMIF(tblCloudAOUnits[Products],$A91, tblCloudAOUnits[cv_2021]) + SUMIF(tblTelecomUnits[Products],$A91, tblTelecomUnits[cv_2021]) + SUMIF(tblEnterpriseUnits[Products],$A91, tblEnterpriseUnits[cv_2021])</f>
        <v>0</v>
      </c>
      <c r="F91" s="8">
        <f xml:space="preserve"> SUMIF(tblGoogleUnits[Products],$A91, tblGoogleUnits[cv_2022]) + SUMIF(tblMetaUnits[Products],$A91, tblMetaUnits[cv_2022]) + SUMIF(tblAmazonUnits[Products],$A91, tblAmazonUnits[cv_2022]) + SUMIF(tblMicrosoftUnits[Products],$A91, tblMicrosoftUnits[cv_2022]) + SUMIF(tblAppleUnits[Products],$A91, tblAppleUnits[cv_2022]) + SUMIF(tblAlibabaUnits[Products],$A91, tblAlibabaUnits[cv_2022]) + SUMIF(tblHuaweiUnits[Products],$A91, tblHuaweiUnits[cv_2022]) + SUMIF(tblTencentUnits[Products],$A91, tblTencentUnits[cv_2022]) + SUMIF(tblBaiduUnits[Products],$A91, tblBaiduUnits[cv_2022]) + SUMIF(tblByteDanceUnits[Products],$A91, tblByteDanceUnits[cv_2022]) + SUMIF(tblCloudAOUnits[Products],$A91, tblCloudAOUnits[cv_2022]) + SUMIF(tblTelecomUnits[Products],$A91, tblTelecomUnits[cv_2022]) + SUMIF(tblEnterpriseUnits[Products],$A91, tblEnterpriseUnits[cv_2022])</f>
        <v>0</v>
      </c>
      <c r="G91" s="8">
        <f xml:space="preserve"> SUMIF(tblGoogleUnits[Products],$A91, tblGoogleUnits[cv_2023]) + SUMIF(tblMetaUnits[Products],$A91, tblMetaUnits[cv_2023]) + SUMIF(tblAmazonUnits[Products],$A91, tblAmazonUnits[cv_2023]) + SUMIF(tblMicrosoftUnits[Products],$A91, tblMicrosoftUnits[cv_2023]) + SUMIF(tblAppleUnits[Products],$A91, tblAppleUnits[cv_2023]) + SUMIF(tblAlibabaUnits[Products],$A91, tblAlibabaUnits[cv_2023]) + SUMIF(tblHuaweiUnits[Products],$A91, tblHuaweiUnits[cv_2023]) + SUMIF(tblTencentUnits[Products],$A91, tblTencentUnits[cv_2023]) + SUMIF(tblBaiduUnits[Products],$A91, tblBaiduUnits[cv_2023]) + SUMIF(tblByteDanceUnits[Products],$A91, tblByteDanceUnits[cv_2023]) + SUMIF(tblCloudAOUnits[Products],$A91, tblCloudAOUnits[cv_2023]) + SUMIF(tblTelecomUnits[Products],$A91, tblTelecomUnits[cv_2023]) + SUMIF(tblEnterpriseUnits[Products],$A91, tblEnterpriseUnits[cv_2023])</f>
        <v>0</v>
      </c>
      <c r="H91" s="8">
        <f xml:space="preserve"> SUMIF(tblGoogleUnits[Products],$A91, tblGoogleUnits[cv_2024]) + SUMIF(tblMetaUnits[Products],$A91, tblMetaUnits[cv_2024]) + SUMIF(tblAmazonUnits[Products],$A91, tblAmazonUnits[cv_2024]) + SUMIF(tblMicrosoftUnits[Products],$A91, tblMicrosoftUnits[cv_2024]) + SUMIF(tblAppleUnits[Products],$A91, tblAppleUnits[cv_2024]) + SUMIF(tblAlibabaUnits[Products],$A91, tblAlibabaUnits[cv_2024]) + SUMIF(tblHuaweiUnits[Products],$A91, tblHuaweiUnits[cv_2024]) + SUMIF(tblTencentUnits[Products],$A91, tblTencentUnits[cv_2024]) + SUMIF(tblBaiduUnits[Products],$A91, tblBaiduUnits[cv_2024]) + SUMIF(tblByteDanceUnits[Products],$A91, tblByteDanceUnits[cv_2024]) + SUMIF(tblCloudAOUnits[Products],$A91, tblCloudAOUnits[cv_2024]) + SUMIF(tblTelecomUnits[Products],$A91, tblTelecomUnits[cv_2024]) + SUMIF(tblEnterpriseUnits[Products],$A91, tblEnterpriseUnits[cv_2024])</f>
        <v>0</v>
      </c>
      <c r="I91" s="8">
        <f xml:space="preserve"> SUMIF(tblGoogleUnits[Products],$A91, tblGoogleUnits[cv_2025]) + SUMIF(tblMetaUnits[Products],$A91, tblMetaUnits[cv_2025]) + SUMIF(tblAmazonUnits[Products],$A91, tblAmazonUnits[cv_2025]) + SUMIF(tblMicrosoftUnits[Products],$A91, tblMicrosoftUnits[cv_2025]) + SUMIF(tblAppleUnits[Products],$A91, tblAppleUnits[cv_2025]) + SUMIF(tblAlibabaUnits[Products],$A91, tblAlibabaUnits[cv_2025]) + SUMIF(tblHuaweiUnits[Products],$A91, tblHuaweiUnits[cv_2025]) + SUMIF(tblTencentUnits[Products],$A91, tblTencentUnits[cv_2025]) + SUMIF(tblBaiduUnits[Products],$A91, tblBaiduUnits[cv_2025]) + SUMIF(tblByteDanceUnits[Products],$A91, tblByteDanceUnits[cv_2025]) + SUMIF(tblCloudAOUnits[Products],$A91, tblCloudAOUnits[cv_2025]) + SUMIF(tblTelecomUnits[Products],$A91, tblTelecomUnits[cv_2025]) + SUMIF(tblEnterpriseUnits[Products],$A91, tblEnterpriseUnits[cv_2025])</f>
        <v>0</v>
      </c>
      <c r="J91" s="8">
        <f xml:space="preserve"> SUMIF(tblGoogleUnits[Products],$A91, tblGoogleUnits[cv_2026]) + SUMIF(tblMetaUnits[Products],$A91, tblMetaUnits[cv_2026]) + SUMIF(tblAmazonUnits[Products],$A91, tblAmazonUnits[cv_2026]) + SUMIF(tblMicrosoftUnits[Products],$A91, tblMicrosoftUnits[cv_2026]) + SUMIF(tblAppleUnits[Products],$A91, tblAppleUnits[cv_2026]) + SUMIF(tblAlibabaUnits[Products],$A91, tblAlibabaUnits[cv_2026]) + SUMIF(tblHuaweiUnits[Products],$A91, tblHuaweiUnits[cv_2026]) + SUMIF(tblTencentUnits[Products],$A91, tblTencentUnits[cv_2026]) + SUMIF(tblBaiduUnits[Products],$A91, tblBaiduUnits[cv_2026]) + SUMIF(tblByteDanceUnits[Products],$A91, tblByteDanceUnits[cv_2026]) + SUMIF(tblCloudAOUnits[Products],$A91, tblCloudAOUnits[cv_2026]) + SUMIF(tblTelecomUnits[Products],$A91, tblTelecomUnits[cv_2026]) + SUMIF(tblEnterpriseUnits[Products],$A91, tblEnterpriseUnits[cv_2026])</f>
        <v>0</v>
      </c>
      <c r="K91" s="8">
        <f xml:space="preserve"> SUMIF(tblGoogleUnits[Products],$A91, tblGoogleUnits[cv_2027]) + SUMIF(tblMetaUnits[Products],$A91, tblMetaUnits[cv_2027]) + SUMIF(tblAmazonUnits[Products],$A91, tblAmazonUnits[cv_2027]) + SUMIF(tblMicrosoftUnits[Products],$A91, tblMicrosoftUnits[cv_2027]) + SUMIF(tblAppleUnits[Products],$A91, tblAppleUnits[cv_2027]) + SUMIF(tblAlibabaUnits[Products],$A91, tblAlibabaUnits[cv_2027]) + SUMIF(tblHuaweiUnits[Products],$A91, tblHuaweiUnits[cv_2027]) + SUMIF(tblTencentUnits[Products],$A91, tblTencentUnits[cv_2027]) + SUMIF(tblBaiduUnits[Products],$A91, tblBaiduUnits[cv_2027]) + SUMIF(tblByteDanceUnits[Products],$A91, tblByteDanceUnits[cv_2027]) + SUMIF(tblCloudAOUnits[Products],$A91, tblCloudAOUnits[cv_2027]) + SUMIF(tblTelecomUnits[Products],$A91, tblTelecomUnits[cv_2027]) + SUMIF(tblEnterpriseUnits[Products],$A91, tblEnterpriseUnits[cv_2027])</f>
        <v>0</v>
      </c>
      <c r="L91" s="8">
        <f xml:space="preserve"> SUMIF(tblGoogleUnits[Products],$A91, tblGoogleUnits[cv_2028]) + SUMIF(tblMetaUnits[Products],$A91, tblMetaUnits[cv_2028]) + SUMIF(tblAmazonUnits[Products],$A91, tblAmazonUnits[cv_2028]) + SUMIF(tblMicrosoftUnits[Products],$A91, tblMicrosoftUnits[cv_2028]) + SUMIF(tblAppleUnits[Products],$A91, tblAppleUnits[cv_2028]) + SUMIF(tblAlibabaUnits[Products],$A91, tblAlibabaUnits[cv_2028]) + SUMIF(tblHuaweiUnits[Products],$A91, tblHuaweiUnits[cv_2028]) + SUMIF(tblTencentUnits[Products],$A91, tblTencentUnits[cv_2028]) + SUMIF(tblBaiduUnits[Products],$A91, tblBaiduUnits[cv_2028]) + SUMIF(tblByteDanceUnits[Products],$A91, tblByteDanceUnits[cv_2028]) + SUMIF(tblCloudAOUnits[Products],$A91, tblCloudAOUnits[cv_2028]) + SUMIF(tblTelecomUnits[Products],$A91, tblTelecomUnits[cv_2028]) + SUMIF(tblEnterpriseUnits[Products],$A91, tblEnterpriseUnits[cv_2028])</f>
        <v>0</v>
      </c>
      <c r="M91" s="105" cm="1">
        <f t="array" ref="M91">INDEX(tblPrices[cv_2018], MATCH($A91,tblPrices[Products],0), 0)</f>
        <v>0</v>
      </c>
      <c r="N91" s="105" cm="1">
        <f t="array" ref="N91">INDEX(tblPrices[cv_2019], MATCH($A91,tblPrices[Products],0), 0)</f>
        <v>0</v>
      </c>
      <c r="O91" s="105" cm="1">
        <f t="array" ref="O91">INDEX(tblPrices[cv_2020], MATCH($A91,tblPrices[Products],0), 0)</f>
        <v>0</v>
      </c>
      <c r="P91" s="105" cm="1">
        <f t="array" ref="P91">INDEX(tblPrices[cv_2021], MATCH($A91,tblPrices[Products],0), 0)</f>
        <v>0</v>
      </c>
      <c r="Q91" s="105" cm="1">
        <f t="array" ref="Q91">INDEX(tblPrices[cv_2022], MATCH($A91,tblPrices[Products],0), 0)</f>
        <v>0</v>
      </c>
      <c r="R91" s="105" cm="1">
        <f t="array" ref="R91">INDEX(tblPrices[cv_2023], MATCH($A91,tblPrices[Products],0), 0)</f>
        <v>0</v>
      </c>
      <c r="S91" s="105" cm="1">
        <f t="array" ref="S91">INDEX(tblPrices[cv_2024], MATCH($A91,tblPrices[Products],0), 0)</f>
        <v>0</v>
      </c>
      <c r="T91" s="105" cm="1">
        <f t="array" ref="T91">INDEX(tblPrices[cv_2025], MATCH($A91,tblPrices[Products],0), 0)</f>
        <v>0</v>
      </c>
      <c r="U91" s="105" cm="1">
        <f t="array" ref="U91">INDEX(tblPrices[cv_2026], MATCH($A91,tblPrices[Products],0), 0)</f>
        <v>0</v>
      </c>
      <c r="V91" s="105" cm="1">
        <f t="array" ref="V91">INDEX(tblPrices[cv_2027], MATCH($A91,tblPrices[Products],0), 0)</f>
        <v>0</v>
      </c>
      <c r="W91" s="105" cm="1">
        <f t="array" ref="W91">INDEX(tblPrices[cv_2028], MATCH($A91,tblPrices[Products],0), 0)</f>
        <v>0</v>
      </c>
      <c r="X91" s="106" cm="1">
        <f t="array" ref="X91">INDEX(tblPrices[cv_2018], MATCH($A91,tblPrices[Products],0), 0)* tblForecast[[#This Row],[un_2018]]/10^6</f>
        <v>0</v>
      </c>
      <c r="Y91" s="106" cm="1">
        <f t="array" ref="Y91">INDEX(tblPrices[cv_2019], MATCH($A91,tblPrices[Products],0), 0)* tblForecast[[#This Row],[un_2019]]/10^6</f>
        <v>0</v>
      </c>
      <c r="Z91" s="106" cm="1">
        <f t="array" ref="Z91">INDEX(tblPrices[cv_2020], MATCH($A91,tblPrices[Products],0), 0)* tblForecast[[#This Row],[un_2020]]/10^6</f>
        <v>0</v>
      </c>
      <c r="AA91" s="106" cm="1">
        <f t="array" ref="AA91">INDEX(tblPrices[cv_2021], MATCH($A91,tblPrices[Products],0), 0)* tblForecast[[#This Row],[un_2021]]/10^6</f>
        <v>0</v>
      </c>
      <c r="AB91" s="106" cm="1">
        <f t="array" ref="AB91">INDEX(tblPrices[cv_2022], MATCH($A91,tblPrices[Products],0), 0)* tblForecast[[#This Row],[un_2022]]/10^6</f>
        <v>0</v>
      </c>
      <c r="AC91" s="106" cm="1">
        <f t="array" ref="AC91">INDEX(tblPrices[cv_2023], MATCH($A91,tblPrices[Products],0), 0)* tblForecast[[#This Row],[un_2023]]/10^6</f>
        <v>0</v>
      </c>
      <c r="AD91" s="106" cm="1">
        <f t="array" ref="AD91">INDEX(tblPrices[cv_2024], MATCH($A91,tblPrices[Products],0), 0)* tblForecast[[#This Row],[un_2024]]/10^6</f>
        <v>0</v>
      </c>
      <c r="AE91" s="106" cm="1">
        <f t="array" ref="AE91">INDEX(tblPrices[cv_2025], MATCH($A91,tblPrices[Products],0), 0)* tblForecast[[#This Row],[un_2025]]/10^6</f>
        <v>0</v>
      </c>
      <c r="AF91" s="106" cm="1">
        <f t="array" ref="AF91">INDEX(tblPrices[cv_2026], MATCH($A91,tblPrices[Products],0), 0)* tblForecast[[#This Row],[un_2026]]/10^6</f>
        <v>0</v>
      </c>
      <c r="AG91" s="106" cm="1">
        <f t="array" ref="AG91">INDEX(tblPrices[cv_2027], MATCH($A91,tblPrices[Products],0), 0)* tblForecast[[#This Row],[un_2027]]/10^6</f>
        <v>0</v>
      </c>
      <c r="AH91" s="106" cm="1">
        <f t="array" ref="AH91">INDEX(tblPrices[cv_2028], MATCH($A91,tblPrices[Products],0), 0)* tblForecast[[#This Row],[un_2028]]/10^6</f>
        <v>0</v>
      </c>
      <c r="AI91" s="60">
        <f>VLOOKUP(A91,Products!$A$11:$F$110,6,FALSE)</f>
        <v>800</v>
      </c>
    </row>
    <row r="92" spans="1:35">
      <c r="A92" s="12" t="s">
        <v>15</v>
      </c>
      <c r="B92" s="8">
        <f xml:space="preserve"> SUMIF(tblGoogleUnits[Products],$A92, tblGoogleUnits[cv_2018]) + SUMIF(tblMetaUnits[Products],$A92, tblMetaUnits[cv_2018]) + SUMIF(tblAmazonUnits[Products],$A92, tblAmazonUnits[cv_2018]) + SUMIF(tblMicrosoftUnits[Products],$A92, tblMicrosoftUnits[cv_2018]) + SUMIF(tblAppleUnits[Products],$A92, tblAppleUnits[cv_2018]) + SUMIF(tblAlibabaUnits[Products],$A92, tblAlibabaUnits[cv_2018]) + SUMIF(tblHuaweiUnits[Products],$A92, tblHuaweiUnits[cv_2018]) + SUMIF(tblTencentUnits[Products],$A92, tblTencentUnits[cv_2018]) + SUMIF(tblBaiduUnits[Products],$A92, tblBaiduUnits[cv_2018]) + SUMIF(tblByteDanceUnits[Products],$A92, tblByteDanceUnits[cv_2018]) + SUMIF(tblCloudAOUnits[Products],$A92, tblCloudAOUnits[cv_2018]) + SUMIF(tblTelecomUnits[Products],$A92, tblTelecomUnits[cv_2018]) + SUMIF(tblEnterpriseUnits[Products],$A92, tblEnterpriseUnits[cv_2018])</f>
        <v>0</v>
      </c>
      <c r="C92" s="8">
        <f xml:space="preserve"> SUMIF(tblGoogleUnits[Products],$A92, tblGoogleUnits[cv_2019]) + SUMIF(tblMetaUnits[Products],$A92, tblMetaUnits[cv_2019]) + SUMIF(tblAmazonUnits[Products],$A92, tblAmazonUnits[cv_2019]) + SUMIF(tblMicrosoftUnits[Products],$A92, tblMicrosoftUnits[cv_2019]) + SUMIF(tblAppleUnits[Products],$A92, tblAppleUnits[cv_2019]) + SUMIF(tblAlibabaUnits[Products],$A92, tblAlibabaUnits[cv_2019]) + SUMIF(tblHuaweiUnits[Products],$A92, tblHuaweiUnits[cv_2019]) + SUMIF(tblTencentUnits[Products],$A92, tblTencentUnits[cv_2019]) + SUMIF(tblBaiduUnits[Products],$A92, tblBaiduUnits[cv_2019]) + SUMIF(tblByteDanceUnits[Products],$A92, tblByteDanceUnits[cv_2019]) + SUMIF(tblCloudAOUnits[Products],$A92, tblCloudAOUnits[cv_2019]) + SUMIF(tblTelecomUnits[Products],$A92, tblTelecomUnits[cv_2019]) + SUMIF(tblEnterpriseUnits[Products],$A92, tblEnterpriseUnits[cv_2019])</f>
        <v>0</v>
      </c>
      <c r="D92" s="8">
        <f xml:space="preserve"> SUMIF(tblGoogleUnits[Products],$A92, tblGoogleUnits[cv_2020]) + SUMIF(tblMetaUnits[Products],$A92, tblMetaUnits[cv_2020]) + SUMIF(tblAmazonUnits[Products],$A92, tblAmazonUnits[cv_2020]) + SUMIF(tblMicrosoftUnits[Products],$A92, tblMicrosoftUnits[cv_2020]) + SUMIF(tblAppleUnits[Products],$A92, tblAppleUnits[cv_2020]) + SUMIF(tblAlibabaUnits[Products],$A92, tblAlibabaUnits[cv_2020]) + SUMIF(tblHuaweiUnits[Products],$A92, tblHuaweiUnits[cv_2020]) + SUMIF(tblTencentUnits[Products],$A92, tblTencentUnits[cv_2020]) + SUMIF(tblBaiduUnits[Products],$A92, tblBaiduUnits[cv_2020]) + SUMIF(tblByteDanceUnits[Products],$A92, tblByteDanceUnits[cv_2020]) + SUMIF(tblCloudAOUnits[Products],$A92, tblCloudAOUnits[cv_2020]) + SUMIF(tblTelecomUnits[Products],$A92, tblTelecomUnits[cv_2020]) + SUMIF(tblEnterpriseUnits[Products],$A92, tblEnterpriseUnits[cv_2020])</f>
        <v>0</v>
      </c>
      <c r="E92" s="8">
        <f xml:space="preserve"> SUMIF(tblGoogleUnits[Products],$A92, tblGoogleUnits[cv_2021]) + SUMIF(tblMetaUnits[Products],$A92, tblMetaUnits[cv_2021]) + SUMIF(tblAmazonUnits[Products],$A92, tblAmazonUnits[cv_2021]) + SUMIF(tblMicrosoftUnits[Products],$A92, tblMicrosoftUnits[cv_2021]) + SUMIF(tblAppleUnits[Products],$A92, tblAppleUnits[cv_2021]) + SUMIF(tblAlibabaUnits[Products],$A92, tblAlibabaUnits[cv_2021]) + SUMIF(tblHuaweiUnits[Products],$A92, tblHuaweiUnits[cv_2021]) + SUMIF(tblTencentUnits[Products],$A92, tblTencentUnits[cv_2021]) + SUMIF(tblBaiduUnits[Products],$A92, tblBaiduUnits[cv_2021]) + SUMIF(tblByteDanceUnits[Products],$A92, tblByteDanceUnits[cv_2021]) + SUMIF(tblCloudAOUnits[Products],$A92, tblCloudAOUnits[cv_2021]) + SUMIF(tblTelecomUnits[Products],$A92, tblTelecomUnits[cv_2021]) + SUMIF(tblEnterpriseUnits[Products],$A92, tblEnterpriseUnits[cv_2021])</f>
        <v>0</v>
      </c>
      <c r="F92" s="8">
        <f xml:space="preserve"> SUMIF(tblGoogleUnits[Products],$A92, tblGoogleUnits[cv_2022]) + SUMIF(tblMetaUnits[Products],$A92, tblMetaUnits[cv_2022]) + SUMIF(tblAmazonUnits[Products],$A92, tblAmazonUnits[cv_2022]) + SUMIF(tblMicrosoftUnits[Products],$A92, tblMicrosoftUnits[cv_2022]) + SUMIF(tblAppleUnits[Products],$A92, tblAppleUnits[cv_2022]) + SUMIF(tblAlibabaUnits[Products],$A92, tblAlibabaUnits[cv_2022]) + SUMIF(tblHuaweiUnits[Products],$A92, tblHuaweiUnits[cv_2022]) + SUMIF(tblTencentUnits[Products],$A92, tblTencentUnits[cv_2022]) + SUMIF(tblBaiduUnits[Products],$A92, tblBaiduUnits[cv_2022]) + SUMIF(tblByteDanceUnits[Products],$A92, tblByteDanceUnits[cv_2022]) + SUMIF(tblCloudAOUnits[Products],$A92, tblCloudAOUnits[cv_2022]) + SUMIF(tblTelecomUnits[Products],$A92, tblTelecomUnits[cv_2022]) + SUMIF(tblEnterpriseUnits[Products],$A92, tblEnterpriseUnits[cv_2022])</f>
        <v>0</v>
      </c>
      <c r="G92" s="8">
        <f xml:space="preserve"> SUMIF(tblGoogleUnits[Products],$A92, tblGoogleUnits[cv_2023]) + SUMIF(tblMetaUnits[Products],$A92, tblMetaUnits[cv_2023]) + SUMIF(tblAmazonUnits[Products],$A92, tblAmazonUnits[cv_2023]) + SUMIF(tblMicrosoftUnits[Products],$A92, tblMicrosoftUnits[cv_2023]) + SUMIF(tblAppleUnits[Products],$A92, tblAppleUnits[cv_2023]) + SUMIF(tblAlibabaUnits[Products],$A92, tblAlibabaUnits[cv_2023]) + SUMIF(tblHuaweiUnits[Products],$A92, tblHuaweiUnits[cv_2023]) + SUMIF(tblTencentUnits[Products],$A92, tblTencentUnits[cv_2023]) + SUMIF(tblBaiduUnits[Products],$A92, tblBaiduUnits[cv_2023]) + SUMIF(tblByteDanceUnits[Products],$A92, tblByteDanceUnits[cv_2023]) + SUMIF(tblCloudAOUnits[Products],$A92, tblCloudAOUnits[cv_2023]) + SUMIF(tblTelecomUnits[Products],$A92, tblTelecomUnits[cv_2023]) + SUMIF(tblEnterpriseUnits[Products],$A92, tblEnterpriseUnits[cv_2023])</f>
        <v>0</v>
      </c>
      <c r="H92" s="8">
        <f xml:space="preserve"> SUMIF(tblGoogleUnits[Products],$A92, tblGoogleUnits[cv_2024]) + SUMIF(tblMetaUnits[Products],$A92, tblMetaUnits[cv_2024]) + SUMIF(tblAmazonUnits[Products],$A92, tblAmazonUnits[cv_2024]) + SUMIF(tblMicrosoftUnits[Products],$A92, tblMicrosoftUnits[cv_2024]) + SUMIF(tblAppleUnits[Products],$A92, tblAppleUnits[cv_2024]) + SUMIF(tblAlibabaUnits[Products],$A92, tblAlibabaUnits[cv_2024]) + SUMIF(tblHuaweiUnits[Products],$A92, tblHuaweiUnits[cv_2024]) + SUMIF(tblTencentUnits[Products],$A92, tblTencentUnits[cv_2024]) + SUMIF(tblBaiduUnits[Products],$A92, tblBaiduUnits[cv_2024]) + SUMIF(tblByteDanceUnits[Products],$A92, tblByteDanceUnits[cv_2024]) + SUMIF(tblCloudAOUnits[Products],$A92, tblCloudAOUnits[cv_2024]) + SUMIF(tblTelecomUnits[Products],$A92, tblTelecomUnits[cv_2024]) + SUMIF(tblEnterpriseUnits[Products],$A92, tblEnterpriseUnits[cv_2024])</f>
        <v>0</v>
      </c>
      <c r="I92" s="8">
        <f xml:space="preserve"> SUMIF(tblGoogleUnits[Products],$A92, tblGoogleUnits[cv_2025]) + SUMIF(tblMetaUnits[Products],$A92, tblMetaUnits[cv_2025]) + SUMIF(tblAmazonUnits[Products],$A92, tblAmazonUnits[cv_2025]) + SUMIF(tblMicrosoftUnits[Products],$A92, tblMicrosoftUnits[cv_2025]) + SUMIF(tblAppleUnits[Products],$A92, tblAppleUnits[cv_2025]) + SUMIF(tblAlibabaUnits[Products],$A92, tblAlibabaUnits[cv_2025]) + SUMIF(tblHuaweiUnits[Products],$A92, tblHuaweiUnits[cv_2025]) + SUMIF(tblTencentUnits[Products],$A92, tblTencentUnits[cv_2025]) + SUMIF(tblBaiduUnits[Products],$A92, tblBaiduUnits[cv_2025]) + SUMIF(tblByteDanceUnits[Products],$A92, tblByteDanceUnits[cv_2025]) + SUMIF(tblCloudAOUnits[Products],$A92, tblCloudAOUnits[cv_2025]) + SUMIF(tblTelecomUnits[Products],$A92, tblTelecomUnits[cv_2025]) + SUMIF(tblEnterpriseUnits[Products],$A92, tblEnterpriseUnits[cv_2025])</f>
        <v>0</v>
      </c>
      <c r="J92" s="8">
        <f xml:space="preserve"> SUMIF(tblGoogleUnits[Products],$A92, tblGoogleUnits[cv_2026]) + SUMIF(tblMetaUnits[Products],$A92, tblMetaUnits[cv_2026]) + SUMIF(tblAmazonUnits[Products],$A92, tblAmazonUnits[cv_2026]) + SUMIF(tblMicrosoftUnits[Products],$A92, tblMicrosoftUnits[cv_2026]) + SUMIF(tblAppleUnits[Products],$A92, tblAppleUnits[cv_2026]) + SUMIF(tblAlibabaUnits[Products],$A92, tblAlibabaUnits[cv_2026]) + SUMIF(tblHuaweiUnits[Products],$A92, tblHuaweiUnits[cv_2026]) + SUMIF(tblTencentUnits[Products],$A92, tblTencentUnits[cv_2026]) + SUMIF(tblBaiduUnits[Products],$A92, tblBaiduUnits[cv_2026]) + SUMIF(tblByteDanceUnits[Products],$A92, tblByteDanceUnits[cv_2026]) + SUMIF(tblCloudAOUnits[Products],$A92, tblCloudAOUnits[cv_2026]) + SUMIF(tblTelecomUnits[Products],$A92, tblTelecomUnits[cv_2026]) + SUMIF(tblEnterpriseUnits[Products],$A92, tblEnterpriseUnits[cv_2026])</f>
        <v>0</v>
      </c>
      <c r="K92" s="8">
        <f xml:space="preserve"> SUMIF(tblGoogleUnits[Products],$A92, tblGoogleUnits[cv_2027]) + SUMIF(tblMetaUnits[Products],$A92, tblMetaUnits[cv_2027]) + SUMIF(tblAmazonUnits[Products],$A92, tblAmazonUnits[cv_2027]) + SUMIF(tblMicrosoftUnits[Products],$A92, tblMicrosoftUnits[cv_2027]) + SUMIF(tblAppleUnits[Products],$A92, tblAppleUnits[cv_2027]) + SUMIF(tblAlibabaUnits[Products],$A92, tblAlibabaUnits[cv_2027]) + SUMIF(tblHuaweiUnits[Products],$A92, tblHuaweiUnits[cv_2027]) + SUMIF(tblTencentUnits[Products],$A92, tblTencentUnits[cv_2027]) + SUMIF(tblBaiduUnits[Products],$A92, tblBaiduUnits[cv_2027]) + SUMIF(tblByteDanceUnits[Products],$A92, tblByteDanceUnits[cv_2027]) + SUMIF(tblCloudAOUnits[Products],$A92, tblCloudAOUnits[cv_2027]) + SUMIF(tblTelecomUnits[Products],$A92, tblTelecomUnits[cv_2027]) + SUMIF(tblEnterpriseUnits[Products],$A92, tblEnterpriseUnits[cv_2027])</f>
        <v>0</v>
      </c>
      <c r="L92" s="8">
        <f xml:space="preserve"> SUMIF(tblGoogleUnits[Products],$A92, tblGoogleUnits[cv_2028]) + SUMIF(tblMetaUnits[Products],$A92, tblMetaUnits[cv_2028]) + SUMIF(tblAmazonUnits[Products],$A92, tblAmazonUnits[cv_2028]) + SUMIF(tblMicrosoftUnits[Products],$A92, tblMicrosoftUnits[cv_2028]) + SUMIF(tblAppleUnits[Products],$A92, tblAppleUnits[cv_2028]) + SUMIF(tblAlibabaUnits[Products],$A92, tblAlibabaUnits[cv_2028]) + SUMIF(tblHuaweiUnits[Products],$A92, tblHuaweiUnits[cv_2028]) + SUMIF(tblTencentUnits[Products],$A92, tblTencentUnits[cv_2028]) + SUMIF(tblBaiduUnits[Products],$A92, tblBaiduUnits[cv_2028]) + SUMIF(tblByteDanceUnits[Products],$A92, tblByteDanceUnits[cv_2028]) + SUMIF(tblCloudAOUnits[Products],$A92, tblCloudAOUnits[cv_2028]) + SUMIF(tblTelecomUnits[Products],$A92, tblTelecomUnits[cv_2028]) + SUMIF(tblEnterpriseUnits[Products],$A92, tblEnterpriseUnits[cv_2028])</f>
        <v>0</v>
      </c>
      <c r="M92" s="105" cm="1">
        <f t="array" ref="M92">INDEX(tblPrices[cv_2018], MATCH($A92,tblPrices[Products],0), 0)</f>
        <v>0</v>
      </c>
      <c r="N92" s="105" cm="1">
        <f t="array" ref="N92">INDEX(tblPrices[cv_2019], MATCH($A92,tblPrices[Products],0), 0)</f>
        <v>0</v>
      </c>
      <c r="O92" s="105" cm="1">
        <f t="array" ref="O92">INDEX(tblPrices[cv_2020], MATCH($A92,tblPrices[Products],0), 0)</f>
        <v>0</v>
      </c>
      <c r="P92" s="105" cm="1">
        <f t="array" ref="P92">INDEX(tblPrices[cv_2021], MATCH($A92,tblPrices[Products],0), 0)</f>
        <v>0</v>
      </c>
      <c r="Q92" s="105" cm="1">
        <f t="array" ref="Q92">INDEX(tblPrices[cv_2022], MATCH($A92,tblPrices[Products],0), 0)</f>
        <v>0</v>
      </c>
      <c r="R92" s="105" cm="1">
        <f t="array" ref="R92">INDEX(tblPrices[cv_2023], MATCH($A92,tblPrices[Products],0), 0)</f>
        <v>0</v>
      </c>
      <c r="S92" s="105" cm="1">
        <f t="array" ref="S92">INDEX(tblPrices[cv_2024], MATCH($A92,tblPrices[Products],0), 0)</f>
        <v>0</v>
      </c>
      <c r="T92" s="105" cm="1">
        <f t="array" ref="T92">INDEX(tblPrices[cv_2025], MATCH($A92,tblPrices[Products],0), 0)</f>
        <v>0</v>
      </c>
      <c r="U92" s="105" cm="1">
        <f t="array" ref="U92">INDEX(tblPrices[cv_2026], MATCH($A92,tblPrices[Products],0), 0)</f>
        <v>0</v>
      </c>
      <c r="V92" s="105" cm="1">
        <f t="array" ref="V92">INDEX(tblPrices[cv_2027], MATCH($A92,tblPrices[Products],0), 0)</f>
        <v>0</v>
      </c>
      <c r="W92" s="105" cm="1">
        <f t="array" ref="W92">INDEX(tblPrices[cv_2028], MATCH($A92,tblPrices[Products],0), 0)</f>
        <v>0</v>
      </c>
      <c r="X92" s="106" cm="1">
        <f t="array" ref="X92">INDEX(tblPrices[cv_2018], MATCH($A92,tblPrices[Products],0), 0)* tblForecast[[#This Row],[un_2018]]/10^6</f>
        <v>0</v>
      </c>
      <c r="Y92" s="106" cm="1">
        <f t="array" ref="Y92">INDEX(tblPrices[cv_2019], MATCH($A92,tblPrices[Products],0), 0)* tblForecast[[#This Row],[un_2019]]/10^6</f>
        <v>0</v>
      </c>
      <c r="Z92" s="106" cm="1">
        <f t="array" ref="Z92">INDEX(tblPrices[cv_2020], MATCH($A92,tblPrices[Products],0), 0)* tblForecast[[#This Row],[un_2020]]/10^6</f>
        <v>0</v>
      </c>
      <c r="AA92" s="106" cm="1">
        <f t="array" ref="AA92">INDEX(tblPrices[cv_2021], MATCH($A92,tblPrices[Products],0), 0)* tblForecast[[#This Row],[un_2021]]/10^6</f>
        <v>0</v>
      </c>
      <c r="AB92" s="106" cm="1">
        <f t="array" ref="AB92">INDEX(tblPrices[cv_2022], MATCH($A92,tblPrices[Products],0), 0)* tblForecast[[#This Row],[un_2022]]/10^6</f>
        <v>0</v>
      </c>
      <c r="AC92" s="106" cm="1">
        <f t="array" ref="AC92">INDEX(tblPrices[cv_2023], MATCH($A92,tblPrices[Products],0), 0)* tblForecast[[#This Row],[un_2023]]/10^6</f>
        <v>0</v>
      </c>
      <c r="AD92" s="106" cm="1">
        <f t="array" ref="AD92">INDEX(tblPrices[cv_2024], MATCH($A92,tblPrices[Products],0), 0)* tblForecast[[#This Row],[un_2024]]/10^6</f>
        <v>0</v>
      </c>
      <c r="AE92" s="106" cm="1">
        <f t="array" ref="AE92">INDEX(tblPrices[cv_2025], MATCH($A92,tblPrices[Products],0), 0)* tblForecast[[#This Row],[un_2025]]/10^6</f>
        <v>0</v>
      </c>
      <c r="AF92" s="106" cm="1">
        <f t="array" ref="AF92">INDEX(tblPrices[cv_2026], MATCH($A92,tblPrices[Products],0), 0)* tblForecast[[#This Row],[un_2026]]/10^6</f>
        <v>0</v>
      </c>
      <c r="AG92" s="106" cm="1">
        <f t="array" ref="AG92">INDEX(tblPrices[cv_2027], MATCH($A92,tblPrices[Products],0), 0)* tblForecast[[#This Row],[un_2027]]/10^6</f>
        <v>0</v>
      </c>
      <c r="AH92" s="106" cm="1">
        <f t="array" ref="AH92">INDEX(tblPrices[cv_2028], MATCH($A92,tblPrices[Products],0), 0)* tblForecast[[#This Row],[un_2028]]/10^6</f>
        <v>0</v>
      </c>
      <c r="AI92" s="60">
        <f>VLOOKUP(A92,Products!$A$11:$F$110,6,FALSE)</f>
        <v>800</v>
      </c>
    </row>
    <row r="93" spans="1:35">
      <c r="A93" s="12" t="s">
        <v>16</v>
      </c>
      <c r="B93" s="8">
        <f xml:space="preserve"> SUMIF(tblGoogleUnits[Products],$A93, tblGoogleUnits[cv_2018]) + SUMIF(tblMetaUnits[Products],$A93, tblMetaUnits[cv_2018]) + SUMIF(tblAmazonUnits[Products],$A93, tblAmazonUnits[cv_2018]) + SUMIF(tblMicrosoftUnits[Products],$A93, tblMicrosoftUnits[cv_2018]) + SUMIF(tblAppleUnits[Products],$A93, tblAppleUnits[cv_2018]) + SUMIF(tblAlibabaUnits[Products],$A93, tblAlibabaUnits[cv_2018]) + SUMIF(tblHuaweiUnits[Products],$A93, tblHuaweiUnits[cv_2018]) + SUMIF(tblTencentUnits[Products],$A93, tblTencentUnits[cv_2018]) + SUMIF(tblBaiduUnits[Products],$A93, tblBaiduUnits[cv_2018]) + SUMIF(tblByteDanceUnits[Products],$A93, tblByteDanceUnits[cv_2018]) + SUMIF(tblCloudAOUnits[Products],$A93, tblCloudAOUnits[cv_2018]) + SUMIF(tblTelecomUnits[Products],$A93, tblTelecomUnits[cv_2018]) + SUMIF(tblEnterpriseUnits[Products],$A93, tblEnterpriseUnits[cv_2018])</f>
        <v>0</v>
      </c>
      <c r="C93" s="8">
        <f xml:space="preserve"> SUMIF(tblGoogleUnits[Products],$A93, tblGoogleUnits[cv_2019]) + SUMIF(tblMetaUnits[Products],$A93, tblMetaUnits[cv_2019]) + SUMIF(tblAmazonUnits[Products],$A93, tblAmazonUnits[cv_2019]) + SUMIF(tblMicrosoftUnits[Products],$A93, tblMicrosoftUnits[cv_2019]) + SUMIF(tblAppleUnits[Products],$A93, tblAppleUnits[cv_2019]) + SUMIF(tblAlibabaUnits[Products],$A93, tblAlibabaUnits[cv_2019]) + SUMIF(tblHuaweiUnits[Products],$A93, tblHuaweiUnits[cv_2019]) + SUMIF(tblTencentUnits[Products],$A93, tblTencentUnits[cv_2019]) + SUMIF(tblBaiduUnits[Products],$A93, tblBaiduUnits[cv_2019]) + SUMIF(tblByteDanceUnits[Products],$A93, tblByteDanceUnits[cv_2019]) + SUMIF(tblCloudAOUnits[Products],$A93, tblCloudAOUnits[cv_2019]) + SUMIF(tblTelecomUnits[Products],$A93, tblTelecomUnits[cv_2019]) + SUMIF(tblEnterpriseUnits[Products],$A93, tblEnterpriseUnits[cv_2019])</f>
        <v>0</v>
      </c>
      <c r="D93" s="8">
        <f xml:space="preserve"> SUMIF(tblGoogleUnits[Products],$A93, tblGoogleUnits[cv_2020]) + SUMIF(tblMetaUnits[Products],$A93, tblMetaUnits[cv_2020]) + SUMIF(tblAmazonUnits[Products],$A93, tblAmazonUnits[cv_2020]) + SUMIF(tblMicrosoftUnits[Products],$A93, tblMicrosoftUnits[cv_2020]) + SUMIF(tblAppleUnits[Products],$A93, tblAppleUnits[cv_2020]) + SUMIF(tblAlibabaUnits[Products],$A93, tblAlibabaUnits[cv_2020]) + SUMIF(tblHuaweiUnits[Products],$A93, tblHuaweiUnits[cv_2020]) + SUMIF(tblTencentUnits[Products],$A93, tblTencentUnits[cv_2020]) + SUMIF(tblBaiduUnits[Products],$A93, tblBaiduUnits[cv_2020]) + SUMIF(tblByteDanceUnits[Products],$A93, tblByteDanceUnits[cv_2020]) + SUMIF(tblCloudAOUnits[Products],$A93, tblCloudAOUnits[cv_2020]) + SUMIF(tblTelecomUnits[Products],$A93, tblTelecomUnits[cv_2020]) + SUMIF(tblEnterpriseUnits[Products],$A93, tblEnterpriseUnits[cv_2020])</f>
        <v>0</v>
      </c>
      <c r="E93" s="8">
        <f xml:space="preserve"> SUMIF(tblGoogleUnits[Products],$A93, tblGoogleUnits[cv_2021]) + SUMIF(tblMetaUnits[Products],$A93, tblMetaUnits[cv_2021]) + SUMIF(tblAmazonUnits[Products],$A93, tblAmazonUnits[cv_2021]) + SUMIF(tblMicrosoftUnits[Products],$A93, tblMicrosoftUnits[cv_2021]) + SUMIF(tblAppleUnits[Products],$A93, tblAppleUnits[cv_2021]) + SUMIF(tblAlibabaUnits[Products],$A93, tblAlibabaUnits[cv_2021]) + SUMIF(tblHuaweiUnits[Products],$A93, tblHuaweiUnits[cv_2021]) + SUMIF(tblTencentUnits[Products],$A93, tblTencentUnits[cv_2021]) + SUMIF(tblBaiduUnits[Products],$A93, tblBaiduUnits[cv_2021]) + SUMIF(tblByteDanceUnits[Products],$A93, tblByteDanceUnits[cv_2021]) + SUMIF(tblCloudAOUnits[Products],$A93, tblCloudAOUnits[cv_2021]) + SUMIF(tblTelecomUnits[Products],$A93, tblTelecomUnits[cv_2021]) + SUMIF(tblEnterpriseUnits[Products],$A93, tblEnterpriseUnits[cv_2021])</f>
        <v>0</v>
      </c>
      <c r="F93" s="8">
        <f xml:space="preserve"> SUMIF(tblGoogleUnits[Products],$A93, tblGoogleUnits[cv_2022]) + SUMIF(tblMetaUnits[Products],$A93, tblMetaUnits[cv_2022]) + SUMIF(tblAmazonUnits[Products],$A93, tblAmazonUnits[cv_2022]) + SUMIF(tblMicrosoftUnits[Products],$A93, tblMicrosoftUnits[cv_2022]) + SUMIF(tblAppleUnits[Products],$A93, tblAppleUnits[cv_2022]) + SUMIF(tblAlibabaUnits[Products],$A93, tblAlibabaUnits[cv_2022]) + SUMIF(tblHuaweiUnits[Products],$A93, tblHuaweiUnits[cv_2022]) + SUMIF(tblTencentUnits[Products],$A93, tblTencentUnits[cv_2022]) + SUMIF(tblBaiduUnits[Products],$A93, tblBaiduUnits[cv_2022]) + SUMIF(tblByteDanceUnits[Products],$A93, tblByteDanceUnits[cv_2022]) + SUMIF(tblCloudAOUnits[Products],$A93, tblCloudAOUnits[cv_2022]) + SUMIF(tblTelecomUnits[Products],$A93, tblTelecomUnits[cv_2022]) + SUMIF(tblEnterpriseUnits[Products],$A93, tblEnterpriseUnits[cv_2022])</f>
        <v>0</v>
      </c>
      <c r="G93" s="8">
        <f xml:space="preserve"> SUMIF(tblGoogleUnits[Products],$A93, tblGoogleUnits[cv_2023]) + SUMIF(tblMetaUnits[Products],$A93, tblMetaUnits[cv_2023]) + SUMIF(tblAmazonUnits[Products],$A93, tblAmazonUnits[cv_2023]) + SUMIF(tblMicrosoftUnits[Products],$A93, tblMicrosoftUnits[cv_2023]) + SUMIF(tblAppleUnits[Products],$A93, tblAppleUnits[cv_2023]) + SUMIF(tblAlibabaUnits[Products],$A93, tblAlibabaUnits[cv_2023]) + SUMIF(tblHuaweiUnits[Products],$A93, tblHuaweiUnits[cv_2023]) + SUMIF(tblTencentUnits[Products],$A93, tblTencentUnits[cv_2023]) + SUMIF(tblBaiduUnits[Products],$A93, tblBaiduUnits[cv_2023]) + SUMIF(tblByteDanceUnits[Products],$A93, tblByteDanceUnits[cv_2023]) + SUMIF(tblCloudAOUnits[Products],$A93, tblCloudAOUnits[cv_2023]) + SUMIF(tblTelecomUnits[Products],$A93, tblTelecomUnits[cv_2023]) + SUMIF(tblEnterpriseUnits[Products],$A93, tblEnterpriseUnits[cv_2023])</f>
        <v>0</v>
      </c>
      <c r="H93" s="8">
        <f xml:space="preserve"> SUMIF(tblGoogleUnits[Products],$A93, tblGoogleUnits[cv_2024]) + SUMIF(tblMetaUnits[Products],$A93, tblMetaUnits[cv_2024]) + SUMIF(tblAmazonUnits[Products],$A93, tblAmazonUnits[cv_2024]) + SUMIF(tblMicrosoftUnits[Products],$A93, tblMicrosoftUnits[cv_2024]) + SUMIF(tblAppleUnits[Products],$A93, tblAppleUnits[cv_2024]) + SUMIF(tblAlibabaUnits[Products],$A93, tblAlibabaUnits[cv_2024]) + SUMIF(tblHuaweiUnits[Products],$A93, tblHuaweiUnits[cv_2024]) + SUMIF(tblTencentUnits[Products],$A93, tblTencentUnits[cv_2024]) + SUMIF(tblBaiduUnits[Products],$A93, tblBaiduUnits[cv_2024]) + SUMIF(tblByteDanceUnits[Products],$A93, tblByteDanceUnits[cv_2024]) + SUMIF(tblCloudAOUnits[Products],$A93, tblCloudAOUnits[cv_2024]) + SUMIF(tblTelecomUnits[Products],$A93, tblTelecomUnits[cv_2024]) + SUMIF(tblEnterpriseUnits[Products],$A93, tblEnterpriseUnits[cv_2024])</f>
        <v>0</v>
      </c>
      <c r="I93" s="8">
        <f xml:space="preserve"> SUMIF(tblGoogleUnits[Products],$A93, tblGoogleUnits[cv_2025]) + SUMIF(tblMetaUnits[Products],$A93, tblMetaUnits[cv_2025]) + SUMIF(tblAmazonUnits[Products],$A93, tblAmazonUnits[cv_2025]) + SUMIF(tblMicrosoftUnits[Products],$A93, tblMicrosoftUnits[cv_2025]) + SUMIF(tblAppleUnits[Products],$A93, tblAppleUnits[cv_2025]) + SUMIF(tblAlibabaUnits[Products],$A93, tblAlibabaUnits[cv_2025]) + SUMIF(tblHuaweiUnits[Products],$A93, tblHuaweiUnits[cv_2025]) + SUMIF(tblTencentUnits[Products],$A93, tblTencentUnits[cv_2025]) + SUMIF(tblBaiduUnits[Products],$A93, tblBaiduUnits[cv_2025]) + SUMIF(tblByteDanceUnits[Products],$A93, tblByteDanceUnits[cv_2025]) + SUMIF(tblCloudAOUnits[Products],$A93, tblCloudAOUnits[cv_2025]) + SUMIF(tblTelecomUnits[Products],$A93, tblTelecomUnits[cv_2025]) + SUMIF(tblEnterpriseUnits[Products],$A93, tblEnterpriseUnits[cv_2025])</f>
        <v>0</v>
      </c>
      <c r="J93" s="8">
        <f xml:space="preserve"> SUMIF(tblGoogleUnits[Products],$A93, tblGoogleUnits[cv_2026]) + SUMIF(tblMetaUnits[Products],$A93, tblMetaUnits[cv_2026]) + SUMIF(tblAmazonUnits[Products],$A93, tblAmazonUnits[cv_2026]) + SUMIF(tblMicrosoftUnits[Products],$A93, tblMicrosoftUnits[cv_2026]) + SUMIF(tblAppleUnits[Products],$A93, tblAppleUnits[cv_2026]) + SUMIF(tblAlibabaUnits[Products],$A93, tblAlibabaUnits[cv_2026]) + SUMIF(tblHuaweiUnits[Products],$A93, tblHuaweiUnits[cv_2026]) + SUMIF(tblTencentUnits[Products],$A93, tblTencentUnits[cv_2026]) + SUMIF(tblBaiduUnits[Products],$A93, tblBaiduUnits[cv_2026]) + SUMIF(tblByteDanceUnits[Products],$A93, tblByteDanceUnits[cv_2026]) + SUMIF(tblCloudAOUnits[Products],$A93, tblCloudAOUnits[cv_2026]) + SUMIF(tblTelecomUnits[Products],$A93, tblTelecomUnits[cv_2026]) + SUMIF(tblEnterpriseUnits[Products],$A93, tblEnterpriseUnits[cv_2026])</f>
        <v>0</v>
      </c>
      <c r="K93" s="8">
        <f xml:space="preserve"> SUMIF(tblGoogleUnits[Products],$A93, tblGoogleUnits[cv_2027]) + SUMIF(tblMetaUnits[Products],$A93, tblMetaUnits[cv_2027]) + SUMIF(tblAmazonUnits[Products],$A93, tblAmazonUnits[cv_2027]) + SUMIF(tblMicrosoftUnits[Products],$A93, tblMicrosoftUnits[cv_2027]) + SUMIF(tblAppleUnits[Products],$A93, tblAppleUnits[cv_2027]) + SUMIF(tblAlibabaUnits[Products],$A93, tblAlibabaUnits[cv_2027]) + SUMIF(tblHuaweiUnits[Products],$A93, tblHuaweiUnits[cv_2027]) + SUMIF(tblTencentUnits[Products],$A93, tblTencentUnits[cv_2027]) + SUMIF(tblBaiduUnits[Products],$A93, tblBaiduUnits[cv_2027]) + SUMIF(tblByteDanceUnits[Products],$A93, tblByteDanceUnits[cv_2027]) + SUMIF(tblCloudAOUnits[Products],$A93, tblCloudAOUnits[cv_2027]) + SUMIF(tblTelecomUnits[Products],$A93, tblTelecomUnits[cv_2027]) + SUMIF(tblEnterpriseUnits[Products],$A93, tblEnterpriseUnits[cv_2027])</f>
        <v>0</v>
      </c>
      <c r="L93" s="8">
        <f xml:space="preserve"> SUMIF(tblGoogleUnits[Products],$A93, tblGoogleUnits[cv_2028]) + SUMIF(tblMetaUnits[Products],$A93, tblMetaUnits[cv_2028]) + SUMIF(tblAmazonUnits[Products],$A93, tblAmazonUnits[cv_2028]) + SUMIF(tblMicrosoftUnits[Products],$A93, tblMicrosoftUnits[cv_2028]) + SUMIF(tblAppleUnits[Products],$A93, tblAppleUnits[cv_2028]) + SUMIF(tblAlibabaUnits[Products],$A93, tblAlibabaUnits[cv_2028]) + SUMIF(tblHuaweiUnits[Products],$A93, tblHuaweiUnits[cv_2028]) + SUMIF(tblTencentUnits[Products],$A93, tblTencentUnits[cv_2028]) + SUMIF(tblBaiduUnits[Products],$A93, tblBaiduUnits[cv_2028]) + SUMIF(tblByteDanceUnits[Products],$A93, tblByteDanceUnits[cv_2028]) + SUMIF(tblCloudAOUnits[Products],$A93, tblCloudAOUnits[cv_2028]) + SUMIF(tblTelecomUnits[Products],$A93, tblTelecomUnits[cv_2028]) + SUMIF(tblEnterpriseUnits[Products],$A93, tblEnterpriseUnits[cv_2028])</f>
        <v>0</v>
      </c>
      <c r="M93" s="105" cm="1">
        <f t="array" ref="M93">INDEX(tblPrices[cv_2018], MATCH($A93,tblPrices[Products],0), 0)</f>
        <v>0</v>
      </c>
      <c r="N93" s="105" cm="1">
        <f t="array" ref="N93">INDEX(tblPrices[cv_2019], MATCH($A93,tblPrices[Products],0), 0)</f>
        <v>0</v>
      </c>
      <c r="O93" s="105" cm="1">
        <f t="array" ref="O93">INDEX(tblPrices[cv_2020], MATCH($A93,tblPrices[Products],0), 0)</f>
        <v>0</v>
      </c>
      <c r="P93" s="105" cm="1">
        <f t="array" ref="P93">INDEX(tblPrices[cv_2021], MATCH($A93,tblPrices[Products],0), 0)</f>
        <v>0</v>
      </c>
      <c r="Q93" s="105" cm="1">
        <f t="array" ref="Q93">INDEX(tblPrices[cv_2022], MATCH($A93,tblPrices[Products],0), 0)</f>
        <v>0</v>
      </c>
      <c r="R93" s="105" cm="1">
        <f t="array" ref="R93">INDEX(tblPrices[cv_2023], MATCH($A93,tblPrices[Products],0), 0)</f>
        <v>0</v>
      </c>
      <c r="S93" s="105" cm="1">
        <f t="array" ref="S93">INDEX(tblPrices[cv_2024], MATCH($A93,tblPrices[Products],0), 0)</f>
        <v>0</v>
      </c>
      <c r="T93" s="105" cm="1">
        <f t="array" ref="T93">INDEX(tblPrices[cv_2025], MATCH($A93,tblPrices[Products],0), 0)</f>
        <v>0</v>
      </c>
      <c r="U93" s="105" cm="1">
        <f t="array" ref="U93">INDEX(tblPrices[cv_2026], MATCH($A93,tblPrices[Products],0), 0)</f>
        <v>0</v>
      </c>
      <c r="V93" s="105" cm="1">
        <f t="array" ref="V93">INDEX(tblPrices[cv_2027], MATCH($A93,tblPrices[Products],0), 0)</f>
        <v>0</v>
      </c>
      <c r="W93" s="105" cm="1">
        <f t="array" ref="W93">INDEX(tblPrices[cv_2028], MATCH($A93,tblPrices[Products],0), 0)</f>
        <v>0</v>
      </c>
      <c r="X93" s="106" cm="1">
        <f t="array" ref="X93">INDEX(tblPrices[cv_2018], MATCH($A93,tblPrices[Products],0), 0)* tblForecast[[#This Row],[un_2018]]/10^6</f>
        <v>0</v>
      </c>
      <c r="Y93" s="106" cm="1">
        <f t="array" ref="Y93">INDEX(tblPrices[cv_2019], MATCH($A93,tblPrices[Products],0), 0)* tblForecast[[#This Row],[un_2019]]/10^6</f>
        <v>0</v>
      </c>
      <c r="Z93" s="106" cm="1">
        <f t="array" ref="Z93">INDEX(tblPrices[cv_2020], MATCH($A93,tblPrices[Products],0), 0)* tblForecast[[#This Row],[un_2020]]/10^6</f>
        <v>0</v>
      </c>
      <c r="AA93" s="106" cm="1">
        <f t="array" ref="AA93">INDEX(tblPrices[cv_2021], MATCH($A93,tblPrices[Products],0), 0)* tblForecast[[#This Row],[un_2021]]/10^6</f>
        <v>0</v>
      </c>
      <c r="AB93" s="106" cm="1">
        <f t="array" ref="AB93">INDEX(tblPrices[cv_2022], MATCH($A93,tblPrices[Products],0), 0)* tblForecast[[#This Row],[un_2022]]/10^6</f>
        <v>0</v>
      </c>
      <c r="AC93" s="106" cm="1">
        <f t="array" ref="AC93">INDEX(tblPrices[cv_2023], MATCH($A93,tblPrices[Products],0), 0)* tblForecast[[#This Row],[un_2023]]/10^6</f>
        <v>0</v>
      </c>
      <c r="AD93" s="106" cm="1">
        <f t="array" ref="AD93">INDEX(tblPrices[cv_2024], MATCH($A93,tblPrices[Products],0), 0)* tblForecast[[#This Row],[un_2024]]/10^6</f>
        <v>0</v>
      </c>
      <c r="AE93" s="106" cm="1">
        <f t="array" ref="AE93">INDEX(tblPrices[cv_2025], MATCH($A93,tblPrices[Products],0), 0)* tblForecast[[#This Row],[un_2025]]/10^6</f>
        <v>0</v>
      </c>
      <c r="AF93" s="106" cm="1">
        <f t="array" ref="AF93">INDEX(tblPrices[cv_2026], MATCH($A93,tblPrices[Products],0), 0)* tblForecast[[#This Row],[un_2026]]/10^6</f>
        <v>0</v>
      </c>
      <c r="AG93" s="106" cm="1">
        <f t="array" ref="AG93">INDEX(tblPrices[cv_2027], MATCH($A93,tblPrices[Products],0), 0)* tblForecast[[#This Row],[un_2027]]/10^6</f>
        <v>0</v>
      </c>
      <c r="AH93" s="106" cm="1">
        <f t="array" ref="AH93">INDEX(tblPrices[cv_2028], MATCH($A93,tblPrices[Products],0), 0)* tblForecast[[#This Row],[un_2028]]/10^6</f>
        <v>0</v>
      </c>
      <c r="AI93" s="60">
        <f>VLOOKUP(A93,Products!$A$11:$F$110,6,FALSE)</f>
        <v>800</v>
      </c>
    </row>
    <row r="94" spans="1:35">
      <c r="A94" s="12" t="s">
        <v>17</v>
      </c>
      <c r="B94" s="8">
        <f xml:space="preserve"> SUMIF(tblGoogleUnits[Products],$A94, tblGoogleUnits[cv_2018]) + SUMIF(tblMetaUnits[Products],$A94, tblMetaUnits[cv_2018]) + SUMIF(tblAmazonUnits[Products],$A94, tblAmazonUnits[cv_2018]) + SUMIF(tblMicrosoftUnits[Products],$A94, tblMicrosoftUnits[cv_2018]) + SUMIF(tblAppleUnits[Products],$A94, tblAppleUnits[cv_2018]) + SUMIF(tblAlibabaUnits[Products],$A94, tblAlibabaUnits[cv_2018]) + SUMIF(tblHuaweiUnits[Products],$A94, tblHuaweiUnits[cv_2018]) + SUMIF(tblTencentUnits[Products],$A94, tblTencentUnits[cv_2018]) + SUMIF(tblBaiduUnits[Products],$A94, tblBaiduUnits[cv_2018]) + SUMIF(tblByteDanceUnits[Products],$A94, tblByteDanceUnits[cv_2018]) + SUMIF(tblCloudAOUnits[Products],$A94, tblCloudAOUnits[cv_2018]) + SUMIF(tblTelecomUnits[Products],$A94, tblTelecomUnits[cv_2018]) + SUMIF(tblEnterpriseUnits[Products],$A94, tblEnterpriseUnits[cv_2018])</f>
        <v>0</v>
      </c>
      <c r="C94" s="8">
        <f xml:space="preserve"> SUMIF(tblGoogleUnits[Products],$A94, tblGoogleUnits[cv_2019]) + SUMIF(tblMetaUnits[Products],$A94, tblMetaUnits[cv_2019]) + SUMIF(tblAmazonUnits[Products],$A94, tblAmazonUnits[cv_2019]) + SUMIF(tblMicrosoftUnits[Products],$A94, tblMicrosoftUnits[cv_2019]) + SUMIF(tblAppleUnits[Products],$A94, tblAppleUnits[cv_2019]) + SUMIF(tblAlibabaUnits[Products],$A94, tblAlibabaUnits[cv_2019]) + SUMIF(tblHuaweiUnits[Products],$A94, tblHuaweiUnits[cv_2019]) + SUMIF(tblTencentUnits[Products],$A94, tblTencentUnits[cv_2019]) + SUMIF(tblBaiduUnits[Products],$A94, tblBaiduUnits[cv_2019]) + SUMIF(tblByteDanceUnits[Products],$A94, tblByteDanceUnits[cv_2019]) + SUMIF(tblCloudAOUnits[Products],$A94, tblCloudAOUnits[cv_2019]) + SUMIF(tblTelecomUnits[Products],$A94, tblTelecomUnits[cv_2019]) + SUMIF(tblEnterpriseUnits[Products],$A94, tblEnterpriseUnits[cv_2019])</f>
        <v>0</v>
      </c>
      <c r="D94" s="8">
        <f xml:space="preserve"> SUMIF(tblGoogleUnits[Products],$A94, tblGoogleUnits[cv_2020]) + SUMIF(tblMetaUnits[Products],$A94, tblMetaUnits[cv_2020]) + SUMIF(tblAmazonUnits[Products],$A94, tblAmazonUnits[cv_2020]) + SUMIF(tblMicrosoftUnits[Products],$A94, tblMicrosoftUnits[cv_2020]) + SUMIF(tblAppleUnits[Products],$A94, tblAppleUnits[cv_2020]) + SUMIF(tblAlibabaUnits[Products],$A94, tblAlibabaUnits[cv_2020]) + SUMIF(tblHuaweiUnits[Products],$A94, tblHuaweiUnits[cv_2020]) + SUMIF(tblTencentUnits[Products],$A94, tblTencentUnits[cv_2020]) + SUMIF(tblBaiduUnits[Products],$A94, tblBaiduUnits[cv_2020]) + SUMIF(tblByteDanceUnits[Products],$A94, tblByteDanceUnits[cv_2020]) + SUMIF(tblCloudAOUnits[Products],$A94, tblCloudAOUnits[cv_2020]) + SUMIF(tblTelecomUnits[Products],$A94, tblTelecomUnits[cv_2020]) + SUMIF(tblEnterpriseUnits[Products],$A94, tblEnterpriseUnits[cv_2020])</f>
        <v>0</v>
      </c>
      <c r="E94" s="8">
        <f xml:space="preserve"> SUMIF(tblGoogleUnits[Products],$A94, tblGoogleUnits[cv_2021]) + SUMIF(tblMetaUnits[Products],$A94, tblMetaUnits[cv_2021]) + SUMIF(tblAmazonUnits[Products],$A94, tblAmazonUnits[cv_2021]) + SUMIF(tblMicrosoftUnits[Products],$A94, tblMicrosoftUnits[cv_2021]) + SUMIF(tblAppleUnits[Products],$A94, tblAppleUnits[cv_2021]) + SUMIF(tblAlibabaUnits[Products],$A94, tblAlibabaUnits[cv_2021]) + SUMIF(tblHuaweiUnits[Products],$A94, tblHuaweiUnits[cv_2021]) + SUMIF(tblTencentUnits[Products],$A94, tblTencentUnits[cv_2021]) + SUMIF(tblBaiduUnits[Products],$A94, tblBaiduUnits[cv_2021]) + SUMIF(tblByteDanceUnits[Products],$A94, tblByteDanceUnits[cv_2021]) + SUMIF(tblCloudAOUnits[Products],$A94, tblCloudAOUnits[cv_2021]) + SUMIF(tblTelecomUnits[Products],$A94, tblTelecomUnits[cv_2021]) + SUMIF(tblEnterpriseUnits[Products],$A94, tblEnterpriseUnits[cv_2021])</f>
        <v>0</v>
      </c>
      <c r="F94" s="8">
        <f xml:space="preserve"> SUMIF(tblGoogleUnits[Products],$A94, tblGoogleUnits[cv_2022]) + SUMIF(tblMetaUnits[Products],$A94, tblMetaUnits[cv_2022]) + SUMIF(tblAmazonUnits[Products],$A94, tblAmazonUnits[cv_2022]) + SUMIF(tblMicrosoftUnits[Products],$A94, tblMicrosoftUnits[cv_2022]) + SUMIF(tblAppleUnits[Products],$A94, tblAppleUnits[cv_2022]) + SUMIF(tblAlibabaUnits[Products],$A94, tblAlibabaUnits[cv_2022]) + SUMIF(tblHuaweiUnits[Products],$A94, tblHuaweiUnits[cv_2022]) + SUMIF(tblTencentUnits[Products],$A94, tblTencentUnits[cv_2022]) + SUMIF(tblBaiduUnits[Products],$A94, tblBaiduUnits[cv_2022]) + SUMIF(tblByteDanceUnits[Products],$A94, tblByteDanceUnits[cv_2022]) + SUMIF(tblCloudAOUnits[Products],$A94, tblCloudAOUnits[cv_2022]) + SUMIF(tblTelecomUnits[Products],$A94, tblTelecomUnits[cv_2022]) + SUMIF(tblEnterpriseUnits[Products],$A94, tblEnterpriseUnits[cv_2022])</f>
        <v>0</v>
      </c>
      <c r="G94" s="8">
        <f xml:space="preserve"> SUMIF(tblGoogleUnits[Products],$A94, tblGoogleUnits[cv_2023]) + SUMIF(tblMetaUnits[Products],$A94, tblMetaUnits[cv_2023]) + SUMIF(tblAmazonUnits[Products],$A94, tblAmazonUnits[cv_2023]) + SUMIF(tblMicrosoftUnits[Products],$A94, tblMicrosoftUnits[cv_2023]) + SUMIF(tblAppleUnits[Products],$A94, tblAppleUnits[cv_2023]) + SUMIF(tblAlibabaUnits[Products],$A94, tblAlibabaUnits[cv_2023]) + SUMIF(tblHuaweiUnits[Products],$A94, tblHuaweiUnits[cv_2023]) + SUMIF(tblTencentUnits[Products],$A94, tblTencentUnits[cv_2023]) + SUMIF(tblBaiduUnits[Products],$A94, tblBaiduUnits[cv_2023]) + SUMIF(tblByteDanceUnits[Products],$A94, tblByteDanceUnits[cv_2023]) + SUMIF(tblCloudAOUnits[Products],$A94, tblCloudAOUnits[cv_2023]) + SUMIF(tblTelecomUnits[Products],$A94, tblTelecomUnits[cv_2023]) + SUMIF(tblEnterpriseUnits[Products],$A94, tblEnterpriseUnits[cv_2023])</f>
        <v>0</v>
      </c>
      <c r="H94" s="8">
        <f xml:space="preserve"> SUMIF(tblGoogleUnits[Products],$A94, tblGoogleUnits[cv_2024]) + SUMIF(tblMetaUnits[Products],$A94, tblMetaUnits[cv_2024]) + SUMIF(tblAmazonUnits[Products],$A94, tblAmazonUnits[cv_2024]) + SUMIF(tblMicrosoftUnits[Products],$A94, tblMicrosoftUnits[cv_2024]) + SUMIF(tblAppleUnits[Products],$A94, tblAppleUnits[cv_2024]) + SUMIF(tblAlibabaUnits[Products],$A94, tblAlibabaUnits[cv_2024]) + SUMIF(tblHuaweiUnits[Products],$A94, tblHuaweiUnits[cv_2024]) + SUMIF(tblTencentUnits[Products],$A94, tblTencentUnits[cv_2024]) + SUMIF(tblBaiduUnits[Products],$A94, tblBaiduUnits[cv_2024]) + SUMIF(tblByteDanceUnits[Products],$A94, tblByteDanceUnits[cv_2024]) + SUMIF(tblCloudAOUnits[Products],$A94, tblCloudAOUnits[cv_2024]) + SUMIF(tblTelecomUnits[Products],$A94, tblTelecomUnits[cv_2024]) + SUMIF(tblEnterpriseUnits[Products],$A94, tblEnterpriseUnits[cv_2024])</f>
        <v>0</v>
      </c>
      <c r="I94" s="8">
        <f xml:space="preserve"> SUMIF(tblGoogleUnits[Products],$A94, tblGoogleUnits[cv_2025]) + SUMIF(tblMetaUnits[Products],$A94, tblMetaUnits[cv_2025]) + SUMIF(tblAmazonUnits[Products],$A94, tblAmazonUnits[cv_2025]) + SUMIF(tblMicrosoftUnits[Products],$A94, tblMicrosoftUnits[cv_2025]) + SUMIF(tblAppleUnits[Products],$A94, tblAppleUnits[cv_2025]) + SUMIF(tblAlibabaUnits[Products],$A94, tblAlibabaUnits[cv_2025]) + SUMIF(tblHuaweiUnits[Products],$A94, tblHuaweiUnits[cv_2025]) + SUMIF(tblTencentUnits[Products],$A94, tblTencentUnits[cv_2025]) + SUMIF(tblBaiduUnits[Products],$A94, tblBaiduUnits[cv_2025]) + SUMIF(tblByteDanceUnits[Products],$A94, tblByteDanceUnits[cv_2025]) + SUMIF(tblCloudAOUnits[Products],$A94, tblCloudAOUnits[cv_2025]) + SUMIF(tblTelecomUnits[Products],$A94, tblTelecomUnits[cv_2025]) + SUMIF(tblEnterpriseUnits[Products],$A94, tblEnterpriseUnits[cv_2025])</f>
        <v>0</v>
      </c>
      <c r="J94" s="8">
        <f xml:space="preserve"> SUMIF(tblGoogleUnits[Products],$A94, tblGoogleUnits[cv_2026]) + SUMIF(tblMetaUnits[Products],$A94, tblMetaUnits[cv_2026]) + SUMIF(tblAmazonUnits[Products],$A94, tblAmazonUnits[cv_2026]) + SUMIF(tblMicrosoftUnits[Products],$A94, tblMicrosoftUnits[cv_2026]) + SUMIF(tblAppleUnits[Products],$A94, tblAppleUnits[cv_2026]) + SUMIF(tblAlibabaUnits[Products],$A94, tblAlibabaUnits[cv_2026]) + SUMIF(tblHuaweiUnits[Products],$A94, tblHuaweiUnits[cv_2026]) + SUMIF(tblTencentUnits[Products],$A94, tblTencentUnits[cv_2026]) + SUMIF(tblBaiduUnits[Products],$A94, tblBaiduUnits[cv_2026]) + SUMIF(tblByteDanceUnits[Products],$A94, tblByteDanceUnits[cv_2026]) + SUMIF(tblCloudAOUnits[Products],$A94, tblCloudAOUnits[cv_2026]) + SUMIF(tblTelecomUnits[Products],$A94, tblTelecomUnits[cv_2026]) + SUMIF(tblEnterpriseUnits[Products],$A94, tblEnterpriseUnits[cv_2026])</f>
        <v>0</v>
      </c>
      <c r="K94" s="8">
        <f xml:space="preserve"> SUMIF(tblGoogleUnits[Products],$A94, tblGoogleUnits[cv_2027]) + SUMIF(tblMetaUnits[Products],$A94, tblMetaUnits[cv_2027]) + SUMIF(tblAmazonUnits[Products],$A94, tblAmazonUnits[cv_2027]) + SUMIF(tblMicrosoftUnits[Products],$A94, tblMicrosoftUnits[cv_2027]) + SUMIF(tblAppleUnits[Products],$A94, tblAppleUnits[cv_2027]) + SUMIF(tblAlibabaUnits[Products],$A94, tblAlibabaUnits[cv_2027]) + SUMIF(tblHuaweiUnits[Products],$A94, tblHuaweiUnits[cv_2027]) + SUMIF(tblTencentUnits[Products],$A94, tblTencentUnits[cv_2027]) + SUMIF(tblBaiduUnits[Products],$A94, tblBaiduUnits[cv_2027]) + SUMIF(tblByteDanceUnits[Products],$A94, tblByteDanceUnits[cv_2027]) + SUMIF(tblCloudAOUnits[Products],$A94, tblCloudAOUnits[cv_2027]) + SUMIF(tblTelecomUnits[Products],$A94, tblTelecomUnits[cv_2027]) + SUMIF(tblEnterpriseUnits[Products],$A94, tblEnterpriseUnits[cv_2027])</f>
        <v>0</v>
      </c>
      <c r="L94" s="8">
        <f xml:space="preserve"> SUMIF(tblGoogleUnits[Products],$A94, tblGoogleUnits[cv_2028]) + SUMIF(tblMetaUnits[Products],$A94, tblMetaUnits[cv_2028]) + SUMIF(tblAmazonUnits[Products],$A94, tblAmazonUnits[cv_2028]) + SUMIF(tblMicrosoftUnits[Products],$A94, tblMicrosoftUnits[cv_2028]) + SUMIF(tblAppleUnits[Products],$A94, tblAppleUnits[cv_2028]) + SUMIF(tblAlibabaUnits[Products],$A94, tblAlibabaUnits[cv_2028]) + SUMIF(tblHuaweiUnits[Products],$A94, tblHuaweiUnits[cv_2028]) + SUMIF(tblTencentUnits[Products],$A94, tblTencentUnits[cv_2028]) + SUMIF(tblBaiduUnits[Products],$A94, tblBaiduUnits[cv_2028]) + SUMIF(tblByteDanceUnits[Products],$A94, tblByteDanceUnits[cv_2028]) + SUMIF(tblCloudAOUnits[Products],$A94, tblCloudAOUnits[cv_2028]) + SUMIF(tblTelecomUnits[Products],$A94, tblTelecomUnits[cv_2028]) + SUMIF(tblEnterpriseUnits[Products],$A94, tblEnterpriseUnits[cv_2028])</f>
        <v>0</v>
      </c>
      <c r="M94" s="105" cm="1">
        <f t="array" ref="M94">INDEX(tblPrices[cv_2018], MATCH($A94,tblPrices[Products],0), 0)</f>
        <v>0</v>
      </c>
      <c r="N94" s="105" cm="1">
        <f t="array" ref="N94">INDEX(tblPrices[cv_2019], MATCH($A94,tblPrices[Products],0), 0)</f>
        <v>0</v>
      </c>
      <c r="O94" s="105" cm="1">
        <f t="array" ref="O94">INDEX(tblPrices[cv_2020], MATCH($A94,tblPrices[Products],0), 0)</f>
        <v>0</v>
      </c>
      <c r="P94" s="105" cm="1">
        <f t="array" ref="P94">INDEX(tblPrices[cv_2021], MATCH($A94,tblPrices[Products],0), 0)</f>
        <v>0</v>
      </c>
      <c r="Q94" s="105" cm="1">
        <f t="array" ref="Q94">INDEX(tblPrices[cv_2022], MATCH($A94,tblPrices[Products],0), 0)</f>
        <v>0</v>
      </c>
      <c r="R94" s="105" cm="1">
        <f t="array" ref="R94">INDEX(tblPrices[cv_2023], MATCH($A94,tblPrices[Products],0), 0)</f>
        <v>0</v>
      </c>
      <c r="S94" s="105" cm="1">
        <f t="array" ref="S94">INDEX(tblPrices[cv_2024], MATCH($A94,tblPrices[Products],0), 0)</f>
        <v>0</v>
      </c>
      <c r="T94" s="105" cm="1">
        <f t="array" ref="T94">INDEX(tblPrices[cv_2025], MATCH($A94,tblPrices[Products],0), 0)</f>
        <v>0</v>
      </c>
      <c r="U94" s="105" cm="1">
        <f t="array" ref="U94">INDEX(tblPrices[cv_2026], MATCH($A94,tblPrices[Products],0), 0)</f>
        <v>0</v>
      </c>
      <c r="V94" s="105" cm="1">
        <f t="array" ref="V94">INDEX(tblPrices[cv_2027], MATCH($A94,tblPrices[Products],0), 0)</f>
        <v>0</v>
      </c>
      <c r="W94" s="105" cm="1">
        <f t="array" ref="W94">INDEX(tblPrices[cv_2028], MATCH($A94,tblPrices[Products],0), 0)</f>
        <v>0</v>
      </c>
      <c r="X94" s="106" cm="1">
        <f t="array" ref="X94">INDEX(tblPrices[cv_2018], MATCH($A94,tblPrices[Products],0), 0)* tblForecast[[#This Row],[un_2018]]/10^6</f>
        <v>0</v>
      </c>
      <c r="Y94" s="106" cm="1">
        <f t="array" ref="Y94">INDEX(tblPrices[cv_2019], MATCH($A94,tblPrices[Products],0), 0)* tblForecast[[#This Row],[un_2019]]/10^6</f>
        <v>0</v>
      </c>
      <c r="Z94" s="106" cm="1">
        <f t="array" ref="Z94">INDEX(tblPrices[cv_2020], MATCH($A94,tblPrices[Products],0), 0)* tblForecast[[#This Row],[un_2020]]/10^6</f>
        <v>0</v>
      </c>
      <c r="AA94" s="106" cm="1">
        <f t="array" ref="AA94">INDEX(tblPrices[cv_2021], MATCH($A94,tblPrices[Products],0), 0)* tblForecast[[#This Row],[un_2021]]/10^6</f>
        <v>0</v>
      </c>
      <c r="AB94" s="106" cm="1">
        <f t="array" ref="AB94">INDEX(tblPrices[cv_2022], MATCH($A94,tblPrices[Products],0), 0)* tblForecast[[#This Row],[un_2022]]/10^6</f>
        <v>0</v>
      </c>
      <c r="AC94" s="106" cm="1">
        <f t="array" ref="AC94">INDEX(tblPrices[cv_2023], MATCH($A94,tblPrices[Products],0), 0)* tblForecast[[#This Row],[un_2023]]/10^6</f>
        <v>0</v>
      </c>
      <c r="AD94" s="106" cm="1">
        <f t="array" ref="AD94">INDEX(tblPrices[cv_2024], MATCH($A94,tblPrices[Products],0), 0)* tblForecast[[#This Row],[un_2024]]/10^6</f>
        <v>0</v>
      </c>
      <c r="AE94" s="106" cm="1">
        <f t="array" ref="AE94">INDEX(tblPrices[cv_2025], MATCH($A94,tblPrices[Products],0), 0)* tblForecast[[#This Row],[un_2025]]/10^6</f>
        <v>0</v>
      </c>
      <c r="AF94" s="106" cm="1">
        <f t="array" ref="AF94">INDEX(tblPrices[cv_2026], MATCH($A94,tblPrices[Products],0), 0)* tblForecast[[#This Row],[un_2026]]/10^6</f>
        <v>0</v>
      </c>
      <c r="AG94" s="106" cm="1">
        <f t="array" ref="AG94">INDEX(tblPrices[cv_2027], MATCH($A94,tblPrices[Products],0), 0)* tblForecast[[#This Row],[un_2027]]/10^6</f>
        <v>0</v>
      </c>
      <c r="AH94" s="106" cm="1">
        <f t="array" ref="AH94">INDEX(tblPrices[cv_2028], MATCH($A94,tblPrices[Products],0), 0)* tblForecast[[#This Row],[un_2028]]/10^6</f>
        <v>0</v>
      </c>
      <c r="AI94" s="60">
        <f>VLOOKUP(A94,Products!$A$11:$F$110,6,FALSE)</f>
        <v>800</v>
      </c>
    </row>
    <row r="95" spans="1:35">
      <c r="A95" s="12" t="s">
        <v>18</v>
      </c>
      <c r="B95" s="8">
        <f xml:space="preserve"> SUMIF(tblGoogleUnits[Products],$A95, tblGoogleUnits[cv_2018]) + SUMIF(tblMetaUnits[Products],$A95, tblMetaUnits[cv_2018]) + SUMIF(tblAmazonUnits[Products],$A95, tblAmazonUnits[cv_2018]) + SUMIF(tblMicrosoftUnits[Products],$A95, tblMicrosoftUnits[cv_2018]) + SUMIF(tblAppleUnits[Products],$A95, tblAppleUnits[cv_2018]) + SUMIF(tblAlibabaUnits[Products],$A95, tblAlibabaUnits[cv_2018]) + SUMIF(tblHuaweiUnits[Products],$A95, tblHuaweiUnits[cv_2018]) + SUMIF(tblTencentUnits[Products],$A95, tblTencentUnits[cv_2018]) + SUMIF(tblBaiduUnits[Products],$A95, tblBaiduUnits[cv_2018]) + SUMIF(tblByteDanceUnits[Products],$A95, tblByteDanceUnits[cv_2018]) + SUMIF(tblCloudAOUnits[Products],$A95, tblCloudAOUnits[cv_2018]) + SUMIF(tblTelecomUnits[Products],$A95, tblTelecomUnits[cv_2018]) + SUMIF(tblEnterpriseUnits[Products],$A95, tblEnterpriseUnits[cv_2018])</f>
        <v>0</v>
      </c>
      <c r="C95" s="8">
        <f xml:space="preserve"> SUMIF(tblGoogleUnits[Products],$A95, tblGoogleUnits[cv_2019]) + SUMIF(tblMetaUnits[Products],$A95, tblMetaUnits[cv_2019]) + SUMIF(tblAmazonUnits[Products],$A95, tblAmazonUnits[cv_2019]) + SUMIF(tblMicrosoftUnits[Products],$A95, tblMicrosoftUnits[cv_2019]) + SUMIF(tblAppleUnits[Products],$A95, tblAppleUnits[cv_2019]) + SUMIF(tblAlibabaUnits[Products],$A95, tblAlibabaUnits[cv_2019]) + SUMIF(tblHuaweiUnits[Products],$A95, tblHuaweiUnits[cv_2019]) + SUMIF(tblTencentUnits[Products],$A95, tblTencentUnits[cv_2019]) + SUMIF(tblBaiduUnits[Products],$A95, tblBaiduUnits[cv_2019]) + SUMIF(tblByteDanceUnits[Products],$A95, tblByteDanceUnits[cv_2019]) + SUMIF(tblCloudAOUnits[Products],$A95, tblCloudAOUnits[cv_2019]) + SUMIF(tblTelecomUnits[Products],$A95, tblTelecomUnits[cv_2019]) + SUMIF(tblEnterpriseUnits[Products],$A95, tblEnterpriseUnits[cv_2019])</f>
        <v>0</v>
      </c>
      <c r="D95" s="8">
        <f xml:space="preserve"> SUMIF(tblGoogleUnits[Products],$A95, tblGoogleUnits[cv_2020]) + SUMIF(tblMetaUnits[Products],$A95, tblMetaUnits[cv_2020]) + SUMIF(tblAmazonUnits[Products],$A95, tblAmazonUnits[cv_2020]) + SUMIF(tblMicrosoftUnits[Products],$A95, tblMicrosoftUnits[cv_2020]) + SUMIF(tblAppleUnits[Products],$A95, tblAppleUnits[cv_2020]) + SUMIF(tblAlibabaUnits[Products],$A95, tblAlibabaUnits[cv_2020]) + SUMIF(tblHuaweiUnits[Products],$A95, tblHuaweiUnits[cv_2020]) + SUMIF(tblTencentUnits[Products],$A95, tblTencentUnits[cv_2020]) + SUMIF(tblBaiduUnits[Products],$A95, tblBaiduUnits[cv_2020]) + SUMIF(tblByteDanceUnits[Products],$A95, tblByteDanceUnits[cv_2020]) + SUMIF(tblCloudAOUnits[Products],$A95, tblCloudAOUnits[cv_2020]) + SUMIF(tblTelecomUnits[Products],$A95, tblTelecomUnits[cv_2020]) + SUMIF(tblEnterpriseUnits[Products],$A95, tblEnterpriseUnits[cv_2020])</f>
        <v>0</v>
      </c>
      <c r="E95" s="8">
        <f xml:space="preserve"> SUMIF(tblGoogleUnits[Products],$A95, tblGoogleUnits[cv_2021]) + SUMIF(tblMetaUnits[Products],$A95, tblMetaUnits[cv_2021]) + SUMIF(tblAmazonUnits[Products],$A95, tblAmazonUnits[cv_2021]) + SUMIF(tblMicrosoftUnits[Products],$A95, tblMicrosoftUnits[cv_2021]) + SUMIF(tblAppleUnits[Products],$A95, tblAppleUnits[cv_2021]) + SUMIF(tblAlibabaUnits[Products],$A95, tblAlibabaUnits[cv_2021]) + SUMIF(tblHuaweiUnits[Products],$A95, tblHuaweiUnits[cv_2021]) + SUMIF(tblTencentUnits[Products],$A95, tblTencentUnits[cv_2021]) + SUMIF(tblBaiduUnits[Products],$A95, tblBaiduUnits[cv_2021]) + SUMIF(tblByteDanceUnits[Products],$A95, tblByteDanceUnits[cv_2021]) + SUMIF(tblCloudAOUnits[Products],$A95, tblCloudAOUnits[cv_2021]) + SUMIF(tblTelecomUnits[Products],$A95, tblTelecomUnits[cv_2021]) + SUMIF(tblEnterpriseUnits[Products],$A95, tblEnterpriseUnits[cv_2021])</f>
        <v>0</v>
      </c>
      <c r="F95" s="8">
        <f xml:space="preserve"> SUMIF(tblGoogleUnits[Products],$A95, tblGoogleUnits[cv_2022]) + SUMIF(tblMetaUnits[Products],$A95, tblMetaUnits[cv_2022]) + SUMIF(tblAmazonUnits[Products],$A95, tblAmazonUnits[cv_2022]) + SUMIF(tblMicrosoftUnits[Products],$A95, tblMicrosoftUnits[cv_2022]) + SUMIF(tblAppleUnits[Products],$A95, tblAppleUnits[cv_2022]) + SUMIF(tblAlibabaUnits[Products],$A95, tblAlibabaUnits[cv_2022]) + SUMIF(tblHuaweiUnits[Products],$A95, tblHuaweiUnits[cv_2022]) + SUMIF(tblTencentUnits[Products],$A95, tblTencentUnits[cv_2022]) + SUMIF(tblBaiduUnits[Products],$A95, tblBaiduUnits[cv_2022]) + SUMIF(tblByteDanceUnits[Products],$A95, tblByteDanceUnits[cv_2022]) + SUMIF(tblCloudAOUnits[Products],$A95, tblCloudAOUnits[cv_2022]) + SUMIF(tblTelecomUnits[Products],$A95, tblTelecomUnits[cv_2022]) + SUMIF(tblEnterpriseUnits[Products],$A95, tblEnterpriseUnits[cv_2022])</f>
        <v>0</v>
      </c>
      <c r="G95" s="8">
        <f xml:space="preserve"> SUMIF(tblGoogleUnits[Products],$A95, tblGoogleUnits[cv_2023]) + SUMIF(tblMetaUnits[Products],$A95, tblMetaUnits[cv_2023]) + SUMIF(tblAmazonUnits[Products],$A95, tblAmazonUnits[cv_2023]) + SUMIF(tblMicrosoftUnits[Products],$A95, tblMicrosoftUnits[cv_2023]) + SUMIF(tblAppleUnits[Products],$A95, tblAppleUnits[cv_2023]) + SUMIF(tblAlibabaUnits[Products],$A95, tblAlibabaUnits[cv_2023]) + SUMIF(tblHuaweiUnits[Products],$A95, tblHuaweiUnits[cv_2023]) + SUMIF(tblTencentUnits[Products],$A95, tblTencentUnits[cv_2023]) + SUMIF(tblBaiduUnits[Products],$A95, tblBaiduUnits[cv_2023]) + SUMIF(tblByteDanceUnits[Products],$A95, tblByteDanceUnits[cv_2023]) + SUMIF(tblCloudAOUnits[Products],$A95, tblCloudAOUnits[cv_2023]) + SUMIF(tblTelecomUnits[Products],$A95, tblTelecomUnits[cv_2023]) + SUMIF(tblEnterpriseUnits[Products],$A95, tblEnterpriseUnits[cv_2023])</f>
        <v>0</v>
      </c>
      <c r="H95" s="8">
        <f xml:space="preserve"> SUMIF(tblGoogleUnits[Products],$A95, tblGoogleUnits[cv_2024]) + SUMIF(tblMetaUnits[Products],$A95, tblMetaUnits[cv_2024]) + SUMIF(tblAmazonUnits[Products],$A95, tblAmazonUnits[cv_2024]) + SUMIF(tblMicrosoftUnits[Products],$A95, tblMicrosoftUnits[cv_2024]) + SUMIF(tblAppleUnits[Products],$A95, tblAppleUnits[cv_2024]) + SUMIF(tblAlibabaUnits[Products],$A95, tblAlibabaUnits[cv_2024]) + SUMIF(tblHuaweiUnits[Products],$A95, tblHuaweiUnits[cv_2024]) + SUMIF(tblTencentUnits[Products],$A95, tblTencentUnits[cv_2024]) + SUMIF(tblBaiduUnits[Products],$A95, tblBaiduUnits[cv_2024]) + SUMIF(tblByteDanceUnits[Products],$A95, tblByteDanceUnits[cv_2024]) + SUMIF(tblCloudAOUnits[Products],$A95, tblCloudAOUnits[cv_2024]) + SUMIF(tblTelecomUnits[Products],$A95, tblTelecomUnits[cv_2024]) + SUMIF(tblEnterpriseUnits[Products],$A95, tblEnterpriseUnits[cv_2024])</f>
        <v>0</v>
      </c>
      <c r="I95" s="8">
        <f xml:space="preserve"> SUMIF(tblGoogleUnits[Products],$A95, tblGoogleUnits[cv_2025]) + SUMIF(tblMetaUnits[Products],$A95, tblMetaUnits[cv_2025]) + SUMIF(tblAmazonUnits[Products],$A95, tblAmazonUnits[cv_2025]) + SUMIF(tblMicrosoftUnits[Products],$A95, tblMicrosoftUnits[cv_2025]) + SUMIF(tblAppleUnits[Products],$A95, tblAppleUnits[cv_2025]) + SUMIF(tblAlibabaUnits[Products],$A95, tblAlibabaUnits[cv_2025]) + SUMIF(tblHuaweiUnits[Products],$A95, tblHuaweiUnits[cv_2025]) + SUMIF(tblTencentUnits[Products],$A95, tblTencentUnits[cv_2025]) + SUMIF(tblBaiduUnits[Products],$A95, tblBaiduUnits[cv_2025]) + SUMIF(tblByteDanceUnits[Products],$A95, tblByteDanceUnits[cv_2025]) + SUMIF(tblCloudAOUnits[Products],$A95, tblCloudAOUnits[cv_2025]) + SUMIF(tblTelecomUnits[Products],$A95, tblTelecomUnits[cv_2025]) + SUMIF(tblEnterpriseUnits[Products],$A95, tblEnterpriseUnits[cv_2025])</f>
        <v>0</v>
      </c>
      <c r="J95" s="8">
        <f xml:space="preserve"> SUMIF(tblGoogleUnits[Products],$A95, tblGoogleUnits[cv_2026]) + SUMIF(tblMetaUnits[Products],$A95, tblMetaUnits[cv_2026]) + SUMIF(tblAmazonUnits[Products],$A95, tblAmazonUnits[cv_2026]) + SUMIF(tblMicrosoftUnits[Products],$A95, tblMicrosoftUnits[cv_2026]) + SUMIF(tblAppleUnits[Products],$A95, tblAppleUnits[cv_2026]) + SUMIF(tblAlibabaUnits[Products],$A95, tblAlibabaUnits[cv_2026]) + SUMIF(tblHuaweiUnits[Products],$A95, tblHuaweiUnits[cv_2026]) + SUMIF(tblTencentUnits[Products],$A95, tblTencentUnits[cv_2026]) + SUMIF(tblBaiduUnits[Products],$A95, tblBaiduUnits[cv_2026]) + SUMIF(tblByteDanceUnits[Products],$A95, tblByteDanceUnits[cv_2026]) + SUMIF(tblCloudAOUnits[Products],$A95, tblCloudAOUnits[cv_2026]) + SUMIF(tblTelecomUnits[Products],$A95, tblTelecomUnits[cv_2026]) + SUMIF(tblEnterpriseUnits[Products],$A95, tblEnterpriseUnits[cv_2026])</f>
        <v>0</v>
      </c>
      <c r="K95" s="8">
        <f xml:space="preserve"> SUMIF(tblGoogleUnits[Products],$A95, tblGoogleUnits[cv_2027]) + SUMIF(tblMetaUnits[Products],$A95, tblMetaUnits[cv_2027]) + SUMIF(tblAmazonUnits[Products],$A95, tblAmazonUnits[cv_2027]) + SUMIF(tblMicrosoftUnits[Products],$A95, tblMicrosoftUnits[cv_2027]) + SUMIF(tblAppleUnits[Products],$A95, tblAppleUnits[cv_2027]) + SUMIF(tblAlibabaUnits[Products],$A95, tblAlibabaUnits[cv_2027]) + SUMIF(tblHuaweiUnits[Products],$A95, tblHuaweiUnits[cv_2027]) + SUMIF(tblTencentUnits[Products],$A95, tblTencentUnits[cv_2027]) + SUMIF(tblBaiduUnits[Products],$A95, tblBaiduUnits[cv_2027]) + SUMIF(tblByteDanceUnits[Products],$A95, tblByteDanceUnits[cv_2027]) + SUMIF(tblCloudAOUnits[Products],$A95, tblCloudAOUnits[cv_2027]) + SUMIF(tblTelecomUnits[Products],$A95, tblTelecomUnits[cv_2027]) + SUMIF(tblEnterpriseUnits[Products],$A95, tblEnterpriseUnits[cv_2027])</f>
        <v>0</v>
      </c>
      <c r="L95" s="8">
        <f xml:space="preserve"> SUMIF(tblGoogleUnits[Products],$A95, tblGoogleUnits[cv_2028]) + SUMIF(tblMetaUnits[Products],$A95, tblMetaUnits[cv_2028]) + SUMIF(tblAmazonUnits[Products],$A95, tblAmazonUnits[cv_2028]) + SUMIF(tblMicrosoftUnits[Products],$A95, tblMicrosoftUnits[cv_2028]) + SUMIF(tblAppleUnits[Products],$A95, tblAppleUnits[cv_2028]) + SUMIF(tblAlibabaUnits[Products],$A95, tblAlibabaUnits[cv_2028]) + SUMIF(tblHuaweiUnits[Products],$A95, tblHuaweiUnits[cv_2028]) + SUMIF(tblTencentUnits[Products],$A95, tblTencentUnits[cv_2028]) + SUMIF(tblBaiduUnits[Products],$A95, tblBaiduUnits[cv_2028]) + SUMIF(tblByteDanceUnits[Products],$A95, tblByteDanceUnits[cv_2028]) + SUMIF(tblCloudAOUnits[Products],$A95, tblCloudAOUnits[cv_2028]) + SUMIF(tblTelecomUnits[Products],$A95, tblTelecomUnits[cv_2028]) + SUMIF(tblEnterpriseUnits[Products],$A95, tblEnterpriseUnits[cv_2028])</f>
        <v>0</v>
      </c>
      <c r="M95" s="105" cm="1">
        <f t="array" ref="M95">INDEX(tblPrices[cv_2018], MATCH($A95,tblPrices[Products],0), 0)</f>
        <v>0</v>
      </c>
      <c r="N95" s="105" cm="1">
        <f t="array" ref="N95">INDEX(tblPrices[cv_2019], MATCH($A95,tblPrices[Products],0), 0)</f>
        <v>0</v>
      </c>
      <c r="O95" s="105" cm="1">
        <f t="array" ref="O95">INDEX(tblPrices[cv_2020], MATCH($A95,tblPrices[Products],0), 0)</f>
        <v>0</v>
      </c>
      <c r="P95" s="105" cm="1">
        <f t="array" ref="P95">INDEX(tblPrices[cv_2021], MATCH($A95,tblPrices[Products],0), 0)</f>
        <v>0</v>
      </c>
      <c r="Q95" s="105" cm="1">
        <f t="array" ref="Q95">INDEX(tblPrices[cv_2022], MATCH($A95,tblPrices[Products],0), 0)</f>
        <v>0</v>
      </c>
      <c r="R95" s="105" cm="1">
        <f t="array" ref="R95">INDEX(tblPrices[cv_2023], MATCH($A95,tblPrices[Products],0), 0)</f>
        <v>0</v>
      </c>
      <c r="S95" s="105" cm="1">
        <f t="array" ref="S95">INDEX(tblPrices[cv_2024], MATCH($A95,tblPrices[Products],0), 0)</f>
        <v>0</v>
      </c>
      <c r="T95" s="105" cm="1">
        <f t="array" ref="T95">INDEX(tblPrices[cv_2025], MATCH($A95,tblPrices[Products],0), 0)</f>
        <v>0</v>
      </c>
      <c r="U95" s="105" cm="1">
        <f t="array" ref="U95">INDEX(tblPrices[cv_2026], MATCH($A95,tblPrices[Products],0), 0)</f>
        <v>0</v>
      </c>
      <c r="V95" s="105" cm="1">
        <f t="array" ref="V95">INDEX(tblPrices[cv_2027], MATCH($A95,tblPrices[Products],0), 0)</f>
        <v>0</v>
      </c>
      <c r="W95" s="105" cm="1">
        <f t="array" ref="W95">INDEX(tblPrices[cv_2028], MATCH($A95,tblPrices[Products],0), 0)</f>
        <v>0</v>
      </c>
      <c r="X95" s="106" cm="1">
        <f t="array" ref="X95">INDEX(tblPrices[cv_2018], MATCH($A95,tblPrices[Products],0), 0)* tblForecast[[#This Row],[un_2018]]/10^6</f>
        <v>0</v>
      </c>
      <c r="Y95" s="106" cm="1">
        <f t="array" ref="Y95">INDEX(tblPrices[cv_2019], MATCH($A95,tblPrices[Products],0), 0)* tblForecast[[#This Row],[un_2019]]/10^6</f>
        <v>0</v>
      </c>
      <c r="Z95" s="106" cm="1">
        <f t="array" ref="Z95">INDEX(tblPrices[cv_2020], MATCH($A95,tblPrices[Products],0), 0)* tblForecast[[#This Row],[un_2020]]/10^6</f>
        <v>0</v>
      </c>
      <c r="AA95" s="106" cm="1">
        <f t="array" ref="AA95">INDEX(tblPrices[cv_2021], MATCH($A95,tblPrices[Products],0), 0)* tblForecast[[#This Row],[un_2021]]/10^6</f>
        <v>0</v>
      </c>
      <c r="AB95" s="106" cm="1">
        <f t="array" ref="AB95">INDEX(tblPrices[cv_2022], MATCH($A95,tblPrices[Products],0), 0)* tblForecast[[#This Row],[un_2022]]/10^6</f>
        <v>0</v>
      </c>
      <c r="AC95" s="106" cm="1">
        <f t="array" ref="AC95">INDEX(tblPrices[cv_2023], MATCH($A95,tblPrices[Products],0), 0)* tblForecast[[#This Row],[un_2023]]/10^6</f>
        <v>0</v>
      </c>
      <c r="AD95" s="106" cm="1">
        <f t="array" ref="AD95">INDEX(tblPrices[cv_2024], MATCH($A95,tblPrices[Products],0), 0)* tblForecast[[#This Row],[un_2024]]/10^6</f>
        <v>0</v>
      </c>
      <c r="AE95" s="106" cm="1">
        <f t="array" ref="AE95">INDEX(tblPrices[cv_2025], MATCH($A95,tblPrices[Products],0), 0)* tblForecast[[#This Row],[un_2025]]/10^6</f>
        <v>0</v>
      </c>
      <c r="AF95" s="106" cm="1">
        <f t="array" ref="AF95">INDEX(tblPrices[cv_2026], MATCH($A95,tblPrices[Products],0), 0)* tblForecast[[#This Row],[un_2026]]/10^6</f>
        <v>0</v>
      </c>
      <c r="AG95" s="106" cm="1">
        <f t="array" ref="AG95">INDEX(tblPrices[cv_2027], MATCH($A95,tblPrices[Products],0), 0)* tblForecast[[#This Row],[un_2027]]/10^6</f>
        <v>0</v>
      </c>
      <c r="AH95" s="106" cm="1">
        <f t="array" ref="AH95">INDEX(tblPrices[cv_2028], MATCH($A95,tblPrices[Products],0), 0)* tblForecast[[#This Row],[un_2028]]/10^6</f>
        <v>0</v>
      </c>
      <c r="AI95" s="60">
        <f>VLOOKUP(A95,Products!$A$11:$F$110,6,FALSE)</f>
        <v>1600</v>
      </c>
    </row>
    <row r="96" spans="1:35">
      <c r="A96" s="12" t="s">
        <v>19</v>
      </c>
      <c r="B96" s="8">
        <f xml:space="preserve"> SUMIF(tblGoogleUnits[Products],$A96, tblGoogleUnits[cv_2018]) + SUMIF(tblMetaUnits[Products],$A96, tblMetaUnits[cv_2018]) + SUMIF(tblAmazonUnits[Products],$A96, tblAmazonUnits[cv_2018]) + SUMIF(tblMicrosoftUnits[Products],$A96, tblMicrosoftUnits[cv_2018]) + SUMIF(tblAppleUnits[Products],$A96, tblAppleUnits[cv_2018]) + SUMIF(tblAlibabaUnits[Products],$A96, tblAlibabaUnits[cv_2018]) + SUMIF(tblHuaweiUnits[Products],$A96, tblHuaweiUnits[cv_2018]) + SUMIF(tblTencentUnits[Products],$A96, tblTencentUnits[cv_2018]) + SUMIF(tblBaiduUnits[Products],$A96, tblBaiduUnits[cv_2018]) + SUMIF(tblByteDanceUnits[Products],$A96, tblByteDanceUnits[cv_2018]) + SUMIF(tblCloudAOUnits[Products],$A96, tblCloudAOUnits[cv_2018]) + SUMIF(tblTelecomUnits[Products],$A96, tblTelecomUnits[cv_2018]) + SUMIF(tblEnterpriseUnits[Products],$A96, tblEnterpriseUnits[cv_2018])</f>
        <v>0</v>
      </c>
      <c r="C96" s="8">
        <f xml:space="preserve"> SUMIF(tblGoogleUnits[Products],$A96, tblGoogleUnits[cv_2019]) + SUMIF(tblMetaUnits[Products],$A96, tblMetaUnits[cv_2019]) + SUMIF(tblAmazonUnits[Products],$A96, tblAmazonUnits[cv_2019]) + SUMIF(tblMicrosoftUnits[Products],$A96, tblMicrosoftUnits[cv_2019]) + SUMIF(tblAppleUnits[Products],$A96, tblAppleUnits[cv_2019]) + SUMIF(tblAlibabaUnits[Products],$A96, tblAlibabaUnits[cv_2019]) + SUMIF(tblHuaweiUnits[Products],$A96, tblHuaweiUnits[cv_2019]) + SUMIF(tblTencentUnits[Products],$A96, tblTencentUnits[cv_2019]) + SUMIF(tblBaiduUnits[Products],$A96, tblBaiduUnits[cv_2019]) + SUMIF(tblByteDanceUnits[Products],$A96, tblByteDanceUnits[cv_2019]) + SUMIF(tblCloudAOUnits[Products],$A96, tblCloudAOUnits[cv_2019]) + SUMIF(tblTelecomUnits[Products],$A96, tblTelecomUnits[cv_2019]) + SUMIF(tblEnterpriseUnits[Products],$A96, tblEnterpriseUnits[cv_2019])</f>
        <v>0</v>
      </c>
      <c r="D96" s="8">
        <f xml:space="preserve"> SUMIF(tblGoogleUnits[Products],$A96, tblGoogleUnits[cv_2020]) + SUMIF(tblMetaUnits[Products],$A96, tblMetaUnits[cv_2020]) + SUMIF(tblAmazonUnits[Products],$A96, tblAmazonUnits[cv_2020]) + SUMIF(tblMicrosoftUnits[Products],$A96, tblMicrosoftUnits[cv_2020]) + SUMIF(tblAppleUnits[Products],$A96, tblAppleUnits[cv_2020]) + SUMIF(tblAlibabaUnits[Products],$A96, tblAlibabaUnits[cv_2020]) + SUMIF(tblHuaweiUnits[Products],$A96, tblHuaweiUnits[cv_2020]) + SUMIF(tblTencentUnits[Products],$A96, tblTencentUnits[cv_2020]) + SUMIF(tblBaiduUnits[Products],$A96, tblBaiduUnits[cv_2020]) + SUMIF(tblByteDanceUnits[Products],$A96, tblByteDanceUnits[cv_2020]) + SUMIF(tblCloudAOUnits[Products],$A96, tblCloudAOUnits[cv_2020]) + SUMIF(tblTelecomUnits[Products],$A96, tblTelecomUnits[cv_2020]) + SUMIF(tblEnterpriseUnits[Products],$A96, tblEnterpriseUnits[cv_2020])</f>
        <v>0</v>
      </c>
      <c r="E96" s="8">
        <f xml:space="preserve"> SUMIF(tblGoogleUnits[Products],$A96, tblGoogleUnits[cv_2021]) + SUMIF(tblMetaUnits[Products],$A96, tblMetaUnits[cv_2021]) + SUMIF(tblAmazonUnits[Products],$A96, tblAmazonUnits[cv_2021]) + SUMIF(tblMicrosoftUnits[Products],$A96, tblMicrosoftUnits[cv_2021]) + SUMIF(tblAppleUnits[Products],$A96, tblAppleUnits[cv_2021]) + SUMIF(tblAlibabaUnits[Products],$A96, tblAlibabaUnits[cv_2021]) + SUMIF(tblHuaweiUnits[Products],$A96, tblHuaweiUnits[cv_2021]) + SUMIF(tblTencentUnits[Products],$A96, tblTencentUnits[cv_2021]) + SUMIF(tblBaiduUnits[Products],$A96, tblBaiduUnits[cv_2021]) + SUMIF(tblByteDanceUnits[Products],$A96, tblByteDanceUnits[cv_2021]) + SUMIF(tblCloudAOUnits[Products],$A96, tblCloudAOUnits[cv_2021]) + SUMIF(tblTelecomUnits[Products],$A96, tblTelecomUnits[cv_2021]) + SUMIF(tblEnterpriseUnits[Products],$A96, tblEnterpriseUnits[cv_2021])</f>
        <v>0</v>
      </c>
      <c r="F96" s="8">
        <f xml:space="preserve"> SUMIF(tblGoogleUnits[Products],$A96, tblGoogleUnits[cv_2022]) + SUMIF(tblMetaUnits[Products],$A96, tblMetaUnits[cv_2022]) + SUMIF(tblAmazonUnits[Products],$A96, tblAmazonUnits[cv_2022]) + SUMIF(tblMicrosoftUnits[Products],$A96, tblMicrosoftUnits[cv_2022]) + SUMIF(tblAppleUnits[Products],$A96, tblAppleUnits[cv_2022]) + SUMIF(tblAlibabaUnits[Products],$A96, tblAlibabaUnits[cv_2022]) + SUMIF(tblHuaweiUnits[Products],$A96, tblHuaweiUnits[cv_2022]) + SUMIF(tblTencentUnits[Products],$A96, tblTencentUnits[cv_2022]) + SUMIF(tblBaiduUnits[Products],$A96, tblBaiduUnits[cv_2022]) + SUMIF(tblByteDanceUnits[Products],$A96, tblByteDanceUnits[cv_2022]) + SUMIF(tblCloudAOUnits[Products],$A96, tblCloudAOUnits[cv_2022]) + SUMIF(tblTelecomUnits[Products],$A96, tblTelecomUnits[cv_2022]) + SUMIF(tblEnterpriseUnits[Products],$A96, tblEnterpriseUnits[cv_2022])</f>
        <v>0</v>
      </c>
      <c r="G96" s="8">
        <f xml:space="preserve"> SUMIF(tblGoogleUnits[Products],$A96, tblGoogleUnits[cv_2023]) + SUMIF(tblMetaUnits[Products],$A96, tblMetaUnits[cv_2023]) + SUMIF(tblAmazonUnits[Products],$A96, tblAmazonUnits[cv_2023]) + SUMIF(tblMicrosoftUnits[Products],$A96, tblMicrosoftUnits[cv_2023]) + SUMIF(tblAppleUnits[Products],$A96, tblAppleUnits[cv_2023]) + SUMIF(tblAlibabaUnits[Products],$A96, tblAlibabaUnits[cv_2023]) + SUMIF(tblHuaweiUnits[Products],$A96, tblHuaweiUnits[cv_2023]) + SUMIF(tblTencentUnits[Products],$A96, tblTencentUnits[cv_2023]) + SUMIF(tblBaiduUnits[Products],$A96, tblBaiduUnits[cv_2023]) + SUMIF(tblByteDanceUnits[Products],$A96, tblByteDanceUnits[cv_2023]) + SUMIF(tblCloudAOUnits[Products],$A96, tblCloudAOUnits[cv_2023]) + SUMIF(tblTelecomUnits[Products],$A96, tblTelecomUnits[cv_2023]) + SUMIF(tblEnterpriseUnits[Products],$A96, tblEnterpriseUnits[cv_2023])</f>
        <v>0</v>
      </c>
      <c r="H96" s="8">
        <f xml:space="preserve"> SUMIF(tblGoogleUnits[Products],$A96, tblGoogleUnits[cv_2024]) + SUMIF(tblMetaUnits[Products],$A96, tblMetaUnits[cv_2024]) + SUMIF(tblAmazonUnits[Products],$A96, tblAmazonUnits[cv_2024]) + SUMIF(tblMicrosoftUnits[Products],$A96, tblMicrosoftUnits[cv_2024]) + SUMIF(tblAppleUnits[Products],$A96, tblAppleUnits[cv_2024]) + SUMIF(tblAlibabaUnits[Products],$A96, tblAlibabaUnits[cv_2024]) + SUMIF(tblHuaweiUnits[Products],$A96, tblHuaweiUnits[cv_2024]) + SUMIF(tblTencentUnits[Products],$A96, tblTencentUnits[cv_2024]) + SUMIF(tblBaiduUnits[Products],$A96, tblBaiduUnits[cv_2024]) + SUMIF(tblByteDanceUnits[Products],$A96, tblByteDanceUnits[cv_2024]) + SUMIF(tblCloudAOUnits[Products],$A96, tblCloudAOUnits[cv_2024]) + SUMIF(tblTelecomUnits[Products],$A96, tblTelecomUnits[cv_2024]) + SUMIF(tblEnterpriseUnits[Products],$A96, tblEnterpriseUnits[cv_2024])</f>
        <v>0</v>
      </c>
      <c r="I96" s="8">
        <f xml:space="preserve"> SUMIF(tblGoogleUnits[Products],$A96, tblGoogleUnits[cv_2025]) + SUMIF(tblMetaUnits[Products],$A96, tblMetaUnits[cv_2025]) + SUMIF(tblAmazonUnits[Products],$A96, tblAmazonUnits[cv_2025]) + SUMIF(tblMicrosoftUnits[Products],$A96, tblMicrosoftUnits[cv_2025]) + SUMIF(tblAppleUnits[Products],$A96, tblAppleUnits[cv_2025]) + SUMIF(tblAlibabaUnits[Products],$A96, tblAlibabaUnits[cv_2025]) + SUMIF(tblHuaweiUnits[Products],$A96, tblHuaweiUnits[cv_2025]) + SUMIF(tblTencentUnits[Products],$A96, tblTencentUnits[cv_2025]) + SUMIF(tblBaiduUnits[Products],$A96, tblBaiduUnits[cv_2025]) + SUMIF(tblByteDanceUnits[Products],$A96, tblByteDanceUnits[cv_2025]) + SUMIF(tblCloudAOUnits[Products],$A96, tblCloudAOUnits[cv_2025]) + SUMIF(tblTelecomUnits[Products],$A96, tblTelecomUnits[cv_2025]) + SUMIF(tblEnterpriseUnits[Products],$A96, tblEnterpriseUnits[cv_2025])</f>
        <v>0</v>
      </c>
      <c r="J96" s="8">
        <f xml:space="preserve"> SUMIF(tblGoogleUnits[Products],$A96, tblGoogleUnits[cv_2026]) + SUMIF(tblMetaUnits[Products],$A96, tblMetaUnits[cv_2026]) + SUMIF(tblAmazonUnits[Products],$A96, tblAmazonUnits[cv_2026]) + SUMIF(tblMicrosoftUnits[Products],$A96, tblMicrosoftUnits[cv_2026]) + SUMIF(tblAppleUnits[Products],$A96, tblAppleUnits[cv_2026]) + SUMIF(tblAlibabaUnits[Products],$A96, tblAlibabaUnits[cv_2026]) + SUMIF(tblHuaweiUnits[Products],$A96, tblHuaweiUnits[cv_2026]) + SUMIF(tblTencentUnits[Products],$A96, tblTencentUnits[cv_2026]) + SUMIF(tblBaiduUnits[Products],$A96, tblBaiduUnits[cv_2026]) + SUMIF(tblByteDanceUnits[Products],$A96, tblByteDanceUnits[cv_2026]) + SUMIF(tblCloudAOUnits[Products],$A96, tblCloudAOUnits[cv_2026]) + SUMIF(tblTelecomUnits[Products],$A96, tblTelecomUnits[cv_2026]) + SUMIF(tblEnterpriseUnits[Products],$A96, tblEnterpriseUnits[cv_2026])</f>
        <v>0</v>
      </c>
      <c r="K96" s="8">
        <f xml:space="preserve"> SUMIF(tblGoogleUnits[Products],$A96, tblGoogleUnits[cv_2027]) + SUMIF(tblMetaUnits[Products],$A96, tblMetaUnits[cv_2027]) + SUMIF(tblAmazonUnits[Products],$A96, tblAmazonUnits[cv_2027]) + SUMIF(tblMicrosoftUnits[Products],$A96, tblMicrosoftUnits[cv_2027]) + SUMIF(tblAppleUnits[Products],$A96, tblAppleUnits[cv_2027]) + SUMIF(tblAlibabaUnits[Products],$A96, tblAlibabaUnits[cv_2027]) + SUMIF(tblHuaweiUnits[Products],$A96, tblHuaweiUnits[cv_2027]) + SUMIF(tblTencentUnits[Products],$A96, tblTencentUnits[cv_2027]) + SUMIF(tblBaiduUnits[Products],$A96, tblBaiduUnits[cv_2027]) + SUMIF(tblByteDanceUnits[Products],$A96, tblByteDanceUnits[cv_2027]) + SUMIF(tblCloudAOUnits[Products],$A96, tblCloudAOUnits[cv_2027]) + SUMIF(tblTelecomUnits[Products],$A96, tblTelecomUnits[cv_2027]) + SUMIF(tblEnterpriseUnits[Products],$A96, tblEnterpriseUnits[cv_2027])</f>
        <v>0</v>
      </c>
      <c r="L96" s="8">
        <f xml:space="preserve"> SUMIF(tblGoogleUnits[Products],$A96, tblGoogleUnits[cv_2028]) + SUMIF(tblMetaUnits[Products],$A96, tblMetaUnits[cv_2028]) + SUMIF(tblAmazonUnits[Products],$A96, tblAmazonUnits[cv_2028]) + SUMIF(tblMicrosoftUnits[Products],$A96, tblMicrosoftUnits[cv_2028]) + SUMIF(tblAppleUnits[Products],$A96, tblAppleUnits[cv_2028]) + SUMIF(tblAlibabaUnits[Products],$A96, tblAlibabaUnits[cv_2028]) + SUMIF(tblHuaweiUnits[Products],$A96, tblHuaweiUnits[cv_2028]) + SUMIF(tblTencentUnits[Products],$A96, tblTencentUnits[cv_2028]) + SUMIF(tblBaiduUnits[Products],$A96, tblBaiduUnits[cv_2028]) + SUMIF(tblByteDanceUnits[Products],$A96, tblByteDanceUnits[cv_2028]) + SUMIF(tblCloudAOUnits[Products],$A96, tblCloudAOUnits[cv_2028]) + SUMIF(tblTelecomUnits[Products],$A96, tblTelecomUnits[cv_2028]) + SUMIF(tblEnterpriseUnits[Products],$A96, tblEnterpriseUnits[cv_2028])</f>
        <v>0</v>
      </c>
      <c r="M96" s="105" cm="1">
        <f t="array" ref="M96">INDEX(tblPrices[cv_2018], MATCH($A96,tblPrices[Products],0), 0)</f>
        <v>0</v>
      </c>
      <c r="N96" s="105" cm="1">
        <f t="array" ref="N96">INDEX(tblPrices[cv_2019], MATCH($A96,tblPrices[Products],0), 0)</f>
        <v>0</v>
      </c>
      <c r="O96" s="105" cm="1">
        <f t="array" ref="O96">INDEX(tblPrices[cv_2020], MATCH($A96,tblPrices[Products],0), 0)</f>
        <v>0</v>
      </c>
      <c r="P96" s="105" cm="1">
        <f t="array" ref="P96">INDEX(tblPrices[cv_2021], MATCH($A96,tblPrices[Products],0), 0)</f>
        <v>0</v>
      </c>
      <c r="Q96" s="105" cm="1">
        <f t="array" ref="Q96">INDEX(tblPrices[cv_2022], MATCH($A96,tblPrices[Products],0), 0)</f>
        <v>0</v>
      </c>
      <c r="R96" s="105" cm="1">
        <f t="array" ref="R96">INDEX(tblPrices[cv_2023], MATCH($A96,tblPrices[Products],0), 0)</f>
        <v>0</v>
      </c>
      <c r="S96" s="105" cm="1">
        <f t="array" ref="S96">INDEX(tblPrices[cv_2024], MATCH($A96,tblPrices[Products],0), 0)</f>
        <v>0</v>
      </c>
      <c r="T96" s="105" cm="1">
        <f t="array" ref="T96">INDEX(tblPrices[cv_2025], MATCH($A96,tblPrices[Products],0), 0)</f>
        <v>0</v>
      </c>
      <c r="U96" s="105" cm="1">
        <f t="array" ref="U96">INDEX(tblPrices[cv_2026], MATCH($A96,tblPrices[Products],0), 0)</f>
        <v>0</v>
      </c>
      <c r="V96" s="105" cm="1">
        <f t="array" ref="V96">INDEX(tblPrices[cv_2027], MATCH($A96,tblPrices[Products],0), 0)</f>
        <v>0</v>
      </c>
      <c r="W96" s="105" cm="1">
        <f t="array" ref="W96">INDEX(tblPrices[cv_2028], MATCH($A96,tblPrices[Products],0), 0)</f>
        <v>0</v>
      </c>
      <c r="X96" s="106" cm="1">
        <f t="array" ref="X96">INDEX(tblPrices[cv_2018], MATCH($A96,tblPrices[Products],0), 0)* tblForecast[[#This Row],[un_2018]]/10^6</f>
        <v>0</v>
      </c>
      <c r="Y96" s="106" cm="1">
        <f t="array" ref="Y96">INDEX(tblPrices[cv_2019], MATCH($A96,tblPrices[Products],0), 0)* tblForecast[[#This Row],[un_2019]]/10^6</f>
        <v>0</v>
      </c>
      <c r="Z96" s="106" cm="1">
        <f t="array" ref="Z96">INDEX(tblPrices[cv_2020], MATCH($A96,tblPrices[Products],0), 0)* tblForecast[[#This Row],[un_2020]]/10^6</f>
        <v>0</v>
      </c>
      <c r="AA96" s="106" cm="1">
        <f t="array" ref="AA96">INDEX(tblPrices[cv_2021], MATCH($A96,tblPrices[Products],0), 0)* tblForecast[[#This Row],[un_2021]]/10^6</f>
        <v>0</v>
      </c>
      <c r="AB96" s="106" cm="1">
        <f t="array" ref="AB96">INDEX(tblPrices[cv_2022], MATCH($A96,tblPrices[Products],0), 0)* tblForecast[[#This Row],[un_2022]]/10^6</f>
        <v>0</v>
      </c>
      <c r="AC96" s="106" cm="1">
        <f t="array" ref="AC96">INDEX(tblPrices[cv_2023], MATCH($A96,tblPrices[Products],0), 0)* tblForecast[[#This Row],[un_2023]]/10^6</f>
        <v>0</v>
      </c>
      <c r="AD96" s="106" cm="1">
        <f t="array" ref="AD96">INDEX(tblPrices[cv_2024], MATCH($A96,tblPrices[Products],0), 0)* tblForecast[[#This Row],[un_2024]]/10^6</f>
        <v>0</v>
      </c>
      <c r="AE96" s="106" cm="1">
        <f t="array" ref="AE96">INDEX(tblPrices[cv_2025], MATCH($A96,tblPrices[Products],0), 0)* tblForecast[[#This Row],[un_2025]]/10^6</f>
        <v>0</v>
      </c>
      <c r="AF96" s="106" cm="1">
        <f t="array" ref="AF96">INDEX(tblPrices[cv_2026], MATCH($A96,tblPrices[Products],0), 0)* tblForecast[[#This Row],[un_2026]]/10^6</f>
        <v>0</v>
      </c>
      <c r="AG96" s="106" cm="1">
        <f t="array" ref="AG96">INDEX(tblPrices[cv_2027], MATCH($A96,tblPrices[Products],0), 0)* tblForecast[[#This Row],[un_2027]]/10^6</f>
        <v>0</v>
      </c>
      <c r="AH96" s="106" cm="1">
        <f t="array" ref="AH96">INDEX(tblPrices[cv_2028], MATCH($A96,tblPrices[Products],0), 0)* tblForecast[[#This Row],[un_2028]]/10^6</f>
        <v>0</v>
      </c>
      <c r="AI96" s="60">
        <f>VLOOKUP(A96,Products!$A$11:$F$110,6,FALSE)</f>
        <v>1600</v>
      </c>
    </row>
    <row r="97" spans="1:35">
      <c r="A97" s="12" t="s">
        <v>20</v>
      </c>
      <c r="B97" s="8">
        <f xml:space="preserve"> SUMIF(tblGoogleUnits[Products],$A97, tblGoogleUnits[cv_2018]) + SUMIF(tblMetaUnits[Products],$A97, tblMetaUnits[cv_2018]) + SUMIF(tblAmazonUnits[Products],$A97, tblAmazonUnits[cv_2018]) + SUMIF(tblMicrosoftUnits[Products],$A97, tblMicrosoftUnits[cv_2018]) + SUMIF(tblAppleUnits[Products],$A97, tblAppleUnits[cv_2018]) + SUMIF(tblAlibabaUnits[Products],$A97, tblAlibabaUnits[cv_2018]) + SUMIF(tblHuaweiUnits[Products],$A97, tblHuaweiUnits[cv_2018]) + SUMIF(tblTencentUnits[Products],$A97, tblTencentUnits[cv_2018]) + SUMIF(tblBaiduUnits[Products],$A97, tblBaiduUnits[cv_2018]) + SUMIF(tblByteDanceUnits[Products],$A97, tblByteDanceUnits[cv_2018]) + SUMIF(tblCloudAOUnits[Products],$A97, tblCloudAOUnits[cv_2018]) + SUMIF(tblTelecomUnits[Products],$A97, tblTelecomUnits[cv_2018]) + SUMIF(tblEnterpriseUnits[Products],$A97, tblEnterpriseUnits[cv_2018])</f>
        <v>0</v>
      </c>
      <c r="C97" s="8">
        <f xml:space="preserve"> SUMIF(tblGoogleUnits[Products],$A97, tblGoogleUnits[cv_2019]) + SUMIF(tblMetaUnits[Products],$A97, tblMetaUnits[cv_2019]) + SUMIF(tblAmazonUnits[Products],$A97, tblAmazonUnits[cv_2019]) + SUMIF(tblMicrosoftUnits[Products],$A97, tblMicrosoftUnits[cv_2019]) + SUMIF(tblAppleUnits[Products],$A97, tblAppleUnits[cv_2019]) + SUMIF(tblAlibabaUnits[Products],$A97, tblAlibabaUnits[cv_2019]) + SUMIF(tblHuaweiUnits[Products],$A97, tblHuaweiUnits[cv_2019]) + SUMIF(tblTencentUnits[Products],$A97, tblTencentUnits[cv_2019]) + SUMIF(tblBaiduUnits[Products],$A97, tblBaiduUnits[cv_2019]) + SUMIF(tblByteDanceUnits[Products],$A97, tblByteDanceUnits[cv_2019]) + SUMIF(tblCloudAOUnits[Products],$A97, tblCloudAOUnits[cv_2019]) + SUMIF(tblTelecomUnits[Products],$A97, tblTelecomUnits[cv_2019]) + SUMIF(tblEnterpriseUnits[Products],$A97, tblEnterpriseUnits[cv_2019])</f>
        <v>0</v>
      </c>
      <c r="D97" s="8">
        <f xml:space="preserve"> SUMIF(tblGoogleUnits[Products],$A97, tblGoogleUnits[cv_2020]) + SUMIF(tblMetaUnits[Products],$A97, tblMetaUnits[cv_2020]) + SUMIF(tblAmazonUnits[Products],$A97, tblAmazonUnits[cv_2020]) + SUMIF(tblMicrosoftUnits[Products],$A97, tblMicrosoftUnits[cv_2020]) + SUMIF(tblAppleUnits[Products],$A97, tblAppleUnits[cv_2020]) + SUMIF(tblAlibabaUnits[Products],$A97, tblAlibabaUnits[cv_2020]) + SUMIF(tblHuaweiUnits[Products],$A97, tblHuaweiUnits[cv_2020]) + SUMIF(tblTencentUnits[Products],$A97, tblTencentUnits[cv_2020]) + SUMIF(tblBaiduUnits[Products],$A97, tblBaiduUnits[cv_2020]) + SUMIF(tblByteDanceUnits[Products],$A97, tblByteDanceUnits[cv_2020]) + SUMIF(tblCloudAOUnits[Products],$A97, tblCloudAOUnits[cv_2020]) + SUMIF(tblTelecomUnits[Products],$A97, tblTelecomUnits[cv_2020]) + SUMIF(tblEnterpriseUnits[Products],$A97, tblEnterpriseUnits[cv_2020])</f>
        <v>0</v>
      </c>
      <c r="E97" s="8">
        <f xml:space="preserve"> SUMIF(tblGoogleUnits[Products],$A97, tblGoogleUnits[cv_2021]) + SUMIF(tblMetaUnits[Products],$A97, tblMetaUnits[cv_2021]) + SUMIF(tblAmazonUnits[Products],$A97, tblAmazonUnits[cv_2021]) + SUMIF(tblMicrosoftUnits[Products],$A97, tblMicrosoftUnits[cv_2021]) + SUMIF(tblAppleUnits[Products],$A97, tblAppleUnits[cv_2021]) + SUMIF(tblAlibabaUnits[Products],$A97, tblAlibabaUnits[cv_2021]) + SUMIF(tblHuaweiUnits[Products],$A97, tblHuaweiUnits[cv_2021]) + SUMIF(tblTencentUnits[Products],$A97, tblTencentUnits[cv_2021]) + SUMIF(tblBaiduUnits[Products],$A97, tblBaiduUnits[cv_2021]) + SUMIF(tblByteDanceUnits[Products],$A97, tblByteDanceUnits[cv_2021]) + SUMIF(tblCloudAOUnits[Products],$A97, tblCloudAOUnits[cv_2021]) + SUMIF(tblTelecomUnits[Products],$A97, tblTelecomUnits[cv_2021]) + SUMIF(tblEnterpriseUnits[Products],$A97, tblEnterpriseUnits[cv_2021])</f>
        <v>0</v>
      </c>
      <c r="F97" s="8">
        <f xml:space="preserve"> SUMIF(tblGoogleUnits[Products],$A97, tblGoogleUnits[cv_2022]) + SUMIF(tblMetaUnits[Products],$A97, tblMetaUnits[cv_2022]) + SUMIF(tblAmazonUnits[Products],$A97, tblAmazonUnits[cv_2022]) + SUMIF(tblMicrosoftUnits[Products],$A97, tblMicrosoftUnits[cv_2022]) + SUMIF(tblAppleUnits[Products],$A97, tblAppleUnits[cv_2022]) + SUMIF(tblAlibabaUnits[Products],$A97, tblAlibabaUnits[cv_2022]) + SUMIF(tblHuaweiUnits[Products],$A97, tblHuaweiUnits[cv_2022]) + SUMIF(tblTencentUnits[Products],$A97, tblTencentUnits[cv_2022]) + SUMIF(tblBaiduUnits[Products],$A97, tblBaiduUnits[cv_2022]) + SUMIF(tblByteDanceUnits[Products],$A97, tblByteDanceUnits[cv_2022]) + SUMIF(tblCloudAOUnits[Products],$A97, tblCloudAOUnits[cv_2022]) + SUMIF(tblTelecomUnits[Products],$A97, tblTelecomUnits[cv_2022]) + SUMIF(tblEnterpriseUnits[Products],$A97, tblEnterpriseUnits[cv_2022])</f>
        <v>0</v>
      </c>
      <c r="G97" s="8">
        <f xml:space="preserve"> SUMIF(tblGoogleUnits[Products],$A97, tblGoogleUnits[cv_2023]) + SUMIF(tblMetaUnits[Products],$A97, tblMetaUnits[cv_2023]) + SUMIF(tblAmazonUnits[Products],$A97, tblAmazonUnits[cv_2023]) + SUMIF(tblMicrosoftUnits[Products],$A97, tblMicrosoftUnits[cv_2023]) + SUMIF(tblAppleUnits[Products],$A97, tblAppleUnits[cv_2023]) + SUMIF(tblAlibabaUnits[Products],$A97, tblAlibabaUnits[cv_2023]) + SUMIF(tblHuaweiUnits[Products],$A97, tblHuaweiUnits[cv_2023]) + SUMIF(tblTencentUnits[Products],$A97, tblTencentUnits[cv_2023]) + SUMIF(tblBaiduUnits[Products],$A97, tblBaiduUnits[cv_2023]) + SUMIF(tblByteDanceUnits[Products],$A97, tblByteDanceUnits[cv_2023]) + SUMIF(tblCloudAOUnits[Products],$A97, tblCloudAOUnits[cv_2023]) + SUMIF(tblTelecomUnits[Products],$A97, tblTelecomUnits[cv_2023]) + SUMIF(tblEnterpriseUnits[Products],$A97, tblEnterpriseUnits[cv_2023])</f>
        <v>0</v>
      </c>
      <c r="H97" s="8">
        <f xml:space="preserve"> SUMIF(tblGoogleUnits[Products],$A97, tblGoogleUnits[cv_2024]) + SUMIF(tblMetaUnits[Products],$A97, tblMetaUnits[cv_2024]) + SUMIF(tblAmazonUnits[Products],$A97, tblAmazonUnits[cv_2024]) + SUMIF(tblMicrosoftUnits[Products],$A97, tblMicrosoftUnits[cv_2024]) + SUMIF(tblAppleUnits[Products],$A97, tblAppleUnits[cv_2024]) + SUMIF(tblAlibabaUnits[Products],$A97, tblAlibabaUnits[cv_2024]) + SUMIF(tblHuaweiUnits[Products],$A97, tblHuaweiUnits[cv_2024]) + SUMIF(tblTencentUnits[Products],$A97, tblTencentUnits[cv_2024]) + SUMIF(tblBaiduUnits[Products],$A97, tblBaiduUnits[cv_2024]) + SUMIF(tblByteDanceUnits[Products],$A97, tblByteDanceUnits[cv_2024]) + SUMIF(tblCloudAOUnits[Products],$A97, tblCloudAOUnits[cv_2024]) + SUMIF(tblTelecomUnits[Products],$A97, tblTelecomUnits[cv_2024]) + SUMIF(tblEnterpriseUnits[Products],$A97, tblEnterpriseUnits[cv_2024])</f>
        <v>0</v>
      </c>
      <c r="I97" s="8">
        <f xml:space="preserve"> SUMIF(tblGoogleUnits[Products],$A97, tblGoogleUnits[cv_2025]) + SUMIF(tblMetaUnits[Products],$A97, tblMetaUnits[cv_2025]) + SUMIF(tblAmazonUnits[Products],$A97, tblAmazonUnits[cv_2025]) + SUMIF(tblMicrosoftUnits[Products],$A97, tblMicrosoftUnits[cv_2025]) + SUMIF(tblAppleUnits[Products],$A97, tblAppleUnits[cv_2025]) + SUMIF(tblAlibabaUnits[Products],$A97, tblAlibabaUnits[cv_2025]) + SUMIF(tblHuaweiUnits[Products],$A97, tblHuaweiUnits[cv_2025]) + SUMIF(tblTencentUnits[Products],$A97, tblTencentUnits[cv_2025]) + SUMIF(tblBaiduUnits[Products],$A97, tblBaiduUnits[cv_2025]) + SUMIF(tblByteDanceUnits[Products],$A97, tblByteDanceUnits[cv_2025]) + SUMIF(tblCloudAOUnits[Products],$A97, tblCloudAOUnits[cv_2025]) + SUMIF(tblTelecomUnits[Products],$A97, tblTelecomUnits[cv_2025]) + SUMIF(tblEnterpriseUnits[Products],$A97, tblEnterpriseUnits[cv_2025])</f>
        <v>0</v>
      </c>
      <c r="J97" s="8">
        <f xml:space="preserve"> SUMIF(tblGoogleUnits[Products],$A97, tblGoogleUnits[cv_2026]) + SUMIF(tblMetaUnits[Products],$A97, tblMetaUnits[cv_2026]) + SUMIF(tblAmazonUnits[Products],$A97, tblAmazonUnits[cv_2026]) + SUMIF(tblMicrosoftUnits[Products],$A97, tblMicrosoftUnits[cv_2026]) + SUMIF(tblAppleUnits[Products],$A97, tblAppleUnits[cv_2026]) + SUMIF(tblAlibabaUnits[Products],$A97, tblAlibabaUnits[cv_2026]) + SUMIF(tblHuaweiUnits[Products],$A97, tblHuaweiUnits[cv_2026]) + SUMIF(tblTencentUnits[Products],$A97, tblTencentUnits[cv_2026]) + SUMIF(tblBaiduUnits[Products],$A97, tblBaiduUnits[cv_2026]) + SUMIF(tblByteDanceUnits[Products],$A97, tblByteDanceUnits[cv_2026]) + SUMIF(tblCloudAOUnits[Products],$A97, tblCloudAOUnits[cv_2026]) + SUMIF(tblTelecomUnits[Products],$A97, tblTelecomUnits[cv_2026]) + SUMIF(tblEnterpriseUnits[Products],$A97, tblEnterpriseUnits[cv_2026])</f>
        <v>0</v>
      </c>
      <c r="K97" s="8">
        <f xml:space="preserve"> SUMIF(tblGoogleUnits[Products],$A97, tblGoogleUnits[cv_2027]) + SUMIF(tblMetaUnits[Products],$A97, tblMetaUnits[cv_2027]) + SUMIF(tblAmazonUnits[Products],$A97, tblAmazonUnits[cv_2027]) + SUMIF(tblMicrosoftUnits[Products],$A97, tblMicrosoftUnits[cv_2027]) + SUMIF(tblAppleUnits[Products],$A97, tblAppleUnits[cv_2027]) + SUMIF(tblAlibabaUnits[Products],$A97, tblAlibabaUnits[cv_2027]) + SUMIF(tblHuaweiUnits[Products],$A97, tblHuaweiUnits[cv_2027]) + SUMIF(tblTencentUnits[Products],$A97, tblTencentUnits[cv_2027]) + SUMIF(tblBaiduUnits[Products],$A97, tblBaiduUnits[cv_2027]) + SUMIF(tblByteDanceUnits[Products],$A97, tblByteDanceUnits[cv_2027]) + SUMIF(tblCloudAOUnits[Products],$A97, tblCloudAOUnits[cv_2027]) + SUMIF(tblTelecomUnits[Products],$A97, tblTelecomUnits[cv_2027]) + SUMIF(tblEnterpriseUnits[Products],$A97, tblEnterpriseUnits[cv_2027])</f>
        <v>0</v>
      </c>
      <c r="L97" s="8">
        <f xml:space="preserve"> SUMIF(tblGoogleUnits[Products],$A97, tblGoogleUnits[cv_2028]) + SUMIF(tblMetaUnits[Products],$A97, tblMetaUnits[cv_2028]) + SUMIF(tblAmazonUnits[Products],$A97, tblAmazonUnits[cv_2028]) + SUMIF(tblMicrosoftUnits[Products],$A97, tblMicrosoftUnits[cv_2028]) + SUMIF(tblAppleUnits[Products],$A97, tblAppleUnits[cv_2028]) + SUMIF(tblAlibabaUnits[Products],$A97, tblAlibabaUnits[cv_2028]) + SUMIF(tblHuaweiUnits[Products],$A97, tblHuaweiUnits[cv_2028]) + SUMIF(tblTencentUnits[Products],$A97, tblTencentUnits[cv_2028]) + SUMIF(tblBaiduUnits[Products],$A97, tblBaiduUnits[cv_2028]) + SUMIF(tblByteDanceUnits[Products],$A97, tblByteDanceUnits[cv_2028]) + SUMIF(tblCloudAOUnits[Products],$A97, tblCloudAOUnits[cv_2028]) + SUMIF(tblTelecomUnits[Products],$A97, tblTelecomUnits[cv_2028]) + SUMIF(tblEnterpriseUnits[Products],$A97, tblEnterpriseUnits[cv_2028])</f>
        <v>0</v>
      </c>
      <c r="M97" s="105" cm="1">
        <f t="array" ref="M97">INDEX(tblPrices[cv_2018], MATCH($A97,tblPrices[Products],0), 0)</f>
        <v>0</v>
      </c>
      <c r="N97" s="105" cm="1">
        <f t="array" ref="N97">INDEX(tblPrices[cv_2019], MATCH($A97,tblPrices[Products],0), 0)</f>
        <v>0</v>
      </c>
      <c r="O97" s="105" cm="1">
        <f t="array" ref="O97">INDEX(tblPrices[cv_2020], MATCH($A97,tblPrices[Products],0), 0)</f>
        <v>0</v>
      </c>
      <c r="P97" s="105" cm="1">
        <f t="array" ref="P97">INDEX(tblPrices[cv_2021], MATCH($A97,tblPrices[Products],0), 0)</f>
        <v>0</v>
      </c>
      <c r="Q97" s="105" cm="1">
        <f t="array" ref="Q97">INDEX(tblPrices[cv_2022], MATCH($A97,tblPrices[Products],0), 0)</f>
        <v>0</v>
      </c>
      <c r="R97" s="105" cm="1">
        <f t="array" ref="R97">INDEX(tblPrices[cv_2023], MATCH($A97,tblPrices[Products],0), 0)</f>
        <v>0</v>
      </c>
      <c r="S97" s="105" cm="1">
        <f t="array" ref="S97">INDEX(tblPrices[cv_2024], MATCH($A97,tblPrices[Products],0), 0)</f>
        <v>0</v>
      </c>
      <c r="T97" s="105" cm="1">
        <f t="array" ref="T97">INDEX(tblPrices[cv_2025], MATCH($A97,tblPrices[Products],0), 0)</f>
        <v>0</v>
      </c>
      <c r="U97" s="105" cm="1">
        <f t="array" ref="U97">INDEX(tblPrices[cv_2026], MATCH($A97,tblPrices[Products],0), 0)</f>
        <v>0</v>
      </c>
      <c r="V97" s="105" cm="1">
        <f t="array" ref="V97">INDEX(tblPrices[cv_2027], MATCH($A97,tblPrices[Products],0), 0)</f>
        <v>0</v>
      </c>
      <c r="W97" s="105" cm="1">
        <f t="array" ref="W97">INDEX(tblPrices[cv_2028], MATCH($A97,tblPrices[Products],0), 0)</f>
        <v>0</v>
      </c>
      <c r="X97" s="106" cm="1">
        <f t="array" ref="X97">INDEX(tblPrices[cv_2018], MATCH($A97,tblPrices[Products],0), 0)* tblForecast[[#This Row],[un_2018]]/10^6</f>
        <v>0</v>
      </c>
      <c r="Y97" s="106" cm="1">
        <f t="array" ref="Y97">INDEX(tblPrices[cv_2019], MATCH($A97,tblPrices[Products],0), 0)* tblForecast[[#This Row],[un_2019]]/10^6</f>
        <v>0</v>
      </c>
      <c r="Z97" s="106" cm="1">
        <f t="array" ref="Z97">INDEX(tblPrices[cv_2020], MATCH($A97,tblPrices[Products],0), 0)* tblForecast[[#This Row],[un_2020]]/10^6</f>
        <v>0</v>
      </c>
      <c r="AA97" s="106" cm="1">
        <f t="array" ref="AA97">INDEX(tblPrices[cv_2021], MATCH($A97,tblPrices[Products],0), 0)* tblForecast[[#This Row],[un_2021]]/10^6</f>
        <v>0</v>
      </c>
      <c r="AB97" s="106" cm="1">
        <f t="array" ref="AB97">INDEX(tblPrices[cv_2022], MATCH($A97,tblPrices[Products],0), 0)* tblForecast[[#This Row],[un_2022]]/10^6</f>
        <v>0</v>
      </c>
      <c r="AC97" s="106" cm="1">
        <f t="array" ref="AC97">INDEX(tblPrices[cv_2023], MATCH($A97,tblPrices[Products],0), 0)* tblForecast[[#This Row],[un_2023]]/10^6</f>
        <v>0</v>
      </c>
      <c r="AD97" s="106" cm="1">
        <f t="array" ref="AD97">INDEX(tblPrices[cv_2024], MATCH($A97,tblPrices[Products],0), 0)* tblForecast[[#This Row],[un_2024]]/10^6</f>
        <v>0</v>
      </c>
      <c r="AE97" s="106" cm="1">
        <f t="array" ref="AE97">INDEX(tblPrices[cv_2025], MATCH($A97,tblPrices[Products],0), 0)* tblForecast[[#This Row],[un_2025]]/10^6</f>
        <v>0</v>
      </c>
      <c r="AF97" s="106" cm="1">
        <f t="array" ref="AF97">INDEX(tblPrices[cv_2026], MATCH($A97,tblPrices[Products],0), 0)* tblForecast[[#This Row],[un_2026]]/10^6</f>
        <v>0</v>
      </c>
      <c r="AG97" s="106" cm="1">
        <f t="array" ref="AG97">INDEX(tblPrices[cv_2027], MATCH($A97,tblPrices[Products],0), 0)* tblForecast[[#This Row],[un_2027]]/10^6</f>
        <v>0</v>
      </c>
      <c r="AH97" s="106" cm="1">
        <f t="array" ref="AH97">INDEX(tblPrices[cv_2028], MATCH($A97,tblPrices[Products],0), 0)* tblForecast[[#This Row],[un_2028]]/10^6</f>
        <v>0</v>
      </c>
      <c r="AI97" s="60">
        <f>VLOOKUP(A97,Products!$A$11:$F$110,6,FALSE)</f>
        <v>1600</v>
      </c>
    </row>
    <row r="98" spans="1:35">
      <c r="A98" s="12" t="s">
        <v>49</v>
      </c>
      <c r="B98" s="8">
        <f xml:space="preserve"> SUMIF(tblGoogleUnits[Products],$A98, tblGoogleUnits[cv_2018]) + SUMIF(tblMetaUnits[Products],$A98, tblMetaUnits[cv_2018]) + SUMIF(tblAmazonUnits[Products],$A98, tblAmazonUnits[cv_2018]) + SUMIF(tblMicrosoftUnits[Products],$A98, tblMicrosoftUnits[cv_2018]) + SUMIF(tblAppleUnits[Products],$A98, tblAppleUnits[cv_2018]) + SUMIF(tblAlibabaUnits[Products],$A98, tblAlibabaUnits[cv_2018]) + SUMIF(tblHuaweiUnits[Products],$A98, tblHuaweiUnits[cv_2018]) + SUMIF(tblTencentUnits[Products],$A98, tblTencentUnits[cv_2018]) + SUMIF(tblBaiduUnits[Products],$A98, tblBaiduUnits[cv_2018]) + SUMIF(tblByteDanceUnits[Products],$A98, tblByteDanceUnits[cv_2018]) + SUMIF(tblCloudAOUnits[Products],$A98, tblCloudAOUnits[cv_2018]) + SUMIF(tblTelecomUnits[Products],$A98, tblTelecomUnits[cv_2018]) + SUMIF(tblEnterpriseUnits[Products],$A98, tblEnterpriseUnits[cv_2018])</f>
        <v>0</v>
      </c>
      <c r="C98" s="8">
        <f xml:space="preserve"> SUMIF(tblGoogleUnits[Products],$A98, tblGoogleUnits[cv_2019]) + SUMIF(tblMetaUnits[Products],$A98, tblMetaUnits[cv_2019]) + SUMIF(tblAmazonUnits[Products],$A98, tblAmazonUnits[cv_2019]) + SUMIF(tblMicrosoftUnits[Products],$A98, tblMicrosoftUnits[cv_2019]) + SUMIF(tblAppleUnits[Products],$A98, tblAppleUnits[cv_2019]) + SUMIF(tblAlibabaUnits[Products],$A98, tblAlibabaUnits[cv_2019]) + SUMIF(tblHuaweiUnits[Products],$A98, tblHuaweiUnits[cv_2019]) + SUMIF(tblTencentUnits[Products],$A98, tblTencentUnits[cv_2019]) + SUMIF(tblBaiduUnits[Products],$A98, tblBaiduUnits[cv_2019]) + SUMIF(tblByteDanceUnits[Products],$A98, tblByteDanceUnits[cv_2019]) + SUMIF(tblCloudAOUnits[Products],$A98, tblCloudAOUnits[cv_2019]) + SUMIF(tblTelecomUnits[Products],$A98, tblTelecomUnits[cv_2019]) + SUMIF(tblEnterpriseUnits[Products],$A98, tblEnterpriseUnits[cv_2019])</f>
        <v>0</v>
      </c>
      <c r="D98" s="8">
        <f xml:space="preserve"> SUMIF(tblGoogleUnits[Products],$A98, tblGoogleUnits[cv_2020]) + SUMIF(tblMetaUnits[Products],$A98, tblMetaUnits[cv_2020]) + SUMIF(tblAmazonUnits[Products],$A98, tblAmazonUnits[cv_2020]) + SUMIF(tblMicrosoftUnits[Products],$A98, tblMicrosoftUnits[cv_2020]) + SUMIF(tblAppleUnits[Products],$A98, tblAppleUnits[cv_2020]) + SUMIF(tblAlibabaUnits[Products],$A98, tblAlibabaUnits[cv_2020]) + SUMIF(tblHuaweiUnits[Products],$A98, tblHuaweiUnits[cv_2020]) + SUMIF(tblTencentUnits[Products],$A98, tblTencentUnits[cv_2020]) + SUMIF(tblBaiduUnits[Products],$A98, tblBaiduUnits[cv_2020]) + SUMIF(tblByteDanceUnits[Products],$A98, tblByteDanceUnits[cv_2020]) + SUMIF(tblCloudAOUnits[Products],$A98, tblCloudAOUnits[cv_2020]) + SUMIF(tblTelecomUnits[Products],$A98, tblTelecomUnits[cv_2020]) + SUMIF(tblEnterpriseUnits[Products],$A98, tblEnterpriseUnits[cv_2020])</f>
        <v>0</v>
      </c>
      <c r="E98" s="8">
        <f xml:space="preserve"> SUMIF(tblGoogleUnits[Products],$A98, tblGoogleUnits[cv_2021]) + SUMIF(tblMetaUnits[Products],$A98, tblMetaUnits[cv_2021]) + SUMIF(tblAmazonUnits[Products],$A98, tblAmazonUnits[cv_2021]) + SUMIF(tblMicrosoftUnits[Products],$A98, tblMicrosoftUnits[cv_2021]) + SUMIF(tblAppleUnits[Products],$A98, tblAppleUnits[cv_2021]) + SUMIF(tblAlibabaUnits[Products],$A98, tblAlibabaUnits[cv_2021]) + SUMIF(tblHuaweiUnits[Products],$A98, tblHuaweiUnits[cv_2021]) + SUMIF(tblTencentUnits[Products],$A98, tblTencentUnits[cv_2021]) + SUMIF(tblBaiduUnits[Products],$A98, tblBaiduUnits[cv_2021]) + SUMIF(tblByteDanceUnits[Products],$A98, tblByteDanceUnits[cv_2021]) + SUMIF(tblCloudAOUnits[Products],$A98, tblCloudAOUnits[cv_2021]) + SUMIF(tblTelecomUnits[Products],$A98, tblTelecomUnits[cv_2021]) + SUMIF(tblEnterpriseUnits[Products],$A98, tblEnterpriseUnits[cv_2021])</f>
        <v>0</v>
      </c>
      <c r="F98" s="8">
        <f xml:space="preserve"> SUMIF(tblGoogleUnits[Products],$A98, tblGoogleUnits[cv_2022]) + SUMIF(tblMetaUnits[Products],$A98, tblMetaUnits[cv_2022]) + SUMIF(tblAmazonUnits[Products],$A98, tblAmazonUnits[cv_2022]) + SUMIF(tblMicrosoftUnits[Products],$A98, tblMicrosoftUnits[cv_2022]) + SUMIF(tblAppleUnits[Products],$A98, tblAppleUnits[cv_2022]) + SUMIF(tblAlibabaUnits[Products],$A98, tblAlibabaUnits[cv_2022]) + SUMIF(tblHuaweiUnits[Products],$A98, tblHuaweiUnits[cv_2022]) + SUMIF(tblTencentUnits[Products],$A98, tblTencentUnits[cv_2022]) + SUMIF(tblBaiduUnits[Products],$A98, tblBaiduUnits[cv_2022]) + SUMIF(tblByteDanceUnits[Products],$A98, tblByteDanceUnits[cv_2022]) + SUMIF(tblCloudAOUnits[Products],$A98, tblCloudAOUnits[cv_2022]) + SUMIF(tblTelecomUnits[Products],$A98, tblTelecomUnits[cv_2022]) + SUMIF(tblEnterpriseUnits[Products],$A98, tblEnterpriseUnits[cv_2022])</f>
        <v>0</v>
      </c>
      <c r="G98" s="8">
        <f xml:space="preserve"> SUMIF(tblGoogleUnits[Products],$A98, tblGoogleUnits[cv_2023]) + SUMIF(tblMetaUnits[Products],$A98, tblMetaUnits[cv_2023]) + SUMIF(tblAmazonUnits[Products],$A98, tblAmazonUnits[cv_2023]) + SUMIF(tblMicrosoftUnits[Products],$A98, tblMicrosoftUnits[cv_2023]) + SUMIF(tblAppleUnits[Products],$A98, tblAppleUnits[cv_2023]) + SUMIF(tblAlibabaUnits[Products],$A98, tblAlibabaUnits[cv_2023]) + SUMIF(tblHuaweiUnits[Products],$A98, tblHuaweiUnits[cv_2023]) + SUMIF(tblTencentUnits[Products],$A98, tblTencentUnits[cv_2023]) + SUMIF(tblBaiduUnits[Products],$A98, tblBaiduUnits[cv_2023]) + SUMIF(tblByteDanceUnits[Products],$A98, tblByteDanceUnits[cv_2023]) + SUMIF(tblCloudAOUnits[Products],$A98, tblCloudAOUnits[cv_2023]) + SUMIF(tblTelecomUnits[Products],$A98, tblTelecomUnits[cv_2023]) + SUMIF(tblEnterpriseUnits[Products],$A98, tblEnterpriseUnits[cv_2023])</f>
        <v>0</v>
      </c>
      <c r="H98" s="8">
        <f xml:space="preserve"> SUMIF(tblGoogleUnits[Products],$A98, tblGoogleUnits[cv_2024]) + SUMIF(tblMetaUnits[Products],$A98, tblMetaUnits[cv_2024]) + SUMIF(tblAmazonUnits[Products],$A98, tblAmazonUnits[cv_2024]) + SUMIF(tblMicrosoftUnits[Products],$A98, tblMicrosoftUnits[cv_2024]) + SUMIF(tblAppleUnits[Products],$A98, tblAppleUnits[cv_2024]) + SUMIF(tblAlibabaUnits[Products],$A98, tblAlibabaUnits[cv_2024]) + SUMIF(tblHuaweiUnits[Products],$A98, tblHuaweiUnits[cv_2024]) + SUMIF(tblTencentUnits[Products],$A98, tblTencentUnits[cv_2024]) + SUMIF(tblBaiduUnits[Products],$A98, tblBaiduUnits[cv_2024]) + SUMIF(tblByteDanceUnits[Products],$A98, tblByteDanceUnits[cv_2024]) + SUMIF(tblCloudAOUnits[Products],$A98, tblCloudAOUnits[cv_2024]) + SUMIF(tblTelecomUnits[Products],$A98, tblTelecomUnits[cv_2024]) + SUMIF(tblEnterpriseUnits[Products],$A98, tblEnterpriseUnits[cv_2024])</f>
        <v>0</v>
      </c>
      <c r="I98" s="8">
        <f xml:space="preserve"> SUMIF(tblGoogleUnits[Products],$A98, tblGoogleUnits[cv_2025]) + SUMIF(tblMetaUnits[Products],$A98, tblMetaUnits[cv_2025]) + SUMIF(tblAmazonUnits[Products],$A98, tblAmazonUnits[cv_2025]) + SUMIF(tblMicrosoftUnits[Products],$A98, tblMicrosoftUnits[cv_2025]) + SUMIF(tblAppleUnits[Products],$A98, tblAppleUnits[cv_2025]) + SUMIF(tblAlibabaUnits[Products],$A98, tblAlibabaUnits[cv_2025]) + SUMIF(tblHuaweiUnits[Products],$A98, tblHuaweiUnits[cv_2025]) + SUMIF(tblTencentUnits[Products],$A98, tblTencentUnits[cv_2025]) + SUMIF(tblBaiduUnits[Products],$A98, tblBaiduUnits[cv_2025]) + SUMIF(tblByteDanceUnits[Products],$A98, tblByteDanceUnits[cv_2025]) + SUMIF(tblCloudAOUnits[Products],$A98, tblCloudAOUnits[cv_2025]) + SUMIF(tblTelecomUnits[Products],$A98, tblTelecomUnits[cv_2025]) + SUMIF(tblEnterpriseUnits[Products],$A98, tblEnterpriseUnits[cv_2025])</f>
        <v>0</v>
      </c>
      <c r="J98" s="8">
        <f xml:space="preserve"> SUMIF(tblGoogleUnits[Products],$A98, tblGoogleUnits[cv_2026]) + SUMIF(tblMetaUnits[Products],$A98, tblMetaUnits[cv_2026]) + SUMIF(tblAmazonUnits[Products],$A98, tblAmazonUnits[cv_2026]) + SUMIF(tblMicrosoftUnits[Products],$A98, tblMicrosoftUnits[cv_2026]) + SUMIF(tblAppleUnits[Products],$A98, tblAppleUnits[cv_2026]) + SUMIF(tblAlibabaUnits[Products],$A98, tblAlibabaUnits[cv_2026]) + SUMIF(tblHuaweiUnits[Products],$A98, tblHuaweiUnits[cv_2026]) + SUMIF(tblTencentUnits[Products],$A98, tblTencentUnits[cv_2026]) + SUMIF(tblBaiduUnits[Products],$A98, tblBaiduUnits[cv_2026]) + SUMIF(tblByteDanceUnits[Products],$A98, tblByteDanceUnits[cv_2026]) + SUMIF(tblCloudAOUnits[Products],$A98, tblCloudAOUnits[cv_2026]) + SUMIF(tblTelecomUnits[Products],$A98, tblTelecomUnits[cv_2026]) + SUMIF(tblEnterpriseUnits[Products],$A98, tblEnterpriseUnits[cv_2026])</f>
        <v>0</v>
      </c>
      <c r="K98" s="8">
        <f xml:space="preserve"> SUMIF(tblGoogleUnits[Products],$A98, tblGoogleUnits[cv_2027]) + SUMIF(tblMetaUnits[Products],$A98, tblMetaUnits[cv_2027]) + SUMIF(tblAmazonUnits[Products],$A98, tblAmazonUnits[cv_2027]) + SUMIF(tblMicrosoftUnits[Products],$A98, tblMicrosoftUnits[cv_2027]) + SUMIF(tblAppleUnits[Products],$A98, tblAppleUnits[cv_2027]) + SUMIF(tblAlibabaUnits[Products],$A98, tblAlibabaUnits[cv_2027]) + SUMIF(tblHuaweiUnits[Products],$A98, tblHuaweiUnits[cv_2027]) + SUMIF(tblTencentUnits[Products],$A98, tblTencentUnits[cv_2027]) + SUMIF(tblBaiduUnits[Products],$A98, tblBaiduUnits[cv_2027]) + SUMIF(tblByteDanceUnits[Products],$A98, tblByteDanceUnits[cv_2027]) + SUMIF(tblCloudAOUnits[Products],$A98, tblCloudAOUnits[cv_2027]) + SUMIF(tblTelecomUnits[Products],$A98, tblTelecomUnits[cv_2027]) + SUMIF(tblEnterpriseUnits[Products],$A98, tblEnterpriseUnits[cv_2027])</f>
        <v>0</v>
      </c>
      <c r="L98" s="8">
        <f xml:space="preserve"> SUMIF(tblGoogleUnits[Products],$A98, tblGoogleUnits[cv_2028]) + SUMIF(tblMetaUnits[Products],$A98, tblMetaUnits[cv_2028]) + SUMIF(tblAmazonUnits[Products],$A98, tblAmazonUnits[cv_2028]) + SUMIF(tblMicrosoftUnits[Products],$A98, tblMicrosoftUnits[cv_2028]) + SUMIF(tblAppleUnits[Products],$A98, tblAppleUnits[cv_2028]) + SUMIF(tblAlibabaUnits[Products],$A98, tblAlibabaUnits[cv_2028]) + SUMIF(tblHuaweiUnits[Products],$A98, tblHuaweiUnits[cv_2028]) + SUMIF(tblTencentUnits[Products],$A98, tblTencentUnits[cv_2028]) + SUMIF(tblBaiduUnits[Products],$A98, tblBaiduUnits[cv_2028]) + SUMIF(tblByteDanceUnits[Products],$A98, tblByteDanceUnits[cv_2028]) + SUMIF(tblCloudAOUnits[Products],$A98, tblCloudAOUnits[cv_2028]) + SUMIF(tblTelecomUnits[Products],$A98, tblTelecomUnits[cv_2028]) + SUMIF(tblEnterpriseUnits[Products],$A98, tblEnterpriseUnits[cv_2028])</f>
        <v>0</v>
      </c>
      <c r="M98" s="105" cm="1">
        <f t="array" ref="M98">INDEX(tblPrices[cv_2018], MATCH($A98,tblPrices[Products],0), 0)</f>
        <v>0</v>
      </c>
      <c r="N98" s="105" cm="1">
        <f t="array" ref="N98">INDEX(tblPrices[cv_2019], MATCH($A98,tblPrices[Products],0), 0)</f>
        <v>0</v>
      </c>
      <c r="O98" s="105" cm="1">
        <f t="array" ref="O98">INDEX(tblPrices[cv_2020], MATCH($A98,tblPrices[Products],0), 0)</f>
        <v>0</v>
      </c>
      <c r="P98" s="105" cm="1">
        <f t="array" ref="P98">INDEX(tblPrices[cv_2021], MATCH($A98,tblPrices[Products],0), 0)</f>
        <v>0</v>
      </c>
      <c r="Q98" s="105" cm="1">
        <f t="array" ref="Q98">INDEX(tblPrices[cv_2022], MATCH($A98,tblPrices[Products],0), 0)</f>
        <v>0</v>
      </c>
      <c r="R98" s="105" cm="1">
        <f t="array" ref="R98">INDEX(tblPrices[cv_2023], MATCH($A98,tblPrices[Products],0), 0)</f>
        <v>0</v>
      </c>
      <c r="S98" s="105" cm="1">
        <f t="array" ref="S98">INDEX(tblPrices[cv_2024], MATCH($A98,tblPrices[Products],0), 0)</f>
        <v>0</v>
      </c>
      <c r="T98" s="105" cm="1">
        <f t="array" ref="T98">INDEX(tblPrices[cv_2025], MATCH($A98,tblPrices[Products],0), 0)</f>
        <v>0</v>
      </c>
      <c r="U98" s="105" cm="1">
        <f t="array" ref="U98">INDEX(tblPrices[cv_2026], MATCH($A98,tblPrices[Products],0), 0)</f>
        <v>0</v>
      </c>
      <c r="V98" s="105" cm="1">
        <f t="array" ref="V98">INDEX(tblPrices[cv_2027], MATCH($A98,tblPrices[Products],0), 0)</f>
        <v>0</v>
      </c>
      <c r="W98" s="105" cm="1">
        <f t="array" ref="W98">INDEX(tblPrices[cv_2028], MATCH($A98,tblPrices[Products],0), 0)</f>
        <v>0</v>
      </c>
      <c r="X98" s="106" cm="1">
        <f t="array" ref="X98">INDEX(tblPrices[cv_2018], MATCH($A98,tblPrices[Products],0), 0)* tblForecast[[#This Row],[un_2018]]/10^6</f>
        <v>0</v>
      </c>
      <c r="Y98" s="106" cm="1">
        <f t="array" ref="Y98">INDEX(tblPrices[cv_2019], MATCH($A98,tblPrices[Products],0), 0)* tblForecast[[#This Row],[un_2019]]/10^6</f>
        <v>0</v>
      </c>
      <c r="Z98" s="106" cm="1">
        <f t="array" ref="Z98">INDEX(tblPrices[cv_2020], MATCH($A98,tblPrices[Products],0), 0)* tblForecast[[#This Row],[un_2020]]/10^6</f>
        <v>0</v>
      </c>
      <c r="AA98" s="106" cm="1">
        <f t="array" ref="AA98">INDEX(tblPrices[cv_2021], MATCH($A98,tblPrices[Products],0), 0)* tblForecast[[#This Row],[un_2021]]/10^6</f>
        <v>0</v>
      </c>
      <c r="AB98" s="106" cm="1">
        <f t="array" ref="AB98">INDEX(tblPrices[cv_2022], MATCH($A98,tblPrices[Products],0), 0)* tblForecast[[#This Row],[un_2022]]/10^6</f>
        <v>0</v>
      </c>
      <c r="AC98" s="106" cm="1">
        <f t="array" ref="AC98">INDEX(tblPrices[cv_2023], MATCH($A98,tblPrices[Products],0), 0)* tblForecast[[#This Row],[un_2023]]/10^6</f>
        <v>0</v>
      </c>
      <c r="AD98" s="106" cm="1">
        <f t="array" ref="AD98">INDEX(tblPrices[cv_2024], MATCH($A98,tblPrices[Products],0), 0)* tblForecast[[#This Row],[un_2024]]/10^6</f>
        <v>0</v>
      </c>
      <c r="AE98" s="106" cm="1">
        <f t="array" ref="AE98">INDEX(tblPrices[cv_2025], MATCH($A98,tblPrices[Products],0), 0)* tblForecast[[#This Row],[un_2025]]/10^6</f>
        <v>0</v>
      </c>
      <c r="AF98" s="106" cm="1">
        <f t="array" ref="AF98">INDEX(tblPrices[cv_2026], MATCH($A98,tblPrices[Products],0), 0)* tblForecast[[#This Row],[un_2026]]/10^6</f>
        <v>0</v>
      </c>
      <c r="AG98" s="106" cm="1">
        <f t="array" ref="AG98">INDEX(tblPrices[cv_2027], MATCH($A98,tblPrices[Products],0), 0)* tblForecast[[#This Row],[un_2027]]/10^6</f>
        <v>0</v>
      </c>
      <c r="AH98" s="106" cm="1">
        <f t="array" ref="AH98">INDEX(tblPrices[cv_2028], MATCH($A98,tblPrices[Products],0), 0)* tblForecast[[#This Row],[un_2028]]/10^6</f>
        <v>0</v>
      </c>
      <c r="AI98" s="60">
        <f>VLOOKUP(A98,Products!$A$11:$F$110,6,FALSE)</f>
        <v>1600</v>
      </c>
    </row>
    <row r="99" spans="1:35">
      <c r="A99" s="12" t="s">
        <v>191</v>
      </c>
      <c r="B99" s="8">
        <f xml:space="preserve"> SUMIF(tblGoogleUnits[Products],$A99, tblGoogleUnits[cv_2018]) + SUMIF(tblMetaUnits[Products],$A99, tblMetaUnits[cv_2018]) + SUMIF(tblAmazonUnits[Products],$A99, tblAmazonUnits[cv_2018]) + SUMIF(tblMicrosoftUnits[Products],$A99, tblMicrosoftUnits[cv_2018]) + SUMIF(tblAppleUnits[Products],$A99, tblAppleUnits[cv_2018]) + SUMIF(tblAlibabaUnits[Products],$A99, tblAlibabaUnits[cv_2018]) + SUMIF(tblHuaweiUnits[Products],$A99, tblHuaweiUnits[cv_2018]) + SUMIF(tblTencentUnits[Products],$A99, tblTencentUnits[cv_2018]) + SUMIF(tblBaiduUnits[Products],$A99, tblBaiduUnits[cv_2018]) + SUMIF(tblByteDanceUnits[Products],$A99, tblByteDanceUnits[cv_2018]) + SUMIF(tblCloudAOUnits[Products],$A99, tblCloudAOUnits[cv_2018]) + SUMIF(tblTelecomUnits[Products],$A99, tblTelecomUnits[cv_2018]) + SUMIF(tblEnterpriseUnits[Products],$A99, tblEnterpriseUnits[cv_2018])</f>
        <v>0</v>
      </c>
      <c r="C99" s="8">
        <f xml:space="preserve"> SUMIF(tblGoogleUnits[Products],$A99, tblGoogleUnits[cv_2019]) + SUMIF(tblMetaUnits[Products],$A99, tblMetaUnits[cv_2019]) + SUMIF(tblAmazonUnits[Products],$A99, tblAmazonUnits[cv_2019]) + SUMIF(tblMicrosoftUnits[Products],$A99, tblMicrosoftUnits[cv_2019]) + SUMIF(tblAppleUnits[Products],$A99, tblAppleUnits[cv_2019]) + SUMIF(tblAlibabaUnits[Products],$A99, tblAlibabaUnits[cv_2019]) + SUMIF(tblHuaweiUnits[Products],$A99, tblHuaweiUnits[cv_2019]) + SUMIF(tblTencentUnits[Products],$A99, tblTencentUnits[cv_2019]) + SUMIF(tblBaiduUnits[Products],$A99, tblBaiduUnits[cv_2019]) + SUMIF(tblByteDanceUnits[Products],$A99, tblByteDanceUnits[cv_2019]) + SUMIF(tblCloudAOUnits[Products],$A99, tblCloudAOUnits[cv_2019]) + SUMIF(tblTelecomUnits[Products],$A99, tblTelecomUnits[cv_2019]) + SUMIF(tblEnterpriseUnits[Products],$A99, tblEnterpriseUnits[cv_2019])</f>
        <v>0</v>
      </c>
      <c r="D99" s="8">
        <f xml:space="preserve"> SUMIF(tblGoogleUnits[Products],$A99, tblGoogleUnits[cv_2020]) + SUMIF(tblMetaUnits[Products],$A99, tblMetaUnits[cv_2020]) + SUMIF(tblAmazonUnits[Products],$A99, tblAmazonUnits[cv_2020]) + SUMIF(tblMicrosoftUnits[Products],$A99, tblMicrosoftUnits[cv_2020]) + SUMIF(tblAppleUnits[Products],$A99, tblAppleUnits[cv_2020]) + SUMIF(tblAlibabaUnits[Products],$A99, tblAlibabaUnits[cv_2020]) + SUMIF(tblHuaweiUnits[Products],$A99, tblHuaweiUnits[cv_2020]) + SUMIF(tblTencentUnits[Products],$A99, tblTencentUnits[cv_2020]) + SUMIF(tblBaiduUnits[Products],$A99, tblBaiduUnits[cv_2020]) + SUMIF(tblByteDanceUnits[Products],$A99, tblByteDanceUnits[cv_2020]) + SUMIF(tblCloudAOUnits[Products],$A99, tblCloudAOUnits[cv_2020]) + SUMIF(tblTelecomUnits[Products],$A99, tblTelecomUnits[cv_2020]) + SUMIF(tblEnterpriseUnits[Products],$A99, tblEnterpriseUnits[cv_2020])</f>
        <v>0</v>
      </c>
      <c r="E99" s="8">
        <f xml:space="preserve"> SUMIF(tblGoogleUnits[Products],$A99, tblGoogleUnits[cv_2021]) + SUMIF(tblMetaUnits[Products],$A99, tblMetaUnits[cv_2021]) + SUMIF(tblAmazonUnits[Products],$A99, tblAmazonUnits[cv_2021]) + SUMIF(tblMicrosoftUnits[Products],$A99, tblMicrosoftUnits[cv_2021]) + SUMIF(tblAppleUnits[Products],$A99, tblAppleUnits[cv_2021]) + SUMIF(tblAlibabaUnits[Products],$A99, tblAlibabaUnits[cv_2021]) + SUMIF(tblHuaweiUnits[Products],$A99, tblHuaweiUnits[cv_2021]) + SUMIF(tblTencentUnits[Products],$A99, tblTencentUnits[cv_2021]) + SUMIF(tblBaiduUnits[Products],$A99, tblBaiduUnits[cv_2021]) + SUMIF(tblByteDanceUnits[Products],$A99, tblByteDanceUnits[cv_2021]) + SUMIF(tblCloudAOUnits[Products],$A99, tblCloudAOUnits[cv_2021]) + SUMIF(tblTelecomUnits[Products],$A99, tblTelecomUnits[cv_2021]) + SUMIF(tblEnterpriseUnits[Products],$A99, tblEnterpriseUnits[cv_2021])</f>
        <v>0</v>
      </c>
      <c r="F99" s="8">
        <f xml:space="preserve"> SUMIF(tblGoogleUnits[Products],$A99, tblGoogleUnits[cv_2022]) + SUMIF(tblMetaUnits[Products],$A99, tblMetaUnits[cv_2022]) + SUMIF(tblAmazonUnits[Products],$A99, tblAmazonUnits[cv_2022]) + SUMIF(tblMicrosoftUnits[Products],$A99, tblMicrosoftUnits[cv_2022]) + SUMIF(tblAppleUnits[Products],$A99, tblAppleUnits[cv_2022]) + SUMIF(tblAlibabaUnits[Products],$A99, tblAlibabaUnits[cv_2022]) + SUMIF(tblHuaweiUnits[Products],$A99, tblHuaweiUnits[cv_2022]) + SUMIF(tblTencentUnits[Products],$A99, tblTencentUnits[cv_2022]) + SUMIF(tblBaiduUnits[Products],$A99, tblBaiduUnits[cv_2022]) + SUMIF(tblByteDanceUnits[Products],$A99, tblByteDanceUnits[cv_2022]) + SUMIF(tblCloudAOUnits[Products],$A99, tblCloudAOUnits[cv_2022]) + SUMIF(tblTelecomUnits[Products],$A99, tblTelecomUnits[cv_2022]) + SUMIF(tblEnterpriseUnits[Products],$A99, tblEnterpriseUnits[cv_2022])</f>
        <v>0</v>
      </c>
      <c r="G99" s="8">
        <f xml:space="preserve"> SUMIF(tblGoogleUnits[Products],$A99, tblGoogleUnits[cv_2023]) + SUMIF(tblMetaUnits[Products],$A99, tblMetaUnits[cv_2023]) + SUMIF(tblAmazonUnits[Products],$A99, tblAmazonUnits[cv_2023]) + SUMIF(tblMicrosoftUnits[Products],$A99, tblMicrosoftUnits[cv_2023]) + SUMIF(tblAppleUnits[Products],$A99, tblAppleUnits[cv_2023]) + SUMIF(tblAlibabaUnits[Products],$A99, tblAlibabaUnits[cv_2023]) + SUMIF(tblHuaweiUnits[Products],$A99, tblHuaweiUnits[cv_2023]) + SUMIF(tblTencentUnits[Products],$A99, tblTencentUnits[cv_2023]) + SUMIF(tblBaiduUnits[Products],$A99, tblBaiduUnits[cv_2023]) + SUMIF(tblByteDanceUnits[Products],$A99, tblByteDanceUnits[cv_2023]) + SUMIF(tblCloudAOUnits[Products],$A99, tblCloudAOUnits[cv_2023]) + SUMIF(tblTelecomUnits[Products],$A99, tblTelecomUnits[cv_2023]) + SUMIF(tblEnterpriseUnits[Products],$A99, tblEnterpriseUnits[cv_2023])</f>
        <v>0</v>
      </c>
      <c r="H99" s="8">
        <f xml:space="preserve"> SUMIF(tblGoogleUnits[Products],$A99, tblGoogleUnits[cv_2024]) + SUMIF(tblMetaUnits[Products],$A99, tblMetaUnits[cv_2024]) + SUMIF(tblAmazonUnits[Products],$A99, tblAmazonUnits[cv_2024]) + SUMIF(tblMicrosoftUnits[Products],$A99, tblMicrosoftUnits[cv_2024]) + SUMIF(tblAppleUnits[Products],$A99, tblAppleUnits[cv_2024]) + SUMIF(tblAlibabaUnits[Products],$A99, tblAlibabaUnits[cv_2024]) + SUMIF(tblHuaweiUnits[Products],$A99, tblHuaweiUnits[cv_2024]) + SUMIF(tblTencentUnits[Products],$A99, tblTencentUnits[cv_2024]) + SUMIF(tblBaiduUnits[Products],$A99, tblBaiduUnits[cv_2024]) + SUMIF(tblByteDanceUnits[Products],$A99, tblByteDanceUnits[cv_2024]) + SUMIF(tblCloudAOUnits[Products],$A99, tblCloudAOUnits[cv_2024]) + SUMIF(tblTelecomUnits[Products],$A99, tblTelecomUnits[cv_2024]) + SUMIF(tblEnterpriseUnits[Products],$A99, tblEnterpriseUnits[cv_2024])</f>
        <v>0</v>
      </c>
      <c r="I99" s="8">
        <f xml:space="preserve"> SUMIF(tblGoogleUnits[Products],$A99, tblGoogleUnits[cv_2025]) + SUMIF(tblMetaUnits[Products],$A99, tblMetaUnits[cv_2025]) + SUMIF(tblAmazonUnits[Products],$A99, tblAmazonUnits[cv_2025]) + SUMIF(tblMicrosoftUnits[Products],$A99, tblMicrosoftUnits[cv_2025]) + SUMIF(tblAppleUnits[Products],$A99, tblAppleUnits[cv_2025]) + SUMIF(tblAlibabaUnits[Products],$A99, tblAlibabaUnits[cv_2025]) + SUMIF(tblHuaweiUnits[Products],$A99, tblHuaweiUnits[cv_2025]) + SUMIF(tblTencentUnits[Products],$A99, tblTencentUnits[cv_2025]) + SUMIF(tblBaiduUnits[Products],$A99, tblBaiduUnits[cv_2025]) + SUMIF(tblByteDanceUnits[Products],$A99, tblByteDanceUnits[cv_2025]) + SUMIF(tblCloudAOUnits[Products],$A99, tblCloudAOUnits[cv_2025]) + SUMIF(tblTelecomUnits[Products],$A99, tblTelecomUnits[cv_2025]) + SUMIF(tblEnterpriseUnits[Products],$A99, tblEnterpriseUnits[cv_2025])</f>
        <v>0</v>
      </c>
      <c r="J99" s="8">
        <f xml:space="preserve"> SUMIF(tblGoogleUnits[Products],$A99, tblGoogleUnits[cv_2026]) + SUMIF(tblMetaUnits[Products],$A99, tblMetaUnits[cv_2026]) + SUMIF(tblAmazonUnits[Products],$A99, tblAmazonUnits[cv_2026]) + SUMIF(tblMicrosoftUnits[Products],$A99, tblMicrosoftUnits[cv_2026]) + SUMIF(tblAppleUnits[Products],$A99, tblAppleUnits[cv_2026]) + SUMIF(tblAlibabaUnits[Products],$A99, tblAlibabaUnits[cv_2026]) + SUMIF(tblHuaweiUnits[Products],$A99, tblHuaweiUnits[cv_2026]) + SUMIF(tblTencentUnits[Products],$A99, tblTencentUnits[cv_2026]) + SUMIF(tblBaiduUnits[Products],$A99, tblBaiduUnits[cv_2026]) + SUMIF(tblByteDanceUnits[Products],$A99, tblByteDanceUnits[cv_2026]) + SUMIF(tblCloudAOUnits[Products],$A99, tblCloudAOUnits[cv_2026]) + SUMIF(tblTelecomUnits[Products],$A99, tblTelecomUnits[cv_2026]) + SUMIF(tblEnterpriseUnits[Products],$A99, tblEnterpriseUnits[cv_2026])</f>
        <v>0</v>
      </c>
      <c r="K99" s="8">
        <f xml:space="preserve"> SUMIF(tblGoogleUnits[Products],$A99, tblGoogleUnits[cv_2027]) + SUMIF(tblMetaUnits[Products],$A99, tblMetaUnits[cv_2027]) + SUMIF(tblAmazonUnits[Products],$A99, tblAmazonUnits[cv_2027]) + SUMIF(tblMicrosoftUnits[Products],$A99, tblMicrosoftUnits[cv_2027]) + SUMIF(tblAppleUnits[Products],$A99, tblAppleUnits[cv_2027]) + SUMIF(tblAlibabaUnits[Products],$A99, tblAlibabaUnits[cv_2027]) + SUMIF(tblHuaweiUnits[Products],$A99, tblHuaweiUnits[cv_2027]) + SUMIF(tblTencentUnits[Products],$A99, tblTencentUnits[cv_2027]) + SUMIF(tblBaiduUnits[Products],$A99, tblBaiduUnits[cv_2027]) + SUMIF(tblByteDanceUnits[Products],$A99, tblByteDanceUnits[cv_2027]) + SUMIF(tblCloudAOUnits[Products],$A99, tblCloudAOUnits[cv_2027]) + SUMIF(tblTelecomUnits[Products],$A99, tblTelecomUnits[cv_2027]) + SUMIF(tblEnterpriseUnits[Products],$A99, tblEnterpriseUnits[cv_2027])</f>
        <v>0</v>
      </c>
      <c r="L99" s="8">
        <f xml:space="preserve"> SUMIF(tblGoogleUnits[Products],$A99, tblGoogleUnits[cv_2028]) + SUMIF(tblMetaUnits[Products],$A99, tblMetaUnits[cv_2028]) + SUMIF(tblAmazonUnits[Products],$A99, tblAmazonUnits[cv_2028]) + SUMIF(tblMicrosoftUnits[Products],$A99, tblMicrosoftUnits[cv_2028]) + SUMIF(tblAppleUnits[Products],$A99, tblAppleUnits[cv_2028]) + SUMIF(tblAlibabaUnits[Products],$A99, tblAlibabaUnits[cv_2028]) + SUMIF(tblHuaweiUnits[Products],$A99, tblHuaweiUnits[cv_2028]) + SUMIF(tblTencentUnits[Products],$A99, tblTencentUnits[cv_2028]) + SUMIF(tblBaiduUnits[Products],$A99, tblBaiduUnits[cv_2028]) + SUMIF(tblByteDanceUnits[Products],$A99, tblByteDanceUnits[cv_2028]) + SUMIF(tblCloudAOUnits[Products],$A99, tblCloudAOUnits[cv_2028]) + SUMIF(tblTelecomUnits[Products],$A99, tblTelecomUnits[cv_2028]) + SUMIF(tblEnterpriseUnits[Products],$A99, tblEnterpriseUnits[cv_2028])</f>
        <v>0</v>
      </c>
      <c r="M99" s="105" cm="1">
        <f t="array" ref="M99">INDEX(tblPrices[cv_2018], MATCH($A99,tblPrices[Products],0), 0)</f>
        <v>0</v>
      </c>
      <c r="N99" s="105" cm="1">
        <f t="array" ref="N99">INDEX(tblPrices[cv_2019], MATCH($A99,tblPrices[Products],0), 0)</f>
        <v>0</v>
      </c>
      <c r="O99" s="105" cm="1">
        <f t="array" ref="O99">INDEX(tblPrices[cv_2020], MATCH($A99,tblPrices[Products],0), 0)</f>
        <v>0</v>
      </c>
      <c r="P99" s="105" cm="1">
        <f t="array" ref="P99">INDEX(tblPrices[cv_2021], MATCH($A99,tblPrices[Products],0), 0)</f>
        <v>0</v>
      </c>
      <c r="Q99" s="105" cm="1">
        <f t="array" ref="Q99">INDEX(tblPrices[cv_2022], MATCH($A99,tblPrices[Products],0), 0)</f>
        <v>0</v>
      </c>
      <c r="R99" s="105" cm="1">
        <f t="array" ref="R99">INDEX(tblPrices[cv_2023], MATCH($A99,tblPrices[Products],0), 0)</f>
        <v>0</v>
      </c>
      <c r="S99" s="105" cm="1">
        <f t="array" ref="S99">INDEX(tblPrices[cv_2024], MATCH($A99,tblPrices[Products],0), 0)</f>
        <v>0</v>
      </c>
      <c r="T99" s="105" cm="1">
        <f t="array" ref="T99">INDEX(tblPrices[cv_2025], MATCH($A99,tblPrices[Products],0), 0)</f>
        <v>0</v>
      </c>
      <c r="U99" s="105" cm="1">
        <f t="array" ref="U99">INDEX(tblPrices[cv_2026], MATCH($A99,tblPrices[Products],0), 0)</f>
        <v>0</v>
      </c>
      <c r="V99" s="105" cm="1">
        <f t="array" ref="V99">INDEX(tblPrices[cv_2027], MATCH($A99,tblPrices[Products],0), 0)</f>
        <v>0</v>
      </c>
      <c r="W99" s="105" cm="1">
        <f t="array" ref="W99">INDEX(tblPrices[cv_2028], MATCH($A99,tblPrices[Products],0), 0)</f>
        <v>0</v>
      </c>
      <c r="X99" s="106" cm="1">
        <f t="array" ref="X99">INDEX(tblPrices[cv_2018], MATCH($A99,tblPrices[Products],0), 0)* tblForecast[[#This Row],[un_2018]]/10^6</f>
        <v>0</v>
      </c>
      <c r="Y99" s="106" cm="1">
        <f t="array" ref="Y99">INDEX(tblPrices[cv_2019], MATCH($A99,tblPrices[Products],0), 0)* tblForecast[[#This Row],[un_2019]]/10^6</f>
        <v>0</v>
      </c>
      <c r="Z99" s="106" cm="1">
        <f t="array" ref="Z99">INDEX(tblPrices[cv_2020], MATCH($A99,tblPrices[Products],0), 0)* tblForecast[[#This Row],[un_2020]]/10^6</f>
        <v>0</v>
      </c>
      <c r="AA99" s="106" cm="1">
        <f t="array" ref="AA99">INDEX(tblPrices[cv_2021], MATCH($A99,tblPrices[Products],0), 0)* tblForecast[[#This Row],[un_2021]]/10^6</f>
        <v>0</v>
      </c>
      <c r="AB99" s="106" cm="1">
        <f t="array" ref="AB99">INDEX(tblPrices[cv_2022], MATCH($A99,tblPrices[Products],0), 0)* tblForecast[[#This Row],[un_2022]]/10^6</f>
        <v>0</v>
      </c>
      <c r="AC99" s="106" cm="1">
        <f t="array" ref="AC99">INDEX(tblPrices[cv_2023], MATCH($A99,tblPrices[Products],0), 0)* tblForecast[[#This Row],[un_2023]]/10^6</f>
        <v>0</v>
      </c>
      <c r="AD99" s="106" cm="1">
        <f t="array" ref="AD99">INDEX(tblPrices[cv_2024], MATCH($A99,tblPrices[Products],0), 0)* tblForecast[[#This Row],[un_2024]]/10^6</f>
        <v>0</v>
      </c>
      <c r="AE99" s="106" cm="1">
        <f t="array" ref="AE99">INDEX(tblPrices[cv_2025], MATCH($A99,tblPrices[Products],0), 0)* tblForecast[[#This Row],[un_2025]]/10^6</f>
        <v>0</v>
      </c>
      <c r="AF99" s="106" cm="1">
        <f t="array" ref="AF99">INDEX(tblPrices[cv_2026], MATCH($A99,tblPrices[Products],0), 0)* tblForecast[[#This Row],[un_2026]]/10^6</f>
        <v>0</v>
      </c>
      <c r="AG99" s="106" cm="1">
        <f t="array" ref="AG99">INDEX(tblPrices[cv_2027], MATCH($A99,tblPrices[Products],0), 0)* tblForecast[[#This Row],[un_2027]]/10^6</f>
        <v>0</v>
      </c>
      <c r="AH99" s="106" cm="1">
        <f t="array" ref="AH99">INDEX(tblPrices[cv_2028], MATCH($A99,tblPrices[Products],0), 0)* tblForecast[[#This Row],[un_2028]]/10^6</f>
        <v>0</v>
      </c>
      <c r="AI99" s="60">
        <f>VLOOKUP(A99,Products!$A$11:$F$110,6,FALSE)</f>
        <v>1600</v>
      </c>
    </row>
    <row r="100" spans="1:35">
      <c r="A100" s="12" t="s">
        <v>192</v>
      </c>
      <c r="B100" s="8">
        <f xml:space="preserve"> SUMIF(tblGoogleUnits[Products],$A100, tblGoogleUnits[cv_2018]) + SUMIF(tblMetaUnits[Products],$A100, tblMetaUnits[cv_2018]) + SUMIF(tblAmazonUnits[Products],$A100, tblAmazonUnits[cv_2018]) + SUMIF(tblMicrosoftUnits[Products],$A100, tblMicrosoftUnits[cv_2018]) + SUMIF(tblAppleUnits[Products],$A100, tblAppleUnits[cv_2018]) + SUMIF(tblAlibabaUnits[Products],$A100, tblAlibabaUnits[cv_2018]) + SUMIF(tblHuaweiUnits[Products],$A100, tblHuaweiUnits[cv_2018]) + SUMIF(tblTencentUnits[Products],$A100, tblTencentUnits[cv_2018]) + SUMIF(tblBaiduUnits[Products],$A100, tblBaiduUnits[cv_2018]) + SUMIF(tblByteDanceUnits[Products],$A100, tblByteDanceUnits[cv_2018]) + SUMIF(tblCloudAOUnits[Products],$A100, tblCloudAOUnits[cv_2018]) + SUMIF(tblTelecomUnits[Products],$A100, tblTelecomUnits[cv_2018]) + SUMIF(tblEnterpriseUnits[Products],$A100, tblEnterpriseUnits[cv_2018])</f>
        <v>0</v>
      </c>
      <c r="C100" s="8">
        <f xml:space="preserve"> SUMIF(tblGoogleUnits[Products],$A100, tblGoogleUnits[cv_2019]) + SUMIF(tblMetaUnits[Products],$A100, tblMetaUnits[cv_2019]) + SUMIF(tblAmazonUnits[Products],$A100, tblAmazonUnits[cv_2019]) + SUMIF(tblMicrosoftUnits[Products],$A100, tblMicrosoftUnits[cv_2019]) + SUMIF(tblAppleUnits[Products],$A100, tblAppleUnits[cv_2019]) + SUMIF(tblAlibabaUnits[Products],$A100, tblAlibabaUnits[cv_2019]) + SUMIF(tblHuaweiUnits[Products],$A100, tblHuaweiUnits[cv_2019]) + SUMIF(tblTencentUnits[Products],$A100, tblTencentUnits[cv_2019]) + SUMIF(tblBaiduUnits[Products],$A100, tblBaiduUnits[cv_2019]) + SUMIF(tblByteDanceUnits[Products],$A100, tblByteDanceUnits[cv_2019]) + SUMIF(tblCloudAOUnits[Products],$A100, tblCloudAOUnits[cv_2019]) + SUMIF(tblTelecomUnits[Products],$A100, tblTelecomUnits[cv_2019]) + SUMIF(tblEnterpriseUnits[Products],$A100, tblEnterpriseUnits[cv_2019])</f>
        <v>0</v>
      </c>
      <c r="D100" s="8">
        <f xml:space="preserve"> SUMIF(tblGoogleUnits[Products],$A100, tblGoogleUnits[cv_2020]) + SUMIF(tblMetaUnits[Products],$A100, tblMetaUnits[cv_2020]) + SUMIF(tblAmazonUnits[Products],$A100, tblAmazonUnits[cv_2020]) + SUMIF(tblMicrosoftUnits[Products],$A100, tblMicrosoftUnits[cv_2020]) + SUMIF(tblAppleUnits[Products],$A100, tblAppleUnits[cv_2020]) + SUMIF(tblAlibabaUnits[Products],$A100, tblAlibabaUnits[cv_2020]) + SUMIF(tblHuaweiUnits[Products],$A100, tblHuaweiUnits[cv_2020]) + SUMIF(tblTencentUnits[Products],$A100, tblTencentUnits[cv_2020]) + SUMIF(tblBaiduUnits[Products],$A100, tblBaiduUnits[cv_2020]) + SUMIF(tblByteDanceUnits[Products],$A100, tblByteDanceUnits[cv_2020]) + SUMIF(tblCloudAOUnits[Products],$A100, tblCloudAOUnits[cv_2020]) + SUMIF(tblTelecomUnits[Products],$A100, tblTelecomUnits[cv_2020]) + SUMIF(tblEnterpriseUnits[Products],$A100, tblEnterpriseUnits[cv_2020])</f>
        <v>0</v>
      </c>
      <c r="E100" s="8">
        <f xml:space="preserve"> SUMIF(tblGoogleUnits[Products],$A100, tblGoogleUnits[cv_2021]) + SUMIF(tblMetaUnits[Products],$A100, tblMetaUnits[cv_2021]) + SUMIF(tblAmazonUnits[Products],$A100, tblAmazonUnits[cv_2021]) + SUMIF(tblMicrosoftUnits[Products],$A100, tblMicrosoftUnits[cv_2021]) + SUMIF(tblAppleUnits[Products],$A100, tblAppleUnits[cv_2021]) + SUMIF(tblAlibabaUnits[Products],$A100, tblAlibabaUnits[cv_2021]) + SUMIF(tblHuaweiUnits[Products],$A100, tblHuaweiUnits[cv_2021]) + SUMIF(tblTencentUnits[Products],$A100, tblTencentUnits[cv_2021]) + SUMIF(tblBaiduUnits[Products],$A100, tblBaiduUnits[cv_2021]) + SUMIF(tblByteDanceUnits[Products],$A100, tblByteDanceUnits[cv_2021]) + SUMIF(tblCloudAOUnits[Products],$A100, tblCloudAOUnits[cv_2021]) + SUMIF(tblTelecomUnits[Products],$A100, tblTelecomUnits[cv_2021]) + SUMIF(tblEnterpriseUnits[Products],$A100, tblEnterpriseUnits[cv_2021])</f>
        <v>0</v>
      </c>
      <c r="F100" s="8">
        <f xml:space="preserve"> SUMIF(tblGoogleUnits[Products],$A100, tblGoogleUnits[cv_2022]) + SUMIF(tblMetaUnits[Products],$A100, tblMetaUnits[cv_2022]) + SUMIF(tblAmazonUnits[Products],$A100, tblAmazonUnits[cv_2022]) + SUMIF(tblMicrosoftUnits[Products],$A100, tblMicrosoftUnits[cv_2022]) + SUMIF(tblAppleUnits[Products],$A100, tblAppleUnits[cv_2022]) + SUMIF(tblAlibabaUnits[Products],$A100, tblAlibabaUnits[cv_2022]) + SUMIF(tblHuaweiUnits[Products],$A100, tblHuaweiUnits[cv_2022]) + SUMIF(tblTencentUnits[Products],$A100, tblTencentUnits[cv_2022]) + SUMIF(tblBaiduUnits[Products],$A100, tblBaiduUnits[cv_2022]) + SUMIF(tblByteDanceUnits[Products],$A100, tblByteDanceUnits[cv_2022]) + SUMIF(tblCloudAOUnits[Products],$A100, tblCloudAOUnits[cv_2022]) + SUMIF(tblTelecomUnits[Products],$A100, tblTelecomUnits[cv_2022]) + SUMIF(tblEnterpriseUnits[Products],$A100, tblEnterpriseUnits[cv_2022])</f>
        <v>0</v>
      </c>
      <c r="G100" s="8">
        <f xml:space="preserve"> SUMIF(tblGoogleUnits[Products],$A100, tblGoogleUnits[cv_2023]) + SUMIF(tblMetaUnits[Products],$A100, tblMetaUnits[cv_2023]) + SUMIF(tblAmazonUnits[Products],$A100, tblAmazonUnits[cv_2023]) + SUMIF(tblMicrosoftUnits[Products],$A100, tblMicrosoftUnits[cv_2023]) + SUMIF(tblAppleUnits[Products],$A100, tblAppleUnits[cv_2023]) + SUMIF(tblAlibabaUnits[Products],$A100, tblAlibabaUnits[cv_2023]) + SUMIF(tblHuaweiUnits[Products],$A100, tblHuaweiUnits[cv_2023]) + SUMIF(tblTencentUnits[Products],$A100, tblTencentUnits[cv_2023]) + SUMIF(tblBaiduUnits[Products],$A100, tblBaiduUnits[cv_2023]) + SUMIF(tblByteDanceUnits[Products],$A100, tblByteDanceUnits[cv_2023]) + SUMIF(tblCloudAOUnits[Products],$A100, tblCloudAOUnits[cv_2023]) + SUMIF(tblTelecomUnits[Products],$A100, tblTelecomUnits[cv_2023]) + SUMIF(tblEnterpriseUnits[Products],$A100, tblEnterpriseUnits[cv_2023])</f>
        <v>0</v>
      </c>
      <c r="H100" s="8">
        <f xml:space="preserve"> SUMIF(tblGoogleUnits[Products],$A100, tblGoogleUnits[cv_2024]) + SUMIF(tblMetaUnits[Products],$A100, tblMetaUnits[cv_2024]) + SUMIF(tblAmazonUnits[Products],$A100, tblAmazonUnits[cv_2024]) + SUMIF(tblMicrosoftUnits[Products],$A100, tblMicrosoftUnits[cv_2024]) + SUMIF(tblAppleUnits[Products],$A100, tblAppleUnits[cv_2024]) + SUMIF(tblAlibabaUnits[Products],$A100, tblAlibabaUnits[cv_2024]) + SUMIF(tblHuaweiUnits[Products],$A100, tblHuaweiUnits[cv_2024]) + SUMIF(tblTencentUnits[Products],$A100, tblTencentUnits[cv_2024]) + SUMIF(tblBaiduUnits[Products],$A100, tblBaiduUnits[cv_2024]) + SUMIF(tblByteDanceUnits[Products],$A100, tblByteDanceUnits[cv_2024]) + SUMIF(tblCloudAOUnits[Products],$A100, tblCloudAOUnits[cv_2024]) + SUMIF(tblTelecomUnits[Products],$A100, tblTelecomUnits[cv_2024]) + SUMIF(tblEnterpriseUnits[Products],$A100, tblEnterpriseUnits[cv_2024])</f>
        <v>0</v>
      </c>
      <c r="I100" s="8">
        <f xml:space="preserve"> SUMIF(tblGoogleUnits[Products],$A100, tblGoogleUnits[cv_2025]) + SUMIF(tblMetaUnits[Products],$A100, tblMetaUnits[cv_2025]) + SUMIF(tblAmazonUnits[Products],$A100, tblAmazonUnits[cv_2025]) + SUMIF(tblMicrosoftUnits[Products],$A100, tblMicrosoftUnits[cv_2025]) + SUMIF(tblAppleUnits[Products],$A100, tblAppleUnits[cv_2025]) + SUMIF(tblAlibabaUnits[Products],$A100, tblAlibabaUnits[cv_2025]) + SUMIF(tblHuaweiUnits[Products],$A100, tblHuaweiUnits[cv_2025]) + SUMIF(tblTencentUnits[Products],$A100, tblTencentUnits[cv_2025]) + SUMIF(tblBaiduUnits[Products],$A100, tblBaiduUnits[cv_2025]) + SUMIF(tblByteDanceUnits[Products],$A100, tblByteDanceUnits[cv_2025]) + SUMIF(tblCloudAOUnits[Products],$A100, tblCloudAOUnits[cv_2025]) + SUMIF(tblTelecomUnits[Products],$A100, tblTelecomUnits[cv_2025]) + SUMIF(tblEnterpriseUnits[Products],$A100, tblEnterpriseUnits[cv_2025])</f>
        <v>0</v>
      </c>
      <c r="J100" s="8">
        <f xml:space="preserve"> SUMIF(tblGoogleUnits[Products],$A100, tblGoogleUnits[cv_2026]) + SUMIF(tblMetaUnits[Products],$A100, tblMetaUnits[cv_2026]) + SUMIF(tblAmazonUnits[Products],$A100, tblAmazonUnits[cv_2026]) + SUMIF(tblMicrosoftUnits[Products],$A100, tblMicrosoftUnits[cv_2026]) + SUMIF(tblAppleUnits[Products],$A100, tblAppleUnits[cv_2026]) + SUMIF(tblAlibabaUnits[Products],$A100, tblAlibabaUnits[cv_2026]) + SUMIF(tblHuaweiUnits[Products],$A100, tblHuaweiUnits[cv_2026]) + SUMIF(tblTencentUnits[Products],$A100, tblTencentUnits[cv_2026]) + SUMIF(tblBaiduUnits[Products],$A100, tblBaiduUnits[cv_2026]) + SUMIF(tblByteDanceUnits[Products],$A100, tblByteDanceUnits[cv_2026]) + SUMIF(tblCloudAOUnits[Products],$A100, tblCloudAOUnits[cv_2026]) + SUMIF(tblTelecomUnits[Products],$A100, tblTelecomUnits[cv_2026]) + SUMIF(tblEnterpriseUnits[Products],$A100, tblEnterpriseUnits[cv_2026])</f>
        <v>0</v>
      </c>
      <c r="K100" s="8">
        <f xml:space="preserve"> SUMIF(tblGoogleUnits[Products],$A100, tblGoogleUnits[cv_2027]) + SUMIF(tblMetaUnits[Products],$A100, tblMetaUnits[cv_2027]) + SUMIF(tblAmazonUnits[Products],$A100, tblAmazonUnits[cv_2027]) + SUMIF(tblMicrosoftUnits[Products],$A100, tblMicrosoftUnits[cv_2027]) + SUMIF(tblAppleUnits[Products],$A100, tblAppleUnits[cv_2027]) + SUMIF(tblAlibabaUnits[Products],$A100, tblAlibabaUnits[cv_2027]) + SUMIF(tblHuaweiUnits[Products],$A100, tblHuaweiUnits[cv_2027]) + SUMIF(tblTencentUnits[Products],$A100, tblTencentUnits[cv_2027]) + SUMIF(tblBaiduUnits[Products],$A100, tblBaiduUnits[cv_2027]) + SUMIF(tblByteDanceUnits[Products],$A100, tblByteDanceUnits[cv_2027]) + SUMIF(tblCloudAOUnits[Products],$A100, tblCloudAOUnits[cv_2027]) + SUMIF(tblTelecomUnits[Products],$A100, tblTelecomUnits[cv_2027]) + SUMIF(tblEnterpriseUnits[Products],$A100, tblEnterpriseUnits[cv_2027])</f>
        <v>0</v>
      </c>
      <c r="L100" s="8">
        <f xml:space="preserve"> SUMIF(tblGoogleUnits[Products],$A100, tblGoogleUnits[cv_2028]) + SUMIF(tblMetaUnits[Products],$A100, tblMetaUnits[cv_2028]) + SUMIF(tblAmazonUnits[Products],$A100, tblAmazonUnits[cv_2028]) + SUMIF(tblMicrosoftUnits[Products],$A100, tblMicrosoftUnits[cv_2028]) + SUMIF(tblAppleUnits[Products],$A100, tblAppleUnits[cv_2028]) + SUMIF(tblAlibabaUnits[Products],$A100, tblAlibabaUnits[cv_2028]) + SUMIF(tblHuaweiUnits[Products],$A100, tblHuaweiUnits[cv_2028]) + SUMIF(tblTencentUnits[Products],$A100, tblTencentUnits[cv_2028]) + SUMIF(tblBaiduUnits[Products],$A100, tblBaiduUnits[cv_2028]) + SUMIF(tblByteDanceUnits[Products],$A100, tblByteDanceUnits[cv_2028]) + SUMIF(tblCloudAOUnits[Products],$A100, tblCloudAOUnits[cv_2028]) + SUMIF(tblTelecomUnits[Products],$A100, tblTelecomUnits[cv_2028]) + SUMIF(tblEnterpriseUnits[Products],$A100, tblEnterpriseUnits[cv_2028])</f>
        <v>0</v>
      </c>
      <c r="M100" s="105" cm="1">
        <f t="array" ref="M100">INDEX(tblPrices[cv_2018], MATCH($A100,tblPrices[Products],0), 0)</f>
        <v>0</v>
      </c>
      <c r="N100" s="105" cm="1">
        <f t="array" ref="N100">INDEX(tblPrices[cv_2019], MATCH($A100,tblPrices[Products],0), 0)</f>
        <v>0</v>
      </c>
      <c r="O100" s="105" cm="1">
        <f t="array" ref="O100">INDEX(tblPrices[cv_2020], MATCH($A100,tblPrices[Products],0), 0)</f>
        <v>0</v>
      </c>
      <c r="P100" s="105" cm="1">
        <f t="array" ref="P100">INDEX(tblPrices[cv_2021], MATCH($A100,tblPrices[Products],0), 0)</f>
        <v>0</v>
      </c>
      <c r="Q100" s="105" cm="1">
        <f t="array" ref="Q100">INDEX(tblPrices[cv_2022], MATCH($A100,tblPrices[Products],0), 0)</f>
        <v>0</v>
      </c>
      <c r="R100" s="105" cm="1">
        <f t="array" ref="R100">INDEX(tblPrices[cv_2023], MATCH($A100,tblPrices[Products],0), 0)</f>
        <v>0</v>
      </c>
      <c r="S100" s="105" cm="1">
        <f t="array" ref="S100">INDEX(tblPrices[cv_2024], MATCH($A100,tblPrices[Products],0), 0)</f>
        <v>0</v>
      </c>
      <c r="T100" s="105" cm="1">
        <f t="array" ref="T100">INDEX(tblPrices[cv_2025], MATCH($A100,tblPrices[Products],0), 0)</f>
        <v>0</v>
      </c>
      <c r="U100" s="105" cm="1">
        <f t="array" ref="U100">INDEX(tblPrices[cv_2026], MATCH($A100,tblPrices[Products],0), 0)</f>
        <v>0</v>
      </c>
      <c r="V100" s="105" cm="1">
        <f t="array" ref="V100">INDEX(tblPrices[cv_2027], MATCH($A100,tblPrices[Products],0), 0)</f>
        <v>0</v>
      </c>
      <c r="W100" s="105" cm="1">
        <f t="array" ref="W100">INDEX(tblPrices[cv_2028], MATCH($A100,tblPrices[Products],0), 0)</f>
        <v>0</v>
      </c>
      <c r="X100" s="106" cm="1">
        <f t="array" ref="X100">INDEX(tblPrices[cv_2018], MATCH($A100,tblPrices[Products],0), 0)* tblForecast[[#This Row],[un_2018]]/10^6</f>
        <v>0</v>
      </c>
      <c r="Y100" s="106" cm="1">
        <f t="array" ref="Y100">INDEX(tblPrices[cv_2019], MATCH($A100,tblPrices[Products],0), 0)* tblForecast[[#This Row],[un_2019]]/10^6</f>
        <v>0</v>
      </c>
      <c r="Z100" s="106" cm="1">
        <f t="array" ref="Z100">INDEX(tblPrices[cv_2020], MATCH($A100,tblPrices[Products],0), 0)* tblForecast[[#This Row],[un_2020]]/10^6</f>
        <v>0</v>
      </c>
      <c r="AA100" s="106" cm="1">
        <f t="array" ref="AA100">INDEX(tblPrices[cv_2021], MATCH($A100,tblPrices[Products],0), 0)* tblForecast[[#This Row],[un_2021]]/10^6</f>
        <v>0</v>
      </c>
      <c r="AB100" s="106" cm="1">
        <f t="array" ref="AB100">INDEX(tblPrices[cv_2022], MATCH($A100,tblPrices[Products],0), 0)* tblForecast[[#This Row],[un_2022]]/10^6</f>
        <v>0</v>
      </c>
      <c r="AC100" s="106" cm="1">
        <f t="array" ref="AC100">INDEX(tblPrices[cv_2023], MATCH($A100,tblPrices[Products],0), 0)* tblForecast[[#This Row],[un_2023]]/10^6</f>
        <v>0</v>
      </c>
      <c r="AD100" s="106" cm="1">
        <f t="array" ref="AD100">INDEX(tblPrices[cv_2024], MATCH($A100,tblPrices[Products],0), 0)* tblForecast[[#This Row],[un_2024]]/10^6</f>
        <v>0</v>
      </c>
      <c r="AE100" s="106" cm="1">
        <f t="array" ref="AE100">INDEX(tblPrices[cv_2025], MATCH($A100,tblPrices[Products],0), 0)* tblForecast[[#This Row],[un_2025]]/10^6</f>
        <v>0</v>
      </c>
      <c r="AF100" s="106" cm="1">
        <f t="array" ref="AF100">INDEX(tblPrices[cv_2026], MATCH($A100,tblPrices[Products],0), 0)* tblForecast[[#This Row],[un_2026]]/10^6</f>
        <v>0</v>
      </c>
      <c r="AG100" s="106" cm="1">
        <f t="array" ref="AG100">INDEX(tblPrices[cv_2027], MATCH($A100,tblPrices[Products],0), 0)* tblForecast[[#This Row],[un_2027]]/10^6</f>
        <v>0</v>
      </c>
      <c r="AH100" s="106" cm="1">
        <f t="array" ref="AH100">INDEX(tblPrices[cv_2028], MATCH($A100,tblPrices[Products],0), 0)* tblForecast[[#This Row],[un_2028]]/10^6</f>
        <v>0</v>
      </c>
      <c r="AI100" s="60">
        <f>VLOOKUP(A100,Products!$A$11:$F$110,6,FALSE)</f>
        <v>3200</v>
      </c>
    </row>
    <row r="101" spans="1:35">
      <c r="A101" s="12" t="s">
        <v>193</v>
      </c>
      <c r="B101" s="8">
        <f xml:space="preserve"> SUMIF(tblGoogleUnits[Products],$A101, tblGoogleUnits[cv_2018]) + SUMIF(tblMetaUnits[Products],$A101, tblMetaUnits[cv_2018]) + SUMIF(tblAmazonUnits[Products],$A101, tblAmazonUnits[cv_2018]) + SUMIF(tblMicrosoftUnits[Products],$A101, tblMicrosoftUnits[cv_2018]) + SUMIF(tblAppleUnits[Products],$A101, tblAppleUnits[cv_2018]) + SUMIF(tblAlibabaUnits[Products],$A101, tblAlibabaUnits[cv_2018]) + SUMIF(tblHuaweiUnits[Products],$A101, tblHuaweiUnits[cv_2018]) + SUMIF(tblTencentUnits[Products],$A101, tblTencentUnits[cv_2018]) + SUMIF(tblBaiduUnits[Products],$A101, tblBaiduUnits[cv_2018]) + SUMIF(tblByteDanceUnits[Products],$A101, tblByteDanceUnits[cv_2018]) + SUMIF(tblCloudAOUnits[Products],$A101, tblCloudAOUnits[cv_2018]) + SUMIF(tblTelecomUnits[Products],$A101, tblTelecomUnits[cv_2018]) + SUMIF(tblEnterpriseUnits[Products],$A101, tblEnterpriseUnits[cv_2018])</f>
        <v>0</v>
      </c>
      <c r="C101" s="8">
        <f xml:space="preserve"> SUMIF(tblGoogleUnits[Products],$A101, tblGoogleUnits[cv_2019]) + SUMIF(tblMetaUnits[Products],$A101, tblMetaUnits[cv_2019]) + SUMIF(tblAmazonUnits[Products],$A101, tblAmazonUnits[cv_2019]) + SUMIF(tblMicrosoftUnits[Products],$A101, tblMicrosoftUnits[cv_2019]) + SUMIF(tblAppleUnits[Products],$A101, tblAppleUnits[cv_2019]) + SUMIF(tblAlibabaUnits[Products],$A101, tblAlibabaUnits[cv_2019]) + SUMIF(tblHuaweiUnits[Products],$A101, tblHuaweiUnits[cv_2019]) + SUMIF(tblTencentUnits[Products],$A101, tblTencentUnits[cv_2019]) + SUMIF(tblBaiduUnits[Products],$A101, tblBaiduUnits[cv_2019]) + SUMIF(tblByteDanceUnits[Products],$A101, tblByteDanceUnits[cv_2019]) + SUMIF(tblCloudAOUnits[Products],$A101, tblCloudAOUnits[cv_2019]) + SUMIF(tblTelecomUnits[Products],$A101, tblTelecomUnits[cv_2019]) + SUMIF(tblEnterpriseUnits[Products],$A101, tblEnterpriseUnits[cv_2019])</f>
        <v>0</v>
      </c>
      <c r="D101" s="8">
        <f xml:space="preserve"> SUMIF(tblGoogleUnits[Products],$A101, tblGoogleUnits[cv_2020]) + SUMIF(tblMetaUnits[Products],$A101, tblMetaUnits[cv_2020]) + SUMIF(tblAmazonUnits[Products],$A101, tblAmazonUnits[cv_2020]) + SUMIF(tblMicrosoftUnits[Products],$A101, tblMicrosoftUnits[cv_2020]) + SUMIF(tblAppleUnits[Products],$A101, tblAppleUnits[cv_2020]) + SUMIF(tblAlibabaUnits[Products],$A101, tblAlibabaUnits[cv_2020]) + SUMIF(tblHuaweiUnits[Products],$A101, tblHuaweiUnits[cv_2020]) + SUMIF(tblTencentUnits[Products],$A101, tblTencentUnits[cv_2020]) + SUMIF(tblBaiduUnits[Products],$A101, tblBaiduUnits[cv_2020]) + SUMIF(tblByteDanceUnits[Products],$A101, tblByteDanceUnits[cv_2020]) + SUMIF(tblCloudAOUnits[Products],$A101, tblCloudAOUnits[cv_2020]) + SUMIF(tblTelecomUnits[Products],$A101, tblTelecomUnits[cv_2020]) + SUMIF(tblEnterpriseUnits[Products],$A101, tblEnterpriseUnits[cv_2020])</f>
        <v>0</v>
      </c>
      <c r="E101" s="8">
        <f xml:space="preserve"> SUMIF(tblGoogleUnits[Products],$A101, tblGoogleUnits[cv_2021]) + SUMIF(tblMetaUnits[Products],$A101, tblMetaUnits[cv_2021]) + SUMIF(tblAmazonUnits[Products],$A101, tblAmazonUnits[cv_2021]) + SUMIF(tblMicrosoftUnits[Products],$A101, tblMicrosoftUnits[cv_2021]) + SUMIF(tblAppleUnits[Products],$A101, tblAppleUnits[cv_2021]) + SUMIF(tblAlibabaUnits[Products],$A101, tblAlibabaUnits[cv_2021]) + SUMIF(tblHuaweiUnits[Products],$A101, tblHuaweiUnits[cv_2021]) + SUMIF(tblTencentUnits[Products],$A101, tblTencentUnits[cv_2021]) + SUMIF(tblBaiduUnits[Products],$A101, tblBaiduUnits[cv_2021]) + SUMIF(tblByteDanceUnits[Products],$A101, tblByteDanceUnits[cv_2021]) + SUMIF(tblCloudAOUnits[Products],$A101, tblCloudAOUnits[cv_2021]) + SUMIF(tblTelecomUnits[Products],$A101, tblTelecomUnits[cv_2021]) + SUMIF(tblEnterpriseUnits[Products],$A101, tblEnterpriseUnits[cv_2021])</f>
        <v>0</v>
      </c>
      <c r="F101" s="8">
        <f xml:space="preserve"> SUMIF(tblGoogleUnits[Products],$A101, tblGoogleUnits[cv_2022]) + SUMIF(tblMetaUnits[Products],$A101, tblMetaUnits[cv_2022]) + SUMIF(tblAmazonUnits[Products],$A101, tblAmazonUnits[cv_2022]) + SUMIF(tblMicrosoftUnits[Products],$A101, tblMicrosoftUnits[cv_2022]) + SUMIF(tblAppleUnits[Products],$A101, tblAppleUnits[cv_2022]) + SUMIF(tblAlibabaUnits[Products],$A101, tblAlibabaUnits[cv_2022]) + SUMIF(tblHuaweiUnits[Products],$A101, tblHuaweiUnits[cv_2022]) + SUMIF(tblTencentUnits[Products],$A101, tblTencentUnits[cv_2022]) + SUMIF(tblBaiduUnits[Products],$A101, tblBaiduUnits[cv_2022]) + SUMIF(tblByteDanceUnits[Products],$A101, tblByteDanceUnits[cv_2022]) + SUMIF(tblCloudAOUnits[Products],$A101, tblCloudAOUnits[cv_2022]) + SUMIF(tblTelecomUnits[Products],$A101, tblTelecomUnits[cv_2022]) + SUMIF(tblEnterpriseUnits[Products],$A101, tblEnterpriseUnits[cv_2022])</f>
        <v>0</v>
      </c>
      <c r="G101" s="8">
        <f xml:space="preserve"> SUMIF(tblGoogleUnits[Products],$A101, tblGoogleUnits[cv_2023]) + SUMIF(tblMetaUnits[Products],$A101, tblMetaUnits[cv_2023]) + SUMIF(tblAmazonUnits[Products],$A101, tblAmazonUnits[cv_2023]) + SUMIF(tblMicrosoftUnits[Products],$A101, tblMicrosoftUnits[cv_2023]) + SUMIF(tblAppleUnits[Products],$A101, tblAppleUnits[cv_2023]) + SUMIF(tblAlibabaUnits[Products],$A101, tblAlibabaUnits[cv_2023]) + SUMIF(tblHuaweiUnits[Products],$A101, tblHuaweiUnits[cv_2023]) + SUMIF(tblTencentUnits[Products],$A101, tblTencentUnits[cv_2023]) + SUMIF(tblBaiduUnits[Products],$A101, tblBaiduUnits[cv_2023]) + SUMIF(tblByteDanceUnits[Products],$A101, tblByteDanceUnits[cv_2023]) + SUMIF(tblCloudAOUnits[Products],$A101, tblCloudAOUnits[cv_2023]) + SUMIF(tblTelecomUnits[Products],$A101, tblTelecomUnits[cv_2023]) + SUMIF(tblEnterpriseUnits[Products],$A101, tblEnterpriseUnits[cv_2023])</f>
        <v>0</v>
      </c>
      <c r="H101" s="8">
        <f xml:space="preserve"> SUMIF(tblGoogleUnits[Products],$A101, tblGoogleUnits[cv_2024]) + SUMIF(tblMetaUnits[Products],$A101, tblMetaUnits[cv_2024]) + SUMIF(tblAmazonUnits[Products],$A101, tblAmazonUnits[cv_2024]) + SUMIF(tblMicrosoftUnits[Products],$A101, tblMicrosoftUnits[cv_2024]) + SUMIF(tblAppleUnits[Products],$A101, tblAppleUnits[cv_2024]) + SUMIF(tblAlibabaUnits[Products],$A101, tblAlibabaUnits[cv_2024]) + SUMIF(tblHuaweiUnits[Products],$A101, tblHuaweiUnits[cv_2024]) + SUMIF(tblTencentUnits[Products],$A101, tblTencentUnits[cv_2024]) + SUMIF(tblBaiduUnits[Products],$A101, tblBaiduUnits[cv_2024]) + SUMIF(tblByteDanceUnits[Products],$A101, tblByteDanceUnits[cv_2024]) + SUMIF(tblCloudAOUnits[Products],$A101, tblCloudAOUnits[cv_2024]) + SUMIF(tblTelecomUnits[Products],$A101, tblTelecomUnits[cv_2024]) + SUMIF(tblEnterpriseUnits[Products],$A101, tblEnterpriseUnits[cv_2024])</f>
        <v>0</v>
      </c>
      <c r="I101" s="8">
        <f xml:space="preserve"> SUMIF(tblGoogleUnits[Products],$A101, tblGoogleUnits[cv_2025]) + SUMIF(tblMetaUnits[Products],$A101, tblMetaUnits[cv_2025]) + SUMIF(tblAmazonUnits[Products],$A101, tblAmazonUnits[cv_2025]) + SUMIF(tblMicrosoftUnits[Products],$A101, tblMicrosoftUnits[cv_2025]) + SUMIF(tblAppleUnits[Products],$A101, tblAppleUnits[cv_2025]) + SUMIF(tblAlibabaUnits[Products],$A101, tblAlibabaUnits[cv_2025]) + SUMIF(tblHuaweiUnits[Products],$A101, tblHuaweiUnits[cv_2025]) + SUMIF(tblTencentUnits[Products],$A101, tblTencentUnits[cv_2025]) + SUMIF(tblBaiduUnits[Products],$A101, tblBaiduUnits[cv_2025]) + SUMIF(tblByteDanceUnits[Products],$A101, tblByteDanceUnits[cv_2025]) + SUMIF(tblCloudAOUnits[Products],$A101, tblCloudAOUnits[cv_2025]) + SUMIF(tblTelecomUnits[Products],$A101, tblTelecomUnits[cv_2025]) + SUMIF(tblEnterpriseUnits[Products],$A101, tblEnterpriseUnits[cv_2025])</f>
        <v>0</v>
      </c>
      <c r="J101" s="8">
        <f xml:space="preserve"> SUMIF(tblGoogleUnits[Products],$A101, tblGoogleUnits[cv_2026]) + SUMIF(tblMetaUnits[Products],$A101, tblMetaUnits[cv_2026]) + SUMIF(tblAmazonUnits[Products],$A101, tblAmazonUnits[cv_2026]) + SUMIF(tblMicrosoftUnits[Products],$A101, tblMicrosoftUnits[cv_2026]) + SUMIF(tblAppleUnits[Products],$A101, tblAppleUnits[cv_2026]) + SUMIF(tblAlibabaUnits[Products],$A101, tblAlibabaUnits[cv_2026]) + SUMIF(tblHuaweiUnits[Products],$A101, tblHuaweiUnits[cv_2026]) + SUMIF(tblTencentUnits[Products],$A101, tblTencentUnits[cv_2026]) + SUMIF(tblBaiduUnits[Products],$A101, tblBaiduUnits[cv_2026]) + SUMIF(tblByteDanceUnits[Products],$A101, tblByteDanceUnits[cv_2026]) + SUMIF(tblCloudAOUnits[Products],$A101, tblCloudAOUnits[cv_2026]) + SUMIF(tblTelecomUnits[Products],$A101, tblTelecomUnits[cv_2026]) + SUMIF(tblEnterpriseUnits[Products],$A101, tblEnterpriseUnits[cv_2026])</f>
        <v>0</v>
      </c>
      <c r="K101" s="8">
        <f xml:space="preserve"> SUMIF(tblGoogleUnits[Products],$A101, tblGoogleUnits[cv_2027]) + SUMIF(tblMetaUnits[Products],$A101, tblMetaUnits[cv_2027]) + SUMIF(tblAmazonUnits[Products],$A101, tblAmazonUnits[cv_2027]) + SUMIF(tblMicrosoftUnits[Products],$A101, tblMicrosoftUnits[cv_2027]) + SUMIF(tblAppleUnits[Products],$A101, tblAppleUnits[cv_2027]) + SUMIF(tblAlibabaUnits[Products],$A101, tblAlibabaUnits[cv_2027]) + SUMIF(tblHuaweiUnits[Products],$A101, tblHuaweiUnits[cv_2027]) + SUMIF(tblTencentUnits[Products],$A101, tblTencentUnits[cv_2027]) + SUMIF(tblBaiduUnits[Products],$A101, tblBaiduUnits[cv_2027]) + SUMIF(tblByteDanceUnits[Products],$A101, tblByteDanceUnits[cv_2027]) + SUMIF(tblCloudAOUnits[Products],$A101, tblCloudAOUnits[cv_2027]) + SUMIF(tblTelecomUnits[Products],$A101, tblTelecomUnits[cv_2027]) + SUMIF(tblEnterpriseUnits[Products],$A101, tblEnterpriseUnits[cv_2027])</f>
        <v>0</v>
      </c>
      <c r="L101" s="8">
        <f xml:space="preserve"> SUMIF(tblGoogleUnits[Products],$A101, tblGoogleUnits[cv_2028]) + SUMIF(tblMetaUnits[Products],$A101, tblMetaUnits[cv_2028]) + SUMIF(tblAmazonUnits[Products],$A101, tblAmazonUnits[cv_2028]) + SUMIF(tblMicrosoftUnits[Products],$A101, tblMicrosoftUnits[cv_2028]) + SUMIF(tblAppleUnits[Products],$A101, tblAppleUnits[cv_2028]) + SUMIF(tblAlibabaUnits[Products],$A101, tblAlibabaUnits[cv_2028]) + SUMIF(tblHuaweiUnits[Products],$A101, tblHuaweiUnits[cv_2028]) + SUMIF(tblTencentUnits[Products],$A101, tblTencentUnits[cv_2028]) + SUMIF(tblBaiduUnits[Products],$A101, tblBaiduUnits[cv_2028]) + SUMIF(tblByteDanceUnits[Products],$A101, tblByteDanceUnits[cv_2028]) + SUMIF(tblCloudAOUnits[Products],$A101, tblCloudAOUnits[cv_2028]) + SUMIF(tblTelecomUnits[Products],$A101, tblTelecomUnits[cv_2028]) + SUMIF(tblEnterpriseUnits[Products],$A101, tblEnterpriseUnits[cv_2028])</f>
        <v>0</v>
      </c>
      <c r="M101" s="105" cm="1">
        <f t="array" ref="M101">INDEX(tblPrices[cv_2018], MATCH($A101,tblPrices[Products],0), 0)</f>
        <v>0</v>
      </c>
      <c r="N101" s="105" cm="1">
        <f t="array" ref="N101">INDEX(tblPrices[cv_2019], MATCH($A101,tblPrices[Products],0), 0)</f>
        <v>0</v>
      </c>
      <c r="O101" s="105" cm="1">
        <f t="array" ref="O101">INDEX(tblPrices[cv_2020], MATCH($A101,tblPrices[Products],0), 0)</f>
        <v>0</v>
      </c>
      <c r="P101" s="105" cm="1">
        <f t="array" ref="P101">INDEX(tblPrices[cv_2021], MATCH($A101,tblPrices[Products],0), 0)</f>
        <v>0</v>
      </c>
      <c r="Q101" s="105" cm="1">
        <f t="array" ref="Q101">INDEX(tblPrices[cv_2022], MATCH($A101,tblPrices[Products],0), 0)</f>
        <v>0</v>
      </c>
      <c r="R101" s="105" cm="1">
        <f t="array" ref="R101">INDEX(tblPrices[cv_2023], MATCH($A101,tblPrices[Products],0), 0)</f>
        <v>0</v>
      </c>
      <c r="S101" s="105" cm="1">
        <f t="array" ref="S101">INDEX(tblPrices[cv_2024], MATCH($A101,tblPrices[Products],0), 0)</f>
        <v>0</v>
      </c>
      <c r="T101" s="105" cm="1">
        <f t="array" ref="T101">INDEX(tblPrices[cv_2025], MATCH($A101,tblPrices[Products],0), 0)</f>
        <v>0</v>
      </c>
      <c r="U101" s="105" cm="1">
        <f t="array" ref="U101">INDEX(tblPrices[cv_2026], MATCH($A101,tblPrices[Products],0), 0)</f>
        <v>0</v>
      </c>
      <c r="V101" s="105" cm="1">
        <f t="array" ref="V101">INDEX(tblPrices[cv_2027], MATCH($A101,tblPrices[Products],0), 0)</f>
        <v>0</v>
      </c>
      <c r="W101" s="105" cm="1">
        <f t="array" ref="W101">INDEX(tblPrices[cv_2028], MATCH($A101,tblPrices[Products],0), 0)</f>
        <v>0</v>
      </c>
      <c r="X101" s="106" cm="1">
        <f t="array" ref="X101">INDEX(tblPrices[cv_2018], MATCH($A101,tblPrices[Products],0), 0)* tblForecast[[#This Row],[un_2018]]/10^6</f>
        <v>0</v>
      </c>
      <c r="Y101" s="106" cm="1">
        <f t="array" ref="Y101">INDEX(tblPrices[cv_2019], MATCH($A101,tblPrices[Products],0), 0)* tblForecast[[#This Row],[un_2019]]/10^6</f>
        <v>0</v>
      </c>
      <c r="Z101" s="106" cm="1">
        <f t="array" ref="Z101">INDEX(tblPrices[cv_2020], MATCH($A101,tblPrices[Products],0), 0)* tblForecast[[#This Row],[un_2020]]/10^6</f>
        <v>0</v>
      </c>
      <c r="AA101" s="106" cm="1">
        <f t="array" ref="AA101">INDEX(tblPrices[cv_2021], MATCH($A101,tblPrices[Products],0), 0)* tblForecast[[#This Row],[un_2021]]/10^6</f>
        <v>0</v>
      </c>
      <c r="AB101" s="106" cm="1">
        <f t="array" ref="AB101">INDEX(tblPrices[cv_2022], MATCH($A101,tblPrices[Products],0), 0)* tblForecast[[#This Row],[un_2022]]/10^6</f>
        <v>0</v>
      </c>
      <c r="AC101" s="106" cm="1">
        <f t="array" ref="AC101">INDEX(tblPrices[cv_2023], MATCH($A101,tblPrices[Products],0), 0)* tblForecast[[#This Row],[un_2023]]/10^6</f>
        <v>0</v>
      </c>
      <c r="AD101" s="106" cm="1">
        <f t="array" ref="AD101">INDEX(tblPrices[cv_2024], MATCH($A101,tblPrices[Products],0), 0)* tblForecast[[#This Row],[un_2024]]/10^6</f>
        <v>0</v>
      </c>
      <c r="AE101" s="106" cm="1">
        <f t="array" ref="AE101">INDEX(tblPrices[cv_2025], MATCH($A101,tblPrices[Products],0), 0)* tblForecast[[#This Row],[un_2025]]/10^6</f>
        <v>0</v>
      </c>
      <c r="AF101" s="106" cm="1">
        <f t="array" ref="AF101">INDEX(tblPrices[cv_2026], MATCH($A101,tblPrices[Products],0), 0)* tblForecast[[#This Row],[un_2026]]/10^6</f>
        <v>0</v>
      </c>
      <c r="AG101" s="106" cm="1">
        <f t="array" ref="AG101">INDEX(tblPrices[cv_2027], MATCH($A101,tblPrices[Products],0), 0)* tblForecast[[#This Row],[un_2027]]/10^6</f>
        <v>0</v>
      </c>
      <c r="AH101" s="106" cm="1">
        <f t="array" ref="AH101">INDEX(tblPrices[cv_2028], MATCH($A101,tblPrices[Products],0), 0)* tblForecast[[#This Row],[un_2028]]/10^6</f>
        <v>0</v>
      </c>
      <c r="AI101" s="60">
        <f>VLOOKUP(A101,Products!$A$11:$F$110,6,FALSE)</f>
        <v>3200</v>
      </c>
    </row>
    <row r="102" spans="1:35">
      <c r="A102" s="12" t="s">
        <v>194</v>
      </c>
      <c r="B102" s="8">
        <f xml:space="preserve"> SUMIF(tblGoogleUnits[Products],$A102, tblGoogleUnits[cv_2018]) + SUMIF(tblMetaUnits[Products],$A102, tblMetaUnits[cv_2018]) + SUMIF(tblAmazonUnits[Products],$A102, tblAmazonUnits[cv_2018]) + SUMIF(tblMicrosoftUnits[Products],$A102, tblMicrosoftUnits[cv_2018]) + SUMIF(tblAppleUnits[Products],$A102, tblAppleUnits[cv_2018]) + SUMIF(tblAlibabaUnits[Products],$A102, tblAlibabaUnits[cv_2018]) + SUMIF(tblHuaweiUnits[Products],$A102, tblHuaweiUnits[cv_2018]) + SUMIF(tblTencentUnits[Products],$A102, tblTencentUnits[cv_2018]) + SUMIF(tblBaiduUnits[Products],$A102, tblBaiduUnits[cv_2018]) + SUMIF(tblByteDanceUnits[Products],$A102, tblByteDanceUnits[cv_2018]) + SUMIF(tblCloudAOUnits[Products],$A102, tblCloudAOUnits[cv_2018]) + SUMIF(tblTelecomUnits[Products],$A102, tblTelecomUnits[cv_2018]) + SUMIF(tblEnterpriseUnits[Products],$A102, tblEnterpriseUnits[cv_2018])</f>
        <v>0</v>
      </c>
      <c r="C102" s="8">
        <f xml:space="preserve"> SUMIF(tblGoogleUnits[Products],$A102, tblGoogleUnits[cv_2019]) + SUMIF(tblMetaUnits[Products],$A102, tblMetaUnits[cv_2019]) + SUMIF(tblAmazonUnits[Products],$A102, tblAmazonUnits[cv_2019]) + SUMIF(tblMicrosoftUnits[Products],$A102, tblMicrosoftUnits[cv_2019]) + SUMIF(tblAppleUnits[Products],$A102, tblAppleUnits[cv_2019]) + SUMIF(tblAlibabaUnits[Products],$A102, tblAlibabaUnits[cv_2019]) + SUMIF(tblHuaweiUnits[Products],$A102, tblHuaweiUnits[cv_2019]) + SUMIF(tblTencentUnits[Products],$A102, tblTencentUnits[cv_2019]) + SUMIF(tblBaiduUnits[Products],$A102, tblBaiduUnits[cv_2019]) + SUMIF(tblByteDanceUnits[Products],$A102, tblByteDanceUnits[cv_2019]) + SUMIF(tblCloudAOUnits[Products],$A102, tblCloudAOUnits[cv_2019]) + SUMIF(tblTelecomUnits[Products],$A102, tblTelecomUnits[cv_2019]) + SUMIF(tblEnterpriseUnits[Products],$A102, tblEnterpriseUnits[cv_2019])</f>
        <v>0</v>
      </c>
      <c r="D102" s="8">
        <f xml:space="preserve"> SUMIF(tblGoogleUnits[Products],$A102, tblGoogleUnits[cv_2020]) + SUMIF(tblMetaUnits[Products],$A102, tblMetaUnits[cv_2020]) + SUMIF(tblAmazonUnits[Products],$A102, tblAmazonUnits[cv_2020]) + SUMIF(tblMicrosoftUnits[Products],$A102, tblMicrosoftUnits[cv_2020]) + SUMIF(tblAppleUnits[Products],$A102, tblAppleUnits[cv_2020]) + SUMIF(tblAlibabaUnits[Products],$A102, tblAlibabaUnits[cv_2020]) + SUMIF(tblHuaweiUnits[Products],$A102, tblHuaweiUnits[cv_2020]) + SUMIF(tblTencentUnits[Products],$A102, tblTencentUnits[cv_2020]) + SUMIF(tblBaiduUnits[Products],$A102, tblBaiduUnits[cv_2020]) + SUMIF(tblByteDanceUnits[Products],$A102, tblByteDanceUnits[cv_2020]) + SUMIF(tblCloudAOUnits[Products],$A102, tblCloudAOUnits[cv_2020]) + SUMIF(tblTelecomUnits[Products],$A102, tblTelecomUnits[cv_2020]) + SUMIF(tblEnterpriseUnits[Products],$A102, tblEnterpriseUnits[cv_2020])</f>
        <v>0</v>
      </c>
      <c r="E102" s="8">
        <f xml:space="preserve"> SUMIF(tblGoogleUnits[Products],$A102, tblGoogleUnits[cv_2021]) + SUMIF(tblMetaUnits[Products],$A102, tblMetaUnits[cv_2021]) + SUMIF(tblAmazonUnits[Products],$A102, tblAmazonUnits[cv_2021]) + SUMIF(tblMicrosoftUnits[Products],$A102, tblMicrosoftUnits[cv_2021]) + SUMIF(tblAppleUnits[Products],$A102, tblAppleUnits[cv_2021]) + SUMIF(tblAlibabaUnits[Products],$A102, tblAlibabaUnits[cv_2021]) + SUMIF(tblHuaweiUnits[Products],$A102, tblHuaweiUnits[cv_2021]) + SUMIF(tblTencentUnits[Products],$A102, tblTencentUnits[cv_2021]) + SUMIF(tblBaiduUnits[Products],$A102, tblBaiduUnits[cv_2021]) + SUMIF(tblByteDanceUnits[Products],$A102, tblByteDanceUnits[cv_2021]) + SUMIF(tblCloudAOUnits[Products],$A102, tblCloudAOUnits[cv_2021]) + SUMIF(tblTelecomUnits[Products],$A102, tblTelecomUnits[cv_2021]) + SUMIF(tblEnterpriseUnits[Products],$A102, tblEnterpriseUnits[cv_2021])</f>
        <v>0</v>
      </c>
      <c r="F102" s="8">
        <f xml:space="preserve"> SUMIF(tblGoogleUnits[Products],$A102, tblGoogleUnits[cv_2022]) + SUMIF(tblMetaUnits[Products],$A102, tblMetaUnits[cv_2022]) + SUMIF(tblAmazonUnits[Products],$A102, tblAmazonUnits[cv_2022]) + SUMIF(tblMicrosoftUnits[Products],$A102, tblMicrosoftUnits[cv_2022]) + SUMIF(tblAppleUnits[Products],$A102, tblAppleUnits[cv_2022]) + SUMIF(tblAlibabaUnits[Products],$A102, tblAlibabaUnits[cv_2022]) + SUMIF(tblHuaweiUnits[Products],$A102, tblHuaweiUnits[cv_2022]) + SUMIF(tblTencentUnits[Products],$A102, tblTencentUnits[cv_2022]) + SUMIF(tblBaiduUnits[Products],$A102, tblBaiduUnits[cv_2022]) + SUMIF(tblByteDanceUnits[Products],$A102, tblByteDanceUnits[cv_2022]) + SUMIF(tblCloudAOUnits[Products],$A102, tblCloudAOUnits[cv_2022]) + SUMIF(tblTelecomUnits[Products],$A102, tblTelecomUnits[cv_2022]) + SUMIF(tblEnterpriseUnits[Products],$A102, tblEnterpriseUnits[cv_2022])</f>
        <v>0</v>
      </c>
      <c r="G102" s="8">
        <f xml:space="preserve"> SUMIF(tblGoogleUnits[Products],$A102, tblGoogleUnits[cv_2023]) + SUMIF(tblMetaUnits[Products],$A102, tblMetaUnits[cv_2023]) + SUMIF(tblAmazonUnits[Products],$A102, tblAmazonUnits[cv_2023]) + SUMIF(tblMicrosoftUnits[Products],$A102, tblMicrosoftUnits[cv_2023]) + SUMIF(tblAppleUnits[Products],$A102, tblAppleUnits[cv_2023]) + SUMIF(tblAlibabaUnits[Products],$A102, tblAlibabaUnits[cv_2023]) + SUMIF(tblHuaweiUnits[Products],$A102, tblHuaweiUnits[cv_2023]) + SUMIF(tblTencentUnits[Products],$A102, tblTencentUnits[cv_2023]) + SUMIF(tblBaiduUnits[Products],$A102, tblBaiduUnits[cv_2023]) + SUMIF(tblByteDanceUnits[Products],$A102, tblByteDanceUnits[cv_2023]) + SUMIF(tblCloudAOUnits[Products],$A102, tblCloudAOUnits[cv_2023]) + SUMIF(tblTelecomUnits[Products],$A102, tblTelecomUnits[cv_2023]) + SUMIF(tblEnterpriseUnits[Products],$A102, tblEnterpriseUnits[cv_2023])</f>
        <v>0</v>
      </c>
      <c r="H102" s="8">
        <f xml:space="preserve"> SUMIF(tblGoogleUnits[Products],$A102, tblGoogleUnits[cv_2024]) + SUMIF(tblMetaUnits[Products],$A102, tblMetaUnits[cv_2024]) + SUMIF(tblAmazonUnits[Products],$A102, tblAmazonUnits[cv_2024]) + SUMIF(tblMicrosoftUnits[Products],$A102, tblMicrosoftUnits[cv_2024]) + SUMIF(tblAppleUnits[Products],$A102, tblAppleUnits[cv_2024]) + SUMIF(tblAlibabaUnits[Products],$A102, tblAlibabaUnits[cv_2024]) + SUMIF(tblHuaweiUnits[Products],$A102, tblHuaweiUnits[cv_2024]) + SUMIF(tblTencentUnits[Products],$A102, tblTencentUnits[cv_2024]) + SUMIF(tblBaiduUnits[Products],$A102, tblBaiduUnits[cv_2024]) + SUMIF(tblByteDanceUnits[Products],$A102, tblByteDanceUnits[cv_2024]) + SUMIF(tblCloudAOUnits[Products],$A102, tblCloudAOUnits[cv_2024]) + SUMIF(tblTelecomUnits[Products],$A102, tblTelecomUnits[cv_2024]) + SUMIF(tblEnterpriseUnits[Products],$A102, tblEnterpriseUnits[cv_2024])</f>
        <v>0</v>
      </c>
      <c r="I102" s="8">
        <f xml:space="preserve"> SUMIF(tblGoogleUnits[Products],$A102, tblGoogleUnits[cv_2025]) + SUMIF(tblMetaUnits[Products],$A102, tblMetaUnits[cv_2025]) + SUMIF(tblAmazonUnits[Products],$A102, tblAmazonUnits[cv_2025]) + SUMIF(tblMicrosoftUnits[Products],$A102, tblMicrosoftUnits[cv_2025]) + SUMIF(tblAppleUnits[Products],$A102, tblAppleUnits[cv_2025]) + SUMIF(tblAlibabaUnits[Products],$A102, tblAlibabaUnits[cv_2025]) + SUMIF(tblHuaweiUnits[Products],$A102, tblHuaweiUnits[cv_2025]) + SUMIF(tblTencentUnits[Products],$A102, tblTencentUnits[cv_2025]) + SUMIF(tblBaiduUnits[Products],$A102, tblBaiduUnits[cv_2025]) + SUMIF(tblByteDanceUnits[Products],$A102, tblByteDanceUnits[cv_2025]) + SUMIF(tblCloudAOUnits[Products],$A102, tblCloudAOUnits[cv_2025]) + SUMIF(tblTelecomUnits[Products],$A102, tblTelecomUnits[cv_2025]) + SUMIF(tblEnterpriseUnits[Products],$A102, tblEnterpriseUnits[cv_2025])</f>
        <v>0</v>
      </c>
      <c r="J102" s="8">
        <f xml:space="preserve"> SUMIF(tblGoogleUnits[Products],$A102, tblGoogleUnits[cv_2026]) + SUMIF(tblMetaUnits[Products],$A102, tblMetaUnits[cv_2026]) + SUMIF(tblAmazonUnits[Products],$A102, tblAmazonUnits[cv_2026]) + SUMIF(tblMicrosoftUnits[Products],$A102, tblMicrosoftUnits[cv_2026]) + SUMIF(tblAppleUnits[Products],$A102, tblAppleUnits[cv_2026]) + SUMIF(tblAlibabaUnits[Products],$A102, tblAlibabaUnits[cv_2026]) + SUMIF(tblHuaweiUnits[Products],$A102, tblHuaweiUnits[cv_2026]) + SUMIF(tblTencentUnits[Products],$A102, tblTencentUnits[cv_2026]) + SUMIF(tblBaiduUnits[Products],$A102, tblBaiduUnits[cv_2026]) + SUMIF(tblByteDanceUnits[Products],$A102, tblByteDanceUnits[cv_2026]) + SUMIF(tblCloudAOUnits[Products],$A102, tblCloudAOUnits[cv_2026]) + SUMIF(tblTelecomUnits[Products],$A102, tblTelecomUnits[cv_2026]) + SUMIF(tblEnterpriseUnits[Products],$A102, tblEnterpriseUnits[cv_2026])</f>
        <v>0</v>
      </c>
      <c r="K102" s="8">
        <f xml:space="preserve"> SUMIF(tblGoogleUnits[Products],$A102, tblGoogleUnits[cv_2027]) + SUMIF(tblMetaUnits[Products],$A102, tblMetaUnits[cv_2027]) + SUMIF(tblAmazonUnits[Products],$A102, tblAmazonUnits[cv_2027]) + SUMIF(tblMicrosoftUnits[Products],$A102, tblMicrosoftUnits[cv_2027]) + SUMIF(tblAppleUnits[Products],$A102, tblAppleUnits[cv_2027]) + SUMIF(tblAlibabaUnits[Products],$A102, tblAlibabaUnits[cv_2027]) + SUMIF(tblHuaweiUnits[Products],$A102, tblHuaweiUnits[cv_2027]) + SUMIF(tblTencentUnits[Products],$A102, tblTencentUnits[cv_2027]) + SUMIF(tblBaiduUnits[Products],$A102, tblBaiduUnits[cv_2027]) + SUMIF(tblByteDanceUnits[Products],$A102, tblByteDanceUnits[cv_2027]) + SUMIF(tblCloudAOUnits[Products],$A102, tblCloudAOUnits[cv_2027]) + SUMIF(tblTelecomUnits[Products],$A102, tblTelecomUnits[cv_2027]) + SUMIF(tblEnterpriseUnits[Products],$A102, tblEnterpriseUnits[cv_2027])</f>
        <v>0</v>
      </c>
      <c r="L102" s="8">
        <f xml:space="preserve"> SUMIF(tblGoogleUnits[Products],$A102, tblGoogleUnits[cv_2028]) + SUMIF(tblMetaUnits[Products],$A102, tblMetaUnits[cv_2028]) + SUMIF(tblAmazonUnits[Products],$A102, tblAmazonUnits[cv_2028]) + SUMIF(tblMicrosoftUnits[Products],$A102, tblMicrosoftUnits[cv_2028]) + SUMIF(tblAppleUnits[Products],$A102, tblAppleUnits[cv_2028]) + SUMIF(tblAlibabaUnits[Products],$A102, tblAlibabaUnits[cv_2028]) + SUMIF(tblHuaweiUnits[Products],$A102, tblHuaweiUnits[cv_2028]) + SUMIF(tblTencentUnits[Products],$A102, tblTencentUnits[cv_2028]) + SUMIF(tblBaiduUnits[Products],$A102, tblBaiduUnits[cv_2028]) + SUMIF(tblByteDanceUnits[Products],$A102, tblByteDanceUnits[cv_2028]) + SUMIF(tblCloudAOUnits[Products],$A102, tblCloudAOUnits[cv_2028]) + SUMIF(tblTelecomUnits[Products],$A102, tblTelecomUnits[cv_2028]) + SUMIF(tblEnterpriseUnits[Products],$A102, tblEnterpriseUnits[cv_2028])</f>
        <v>0</v>
      </c>
      <c r="M102" s="105" cm="1">
        <f t="array" ref="M102">INDEX(tblPrices[cv_2018], MATCH($A102,tblPrices[Products],0), 0)</f>
        <v>0</v>
      </c>
      <c r="N102" s="105" cm="1">
        <f t="array" ref="N102">INDEX(tblPrices[cv_2019], MATCH($A102,tblPrices[Products],0), 0)</f>
        <v>0</v>
      </c>
      <c r="O102" s="105" cm="1">
        <f t="array" ref="O102">INDEX(tblPrices[cv_2020], MATCH($A102,tblPrices[Products],0), 0)</f>
        <v>0</v>
      </c>
      <c r="P102" s="105" cm="1">
        <f t="array" ref="P102">INDEX(tblPrices[cv_2021], MATCH($A102,tblPrices[Products],0), 0)</f>
        <v>0</v>
      </c>
      <c r="Q102" s="105" cm="1">
        <f t="array" ref="Q102">INDEX(tblPrices[cv_2022], MATCH($A102,tblPrices[Products],0), 0)</f>
        <v>0</v>
      </c>
      <c r="R102" s="105" cm="1">
        <f t="array" ref="R102">INDEX(tblPrices[cv_2023], MATCH($A102,tblPrices[Products],0), 0)</f>
        <v>0</v>
      </c>
      <c r="S102" s="105" cm="1">
        <f t="array" ref="S102">INDEX(tblPrices[cv_2024], MATCH($A102,tblPrices[Products],0), 0)</f>
        <v>0</v>
      </c>
      <c r="T102" s="105" cm="1">
        <f t="array" ref="T102">INDEX(tblPrices[cv_2025], MATCH($A102,tblPrices[Products],0), 0)</f>
        <v>0</v>
      </c>
      <c r="U102" s="105" cm="1">
        <f t="array" ref="U102">INDEX(tblPrices[cv_2026], MATCH($A102,tblPrices[Products],0), 0)</f>
        <v>0</v>
      </c>
      <c r="V102" s="105" cm="1">
        <f t="array" ref="V102">INDEX(tblPrices[cv_2027], MATCH($A102,tblPrices[Products],0), 0)</f>
        <v>0</v>
      </c>
      <c r="W102" s="105" cm="1">
        <f t="array" ref="W102">INDEX(tblPrices[cv_2028], MATCH($A102,tblPrices[Products],0), 0)</f>
        <v>0</v>
      </c>
      <c r="X102" s="106" cm="1">
        <f t="array" ref="X102">INDEX(tblPrices[cv_2018], MATCH($A102,tblPrices[Products],0), 0)* tblForecast[[#This Row],[un_2018]]/10^6</f>
        <v>0</v>
      </c>
      <c r="Y102" s="106" cm="1">
        <f t="array" ref="Y102">INDEX(tblPrices[cv_2019], MATCH($A102,tblPrices[Products],0), 0)* tblForecast[[#This Row],[un_2019]]/10^6</f>
        <v>0</v>
      </c>
      <c r="Z102" s="106" cm="1">
        <f t="array" ref="Z102">INDEX(tblPrices[cv_2020], MATCH($A102,tblPrices[Products],0), 0)* tblForecast[[#This Row],[un_2020]]/10^6</f>
        <v>0</v>
      </c>
      <c r="AA102" s="106" cm="1">
        <f t="array" ref="AA102">INDEX(tblPrices[cv_2021], MATCH($A102,tblPrices[Products],0), 0)* tblForecast[[#This Row],[un_2021]]/10^6</f>
        <v>0</v>
      </c>
      <c r="AB102" s="106" cm="1">
        <f t="array" ref="AB102">INDEX(tblPrices[cv_2022], MATCH($A102,tblPrices[Products],0), 0)* tblForecast[[#This Row],[un_2022]]/10^6</f>
        <v>0</v>
      </c>
      <c r="AC102" s="106" cm="1">
        <f t="array" ref="AC102">INDEX(tblPrices[cv_2023], MATCH($A102,tblPrices[Products],0), 0)* tblForecast[[#This Row],[un_2023]]/10^6</f>
        <v>0</v>
      </c>
      <c r="AD102" s="106" cm="1">
        <f t="array" ref="AD102">INDEX(tblPrices[cv_2024], MATCH($A102,tblPrices[Products],0), 0)* tblForecast[[#This Row],[un_2024]]/10^6</f>
        <v>0</v>
      </c>
      <c r="AE102" s="106" cm="1">
        <f t="array" ref="AE102">INDEX(tblPrices[cv_2025], MATCH($A102,tblPrices[Products],0), 0)* tblForecast[[#This Row],[un_2025]]/10^6</f>
        <v>0</v>
      </c>
      <c r="AF102" s="106" cm="1">
        <f t="array" ref="AF102">INDEX(tblPrices[cv_2026], MATCH($A102,tblPrices[Products],0), 0)* tblForecast[[#This Row],[un_2026]]/10^6</f>
        <v>0</v>
      </c>
      <c r="AG102" s="106" cm="1">
        <f t="array" ref="AG102">INDEX(tblPrices[cv_2027], MATCH($A102,tblPrices[Products],0), 0)* tblForecast[[#This Row],[un_2027]]/10^6</f>
        <v>0</v>
      </c>
      <c r="AH102" s="106" cm="1">
        <f t="array" ref="AH102">INDEX(tblPrices[cv_2028], MATCH($A102,tblPrices[Products],0), 0)* tblForecast[[#This Row],[un_2028]]/10^6</f>
        <v>0</v>
      </c>
      <c r="AI102" s="60">
        <f>VLOOKUP(A102,Products!$A$11:$F$110,6,FALSE)</f>
        <v>3200</v>
      </c>
    </row>
    <row r="103" spans="1:35">
      <c r="A103" s="12" t="s">
        <v>195</v>
      </c>
      <c r="B103" s="8">
        <f xml:space="preserve"> SUMIF(tblGoogleUnits[Products],$A103, tblGoogleUnits[cv_2018]) + SUMIF(tblMetaUnits[Products],$A103, tblMetaUnits[cv_2018]) + SUMIF(tblAmazonUnits[Products],$A103, tblAmazonUnits[cv_2018]) + SUMIF(tblMicrosoftUnits[Products],$A103, tblMicrosoftUnits[cv_2018]) + SUMIF(tblAppleUnits[Products],$A103, tblAppleUnits[cv_2018]) + SUMIF(tblAlibabaUnits[Products],$A103, tblAlibabaUnits[cv_2018]) + SUMIF(tblHuaweiUnits[Products],$A103, tblHuaweiUnits[cv_2018]) + SUMIF(tblTencentUnits[Products],$A103, tblTencentUnits[cv_2018]) + SUMIF(tblBaiduUnits[Products],$A103, tblBaiduUnits[cv_2018]) + SUMIF(tblByteDanceUnits[Products],$A103, tblByteDanceUnits[cv_2018]) + SUMIF(tblCloudAOUnits[Products],$A103, tblCloudAOUnits[cv_2018]) + SUMIF(tblTelecomUnits[Products],$A103, tblTelecomUnits[cv_2018]) + SUMIF(tblEnterpriseUnits[Products],$A103, tblEnterpriseUnits[cv_2018])</f>
        <v>0</v>
      </c>
      <c r="C103" s="8">
        <f xml:space="preserve"> SUMIF(tblGoogleUnits[Products],$A103, tblGoogleUnits[cv_2019]) + SUMIF(tblMetaUnits[Products],$A103, tblMetaUnits[cv_2019]) + SUMIF(tblAmazonUnits[Products],$A103, tblAmazonUnits[cv_2019]) + SUMIF(tblMicrosoftUnits[Products],$A103, tblMicrosoftUnits[cv_2019]) + SUMIF(tblAppleUnits[Products],$A103, tblAppleUnits[cv_2019]) + SUMIF(tblAlibabaUnits[Products],$A103, tblAlibabaUnits[cv_2019]) + SUMIF(tblHuaweiUnits[Products],$A103, tblHuaweiUnits[cv_2019]) + SUMIF(tblTencentUnits[Products],$A103, tblTencentUnits[cv_2019]) + SUMIF(tblBaiduUnits[Products],$A103, tblBaiduUnits[cv_2019]) + SUMIF(tblByteDanceUnits[Products],$A103, tblByteDanceUnits[cv_2019]) + SUMIF(tblCloudAOUnits[Products],$A103, tblCloudAOUnits[cv_2019]) + SUMIF(tblTelecomUnits[Products],$A103, tblTelecomUnits[cv_2019]) + SUMIF(tblEnterpriseUnits[Products],$A103, tblEnterpriseUnits[cv_2019])</f>
        <v>0</v>
      </c>
      <c r="D103" s="8">
        <f xml:space="preserve"> SUMIF(tblGoogleUnits[Products],$A103, tblGoogleUnits[cv_2020]) + SUMIF(tblMetaUnits[Products],$A103, tblMetaUnits[cv_2020]) + SUMIF(tblAmazonUnits[Products],$A103, tblAmazonUnits[cv_2020]) + SUMIF(tblMicrosoftUnits[Products],$A103, tblMicrosoftUnits[cv_2020]) + SUMIF(tblAppleUnits[Products],$A103, tblAppleUnits[cv_2020]) + SUMIF(tblAlibabaUnits[Products],$A103, tblAlibabaUnits[cv_2020]) + SUMIF(tblHuaweiUnits[Products],$A103, tblHuaweiUnits[cv_2020]) + SUMIF(tblTencentUnits[Products],$A103, tblTencentUnits[cv_2020]) + SUMIF(tblBaiduUnits[Products],$A103, tblBaiduUnits[cv_2020]) + SUMIF(tblByteDanceUnits[Products],$A103, tblByteDanceUnits[cv_2020]) + SUMIF(tblCloudAOUnits[Products],$A103, tblCloudAOUnits[cv_2020]) + SUMIF(tblTelecomUnits[Products],$A103, tblTelecomUnits[cv_2020]) + SUMIF(tblEnterpriseUnits[Products],$A103, tblEnterpriseUnits[cv_2020])</f>
        <v>0</v>
      </c>
      <c r="E103" s="8">
        <f xml:space="preserve"> SUMIF(tblGoogleUnits[Products],$A103, tblGoogleUnits[cv_2021]) + SUMIF(tblMetaUnits[Products],$A103, tblMetaUnits[cv_2021]) + SUMIF(tblAmazonUnits[Products],$A103, tblAmazonUnits[cv_2021]) + SUMIF(tblMicrosoftUnits[Products],$A103, tblMicrosoftUnits[cv_2021]) + SUMIF(tblAppleUnits[Products],$A103, tblAppleUnits[cv_2021]) + SUMIF(tblAlibabaUnits[Products],$A103, tblAlibabaUnits[cv_2021]) + SUMIF(tblHuaweiUnits[Products],$A103, tblHuaweiUnits[cv_2021]) + SUMIF(tblTencentUnits[Products],$A103, tblTencentUnits[cv_2021]) + SUMIF(tblBaiduUnits[Products],$A103, tblBaiduUnits[cv_2021]) + SUMIF(tblByteDanceUnits[Products],$A103, tblByteDanceUnits[cv_2021]) + SUMIF(tblCloudAOUnits[Products],$A103, tblCloudAOUnits[cv_2021]) + SUMIF(tblTelecomUnits[Products],$A103, tblTelecomUnits[cv_2021]) + SUMIF(tblEnterpriseUnits[Products],$A103, tblEnterpriseUnits[cv_2021])</f>
        <v>0</v>
      </c>
      <c r="F103" s="8">
        <f xml:space="preserve"> SUMIF(tblGoogleUnits[Products],$A103, tblGoogleUnits[cv_2022]) + SUMIF(tblMetaUnits[Products],$A103, tblMetaUnits[cv_2022]) + SUMIF(tblAmazonUnits[Products],$A103, tblAmazonUnits[cv_2022]) + SUMIF(tblMicrosoftUnits[Products],$A103, tblMicrosoftUnits[cv_2022]) + SUMIF(tblAppleUnits[Products],$A103, tblAppleUnits[cv_2022]) + SUMIF(tblAlibabaUnits[Products],$A103, tblAlibabaUnits[cv_2022]) + SUMIF(tblHuaweiUnits[Products],$A103, tblHuaweiUnits[cv_2022]) + SUMIF(tblTencentUnits[Products],$A103, tblTencentUnits[cv_2022]) + SUMIF(tblBaiduUnits[Products],$A103, tblBaiduUnits[cv_2022]) + SUMIF(tblByteDanceUnits[Products],$A103, tblByteDanceUnits[cv_2022]) + SUMIF(tblCloudAOUnits[Products],$A103, tblCloudAOUnits[cv_2022]) + SUMIF(tblTelecomUnits[Products],$A103, tblTelecomUnits[cv_2022]) + SUMIF(tblEnterpriseUnits[Products],$A103, tblEnterpriseUnits[cv_2022])</f>
        <v>0</v>
      </c>
      <c r="G103" s="8">
        <f xml:space="preserve"> SUMIF(tblGoogleUnits[Products],$A103, tblGoogleUnits[cv_2023]) + SUMIF(tblMetaUnits[Products],$A103, tblMetaUnits[cv_2023]) + SUMIF(tblAmazonUnits[Products],$A103, tblAmazonUnits[cv_2023]) + SUMIF(tblMicrosoftUnits[Products],$A103, tblMicrosoftUnits[cv_2023]) + SUMIF(tblAppleUnits[Products],$A103, tblAppleUnits[cv_2023]) + SUMIF(tblAlibabaUnits[Products],$A103, tblAlibabaUnits[cv_2023]) + SUMIF(tblHuaweiUnits[Products],$A103, tblHuaweiUnits[cv_2023]) + SUMIF(tblTencentUnits[Products],$A103, tblTencentUnits[cv_2023]) + SUMIF(tblBaiduUnits[Products],$A103, tblBaiduUnits[cv_2023]) + SUMIF(tblByteDanceUnits[Products],$A103, tblByteDanceUnits[cv_2023]) + SUMIF(tblCloudAOUnits[Products],$A103, tblCloudAOUnits[cv_2023]) + SUMIF(tblTelecomUnits[Products],$A103, tblTelecomUnits[cv_2023]) + SUMIF(tblEnterpriseUnits[Products],$A103, tblEnterpriseUnits[cv_2023])</f>
        <v>0</v>
      </c>
      <c r="H103" s="8">
        <f xml:space="preserve"> SUMIF(tblGoogleUnits[Products],$A103, tblGoogleUnits[cv_2024]) + SUMIF(tblMetaUnits[Products],$A103, tblMetaUnits[cv_2024]) + SUMIF(tblAmazonUnits[Products],$A103, tblAmazonUnits[cv_2024]) + SUMIF(tblMicrosoftUnits[Products],$A103, tblMicrosoftUnits[cv_2024]) + SUMIF(tblAppleUnits[Products],$A103, tblAppleUnits[cv_2024]) + SUMIF(tblAlibabaUnits[Products],$A103, tblAlibabaUnits[cv_2024]) + SUMIF(tblHuaweiUnits[Products],$A103, tblHuaweiUnits[cv_2024]) + SUMIF(tblTencentUnits[Products],$A103, tblTencentUnits[cv_2024]) + SUMIF(tblBaiduUnits[Products],$A103, tblBaiduUnits[cv_2024]) + SUMIF(tblByteDanceUnits[Products],$A103, tblByteDanceUnits[cv_2024]) + SUMIF(tblCloudAOUnits[Products],$A103, tblCloudAOUnits[cv_2024]) + SUMIF(tblTelecomUnits[Products],$A103, tblTelecomUnits[cv_2024]) + SUMIF(tblEnterpriseUnits[Products],$A103, tblEnterpriseUnits[cv_2024])</f>
        <v>0</v>
      </c>
      <c r="I103" s="8">
        <f xml:space="preserve"> SUMIF(tblGoogleUnits[Products],$A103, tblGoogleUnits[cv_2025]) + SUMIF(tblMetaUnits[Products],$A103, tblMetaUnits[cv_2025]) + SUMIF(tblAmazonUnits[Products],$A103, tblAmazonUnits[cv_2025]) + SUMIF(tblMicrosoftUnits[Products],$A103, tblMicrosoftUnits[cv_2025]) + SUMIF(tblAppleUnits[Products],$A103, tblAppleUnits[cv_2025]) + SUMIF(tblAlibabaUnits[Products],$A103, tblAlibabaUnits[cv_2025]) + SUMIF(tblHuaweiUnits[Products],$A103, tblHuaweiUnits[cv_2025]) + SUMIF(tblTencentUnits[Products],$A103, tblTencentUnits[cv_2025]) + SUMIF(tblBaiduUnits[Products],$A103, tblBaiduUnits[cv_2025]) + SUMIF(tblByteDanceUnits[Products],$A103, tblByteDanceUnits[cv_2025]) + SUMIF(tblCloudAOUnits[Products],$A103, tblCloudAOUnits[cv_2025]) + SUMIF(tblTelecomUnits[Products],$A103, tblTelecomUnits[cv_2025]) + SUMIF(tblEnterpriseUnits[Products],$A103, tblEnterpriseUnits[cv_2025])</f>
        <v>0</v>
      </c>
      <c r="J103" s="8">
        <f xml:space="preserve"> SUMIF(tblGoogleUnits[Products],$A103, tblGoogleUnits[cv_2026]) + SUMIF(tblMetaUnits[Products],$A103, tblMetaUnits[cv_2026]) + SUMIF(tblAmazonUnits[Products],$A103, tblAmazonUnits[cv_2026]) + SUMIF(tblMicrosoftUnits[Products],$A103, tblMicrosoftUnits[cv_2026]) + SUMIF(tblAppleUnits[Products],$A103, tblAppleUnits[cv_2026]) + SUMIF(tblAlibabaUnits[Products],$A103, tblAlibabaUnits[cv_2026]) + SUMIF(tblHuaweiUnits[Products],$A103, tblHuaweiUnits[cv_2026]) + SUMIF(tblTencentUnits[Products],$A103, tblTencentUnits[cv_2026]) + SUMIF(tblBaiduUnits[Products],$A103, tblBaiduUnits[cv_2026]) + SUMIF(tblByteDanceUnits[Products],$A103, tblByteDanceUnits[cv_2026]) + SUMIF(tblCloudAOUnits[Products],$A103, tblCloudAOUnits[cv_2026]) + SUMIF(tblTelecomUnits[Products],$A103, tblTelecomUnits[cv_2026]) + SUMIF(tblEnterpriseUnits[Products],$A103, tblEnterpriseUnits[cv_2026])</f>
        <v>0</v>
      </c>
      <c r="K103" s="8">
        <f xml:space="preserve"> SUMIF(tblGoogleUnits[Products],$A103, tblGoogleUnits[cv_2027]) + SUMIF(tblMetaUnits[Products],$A103, tblMetaUnits[cv_2027]) + SUMIF(tblAmazonUnits[Products],$A103, tblAmazonUnits[cv_2027]) + SUMIF(tblMicrosoftUnits[Products],$A103, tblMicrosoftUnits[cv_2027]) + SUMIF(tblAppleUnits[Products],$A103, tblAppleUnits[cv_2027]) + SUMIF(tblAlibabaUnits[Products],$A103, tblAlibabaUnits[cv_2027]) + SUMIF(tblHuaweiUnits[Products],$A103, tblHuaweiUnits[cv_2027]) + SUMIF(tblTencentUnits[Products],$A103, tblTencentUnits[cv_2027]) + SUMIF(tblBaiduUnits[Products],$A103, tblBaiduUnits[cv_2027]) + SUMIF(tblByteDanceUnits[Products],$A103, tblByteDanceUnits[cv_2027]) + SUMIF(tblCloudAOUnits[Products],$A103, tblCloudAOUnits[cv_2027]) + SUMIF(tblTelecomUnits[Products],$A103, tblTelecomUnits[cv_2027]) + SUMIF(tblEnterpriseUnits[Products],$A103, tblEnterpriseUnits[cv_2027])</f>
        <v>0</v>
      </c>
      <c r="L103" s="8">
        <f xml:space="preserve"> SUMIF(tblGoogleUnits[Products],$A103, tblGoogleUnits[cv_2028]) + SUMIF(tblMetaUnits[Products],$A103, tblMetaUnits[cv_2028]) + SUMIF(tblAmazonUnits[Products],$A103, tblAmazonUnits[cv_2028]) + SUMIF(tblMicrosoftUnits[Products],$A103, tblMicrosoftUnits[cv_2028]) + SUMIF(tblAppleUnits[Products],$A103, tblAppleUnits[cv_2028]) + SUMIF(tblAlibabaUnits[Products],$A103, tblAlibabaUnits[cv_2028]) + SUMIF(tblHuaweiUnits[Products],$A103, tblHuaweiUnits[cv_2028]) + SUMIF(tblTencentUnits[Products],$A103, tblTencentUnits[cv_2028]) + SUMIF(tblBaiduUnits[Products],$A103, tblBaiduUnits[cv_2028]) + SUMIF(tblByteDanceUnits[Products],$A103, tblByteDanceUnits[cv_2028]) + SUMIF(tblCloudAOUnits[Products],$A103, tblCloudAOUnits[cv_2028]) + SUMIF(tblTelecomUnits[Products],$A103, tblTelecomUnits[cv_2028]) + SUMIF(tblEnterpriseUnits[Products],$A103, tblEnterpriseUnits[cv_2028])</f>
        <v>0</v>
      </c>
      <c r="M103" s="105" cm="1">
        <f t="array" ref="M103">INDEX(tblPrices[cv_2018], MATCH($A103,tblPrices[Products],0), 0)</f>
        <v>0</v>
      </c>
      <c r="N103" s="105" cm="1">
        <f t="array" ref="N103">INDEX(tblPrices[cv_2019], MATCH($A103,tblPrices[Products],0), 0)</f>
        <v>0</v>
      </c>
      <c r="O103" s="105" cm="1">
        <f t="array" ref="O103">INDEX(tblPrices[cv_2020], MATCH($A103,tblPrices[Products],0), 0)</f>
        <v>0</v>
      </c>
      <c r="P103" s="105" cm="1">
        <f t="array" ref="P103">INDEX(tblPrices[cv_2021], MATCH($A103,tblPrices[Products],0), 0)</f>
        <v>0</v>
      </c>
      <c r="Q103" s="105" cm="1">
        <f t="array" ref="Q103">INDEX(tblPrices[cv_2022], MATCH($A103,tblPrices[Products],0), 0)</f>
        <v>0</v>
      </c>
      <c r="R103" s="105" cm="1">
        <f t="array" ref="R103">INDEX(tblPrices[cv_2023], MATCH($A103,tblPrices[Products],0), 0)</f>
        <v>0</v>
      </c>
      <c r="S103" s="105" cm="1">
        <f t="array" ref="S103">INDEX(tblPrices[cv_2024], MATCH($A103,tblPrices[Products],0), 0)</f>
        <v>0</v>
      </c>
      <c r="T103" s="105" cm="1">
        <f t="array" ref="T103">INDEX(tblPrices[cv_2025], MATCH($A103,tblPrices[Products],0), 0)</f>
        <v>0</v>
      </c>
      <c r="U103" s="105" cm="1">
        <f t="array" ref="U103">INDEX(tblPrices[cv_2026], MATCH($A103,tblPrices[Products],0), 0)</f>
        <v>0</v>
      </c>
      <c r="V103" s="105" cm="1">
        <f t="array" ref="V103">INDEX(tblPrices[cv_2027], MATCH($A103,tblPrices[Products],0), 0)</f>
        <v>0</v>
      </c>
      <c r="W103" s="105" cm="1">
        <f t="array" ref="W103">INDEX(tblPrices[cv_2028], MATCH($A103,tblPrices[Products],0), 0)</f>
        <v>0</v>
      </c>
      <c r="X103" s="106" cm="1">
        <f t="array" ref="X103">INDEX(tblPrices[cv_2018], MATCH($A103,tblPrices[Products],0), 0)* tblForecast[[#This Row],[un_2018]]/10^6</f>
        <v>0</v>
      </c>
      <c r="Y103" s="106" cm="1">
        <f t="array" ref="Y103">INDEX(tblPrices[cv_2019], MATCH($A103,tblPrices[Products],0), 0)* tblForecast[[#This Row],[un_2019]]/10^6</f>
        <v>0</v>
      </c>
      <c r="Z103" s="106" cm="1">
        <f t="array" ref="Z103">INDEX(tblPrices[cv_2020], MATCH($A103,tblPrices[Products],0), 0)* tblForecast[[#This Row],[un_2020]]/10^6</f>
        <v>0</v>
      </c>
      <c r="AA103" s="106" cm="1">
        <f t="array" ref="AA103">INDEX(tblPrices[cv_2021], MATCH($A103,tblPrices[Products],0), 0)* tblForecast[[#This Row],[un_2021]]/10^6</f>
        <v>0</v>
      </c>
      <c r="AB103" s="106" cm="1">
        <f t="array" ref="AB103">INDEX(tblPrices[cv_2022], MATCH($A103,tblPrices[Products],0), 0)* tblForecast[[#This Row],[un_2022]]/10^6</f>
        <v>0</v>
      </c>
      <c r="AC103" s="106" cm="1">
        <f t="array" ref="AC103">INDEX(tblPrices[cv_2023], MATCH($A103,tblPrices[Products],0), 0)* tblForecast[[#This Row],[un_2023]]/10^6</f>
        <v>0</v>
      </c>
      <c r="AD103" s="106" cm="1">
        <f t="array" ref="AD103">INDEX(tblPrices[cv_2024], MATCH($A103,tblPrices[Products],0), 0)* tblForecast[[#This Row],[un_2024]]/10^6</f>
        <v>0</v>
      </c>
      <c r="AE103" s="106" cm="1">
        <f t="array" ref="AE103">INDEX(tblPrices[cv_2025], MATCH($A103,tblPrices[Products],0), 0)* tblForecast[[#This Row],[un_2025]]/10^6</f>
        <v>0</v>
      </c>
      <c r="AF103" s="106" cm="1">
        <f t="array" ref="AF103">INDEX(tblPrices[cv_2026], MATCH($A103,tblPrices[Products],0), 0)* tblForecast[[#This Row],[un_2026]]/10^6</f>
        <v>0</v>
      </c>
      <c r="AG103" s="106" cm="1">
        <f t="array" ref="AG103">INDEX(tblPrices[cv_2027], MATCH($A103,tblPrices[Products],0), 0)* tblForecast[[#This Row],[un_2027]]/10^6</f>
        <v>0</v>
      </c>
      <c r="AH103" s="106" cm="1">
        <f t="array" ref="AH103">INDEX(tblPrices[cv_2028], MATCH($A103,tblPrices[Products],0), 0)* tblForecast[[#This Row],[un_2028]]/10^6</f>
        <v>0</v>
      </c>
      <c r="AI103" s="60">
        <f>VLOOKUP(A103,Products!$A$11:$F$110,6,FALSE)</f>
        <v>3200</v>
      </c>
    </row>
    <row r="104" spans="1:35">
      <c r="A104" s="82" t="s">
        <v>196</v>
      </c>
      <c r="B104" s="73">
        <f xml:space="preserve"> SUMIF(tblGoogleUnits[Products],$A104, tblGoogleUnits[cv_2018]) + SUMIF(tblMetaUnits[Products],$A104, tblMetaUnits[cv_2018]) + SUMIF(tblAmazonUnits[Products],$A104, tblAmazonUnits[cv_2018]) + SUMIF(tblMicrosoftUnits[Products],$A104, tblMicrosoftUnits[cv_2018]) + SUMIF(tblAppleUnits[Products],$A104, tblAppleUnits[cv_2018]) + SUMIF(tblAlibabaUnits[Products],$A104, tblAlibabaUnits[cv_2018]) + SUMIF(tblHuaweiUnits[Products],$A104, tblHuaweiUnits[cv_2018]) + SUMIF(tblTencentUnits[Products],$A104, tblTencentUnits[cv_2018]) + SUMIF(tblBaiduUnits[Products],$A104, tblBaiduUnits[cv_2018]) + SUMIF(tblByteDanceUnits[Products],$A104, tblByteDanceUnits[cv_2018]) + SUMIF(tblCloudAOUnits[Products],$A104, tblCloudAOUnits[cv_2018]) + SUMIF(tblTelecomUnits[Products],$A104, tblTelecomUnits[cv_2018]) + SUMIF(tblEnterpriseUnits[Products],$A104, tblEnterpriseUnits[cv_2018])</f>
        <v>0</v>
      </c>
      <c r="C104" s="73">
        <f xml:space="preserve"> SUMIF(tblGoogleUnits[Products],$A104, tblGoogleUnits[cv_2019]) + SUMIF(tblMetaUnits[Products],$A104, tblMetaUnits[cv_2019]) + SUMIF(tblAmazonUnits[Products],$A104, tblAmazonUnits[cv_2019]) + SUMIF(tblMicrosoftUnits[Products],$A104, tblMicrosoftUnits[cv_2019]) + SUMIF(tblAppleUnits[Products],$A104, tblAppleUnits[cv_2019]) + SUMIF(tblAlibabaUnits[Products],$A104, tblAlibabaUnits[cv_2019]) + SUMIF(tblHuaweiUnits[Products],$A104, tblHuaweiUnits[cv_2019]) + SUMIF(tblTencentUnits[Products],$A104, tblTencentUnits[cv_2019]) + SUMIF(tblBaiduUnits[Products],$A104, tblBaiduUnits[cv_2019]) + SUMIF(tblByteDanceUnits[Products],$A104, tblByteDanceUnits[cv_2019]) + SUMIF(tblCloudAOUnits[Products],$A104, tblCloudAOUnits[cv_2019]) + SUMIF(tblTelecomUnits[Products],$A104, tblTelecomUnits[cv_2019]) + SUMIF(tblEnterpriseUnits[Products],$A104, tblEnterpriseUnits[cv_2019])</f>
        <v>0</v>
      </c>
      <c r="D104" s="73">
        <f xml:space="preserve"> SUMIF(tblGoogleUnits[Products],$A104, tblGoogleUnits[cv_2020]) + SUMIF(tblMetaUnits[Products],$A104, tblMetaUnits[cv_2020]) + SUMIF(tblAmazonUnits[Products],$A104, tblAmazonUnits[cv_2020]) + SUMIF(tblMicrosoftUnits[Products],$A104, tblMicrosoftUnits[cv_2020]) + SUMIF(tblAppleUnits[Products],$A104, tblAppleUnits[cv_2020]) + SUMIF(tblAlibabaUnits[Products],$A104, tblAlibabaUnits[cv_2020]) + SUMIF(tblHuaweiUnits[Products],$A104, tblHuaweiUnits[cv_2020]) + SUMIF(tblTencentUnits[Products],$A104, tblTencentUnits[cv_2020]) + SUMIF(tblBaiduUnits[Products],$A104, tblBaiduUnits[cv_2020]) + SUMIF(tblByteDanceUnits[Products],$A104, tblByteDanceUnits[cv_2020]) + SUMIF(tblCloudAOUnits[Products],$A104, tblCloudAOUnits[cv_2020]) + SUMIF(tblTelecomUnits[Products],$A104, tblTelecomUnits[cv_2020]) + SUMIF(tblEnterpriseUnits[Products],$A104, tblEnterpriseUnits[cv_2020])</f>
        <v>0</v>
      </c>
      <c r="E104" s="73">
        <f xml:space="preserve"> SUMIF(tblGoogleUnits[Products],$A104, tblGoogleUnits[cv_2021]) + SUMIF(tblMetaUnits[Products],$A104, tblMetaUnits[cv_2021]) + SUMIF(tblAmazonUnits[Products],$A104, tblAmazonUnits[cv_2021]) + SUMIF(tblMicrosoftUnits[Products],$A104, tblMicrosoftUnits[cv_2021]) + SUMIF(tblAppleUnits[Products],$A104, tblAppleUnits[cv_2021]) + SUMIF(tblAlibabaUnits[Products],$A104, tblAlibabaUnits[cv_2021]) + SUMIF(tblHuaweiUnits[Products],$A104, tblHuaweiUnits[cv_2021]) + SUMIF(tblTencentUnits[Products],$A104, tblTencentUnits[cv_2021]) + SUMIF(tblBaiduUnits[Products],$A104, tblBaiduUnits[cv_2021]) + SUMIF(tblByteDanceUnits[Products],$A104, tblByteDanceUnits[cv_2021]) + SUMIF(tblCloudAOUnits[Products],$A104, tblCloudAOUnits[cv_2021]) + SUMIF(tblTelecomUnits[Products],$A104, tblTelecomUnits[cv_2021]) + SUMIF(tblEnterpriseUnits[Products],$A104, tblEnterpriseUnits[cv_2021])</f>
        <v>0</v>
      </c>
      <c r="F104" s="73">
        <f xml:space="preserve"> SUMIF(tblGoogleUnits[Products],$A104, tblGoogleUnits[cv_2022]) + SUMIF(tblMetaUnits[Products],$A104, tblMetaUnits[cv_2022]) + SUMIF(tblAmazonUnits[Products],$A104, tblAmazonUnits[cv_2022]) + SUMIF(tblMicrosoftUnits[Products],$A104, tblMicrosoftUnits[cv_2022]) + SUMIF(tblAppleUnits[Products],$A104, tblAppleUnits[cv_2022]) + SUMIF(tblAlibabaUnits[Products],$A104, tblAlibabaUnits[cv_2022]) + SUMIF(tblHuaweiUnits[Products],$A104, tblHuaweiUnits[cv_2022]) + SUMIF(tblTencentUnits[Products],$A104, tblTencentUnits[cv_2022]) + SUMIF(tblBaiduUnits[Products],$A104, tblBaiduUnits[cv_2022]) + SUMIF(tblByteDanceUnits[Products],$A104, tblByteDanceUnits[cv_2022]) + SUMIF(tblCloudAOUnits[Products],$A104, tblCloudAOUnits[cv_2022]) + SUMIF(tblTelecomUnits[Products],$A104, tblTelecomUnits[cv_2022]) + SUMIF(tblEnterpriseUnits[Products],$A104, tblEnterpriseUnits[cv_2022])</f>
        <v>0</v>
      </c>
      <c r="G104" s="73">
        <f xml:space="preserve"> SUMIF(tblGoogleUnits[Products],$A104, tblGoogleUnits[cv_2023]) + SUMIF(tblMetaUnits[Products],$A104, tblMetaUnits[cv_2023]) + SUMIF(tblAmazonUnits[Products],$A104, tblAmazonUnits[cv_2023]) + SUMIF(tblMicrosoftUnits[Products],$A104, tblMicrosoftUnits[cv_2023]) + SUMIF(tblAppleUnits[Products],$A104, tblAppleUnits[cv_2023]) + SUMIF(tblAlibabaUnits[Products],$A104, tblAlibabaUnits[cv_2023]) + SUMIF(tblHuaweiUnits[Products],$A104, tblHuaweiUnits[cv_2023]) + SUMIF(tblTencentUnits[Products],$A104, tblTencentUnits[cv_2023]) + SUMIF(tblBaiduUnits[Products],$A104, tblBaiduUnits[cv_2023]) + SUMIF(tblByteDanceUnits[Products],$A104, tblByteDanceUnits[cv_2023]) + SUMIF(tblCloudAOUnits[Products],$A104, tblCloudAOUnits[cv_2023]) + SUMIF(tblTelecomUnits[Products],$A104, tblTelecomUnits[cv_2023]) + SUMIF(tblEnterpriseUnits[Products],$A104, tblEnterpriseUnits[cv_2023])</f>
        <v>0</v>
      </c>
      <c r="H104" s="73">
        <f xml:space="preserve"> SUMIF(tblGoogleUnits[Products],$A104, tblGoogleUnits[cv_2024]) + SUMIF(tblMetaUnits[Products],$A104, tblMetaUnits[cv_2024]) + SUMIF(tblAmazonUnits[Products],$A104, tblAmazonUnits[cv_2024]) + SUMIF(tblMicrosoftUnits[Products],$A104, tblMicrosoftUnits[cv_2024]) + SUMIF(tblAppleUnits[Products],$A104, tblAppleUnits[cv_2024]) + SUMIF(tblAlibabaUnits[Products],$A104, tblAlibabaUnits[cv_2024]) + SUMIF(tblHuaweiUnits[Products],$A104, tblHuaweiUnits[cv_2024]) + SUMIF(tblTencentUnits[Products],$A104, tblTencentUnits[cv_2024]) + SUMIF(tblBaiduUnits[Products],$A104, tblBaiduUnits[cv_2024]) + SUMIF(tblByteDanceUnits[Products],$A104, tblByteDanceUnits[cv_2024]) + SUMIF(tblCloudAOUnits[Products],$A104, tblCloudAOUnits[cv_2024]) + SUMIF(tblTelecomUnits[Products],$A104, tblTelecomUnits[cv_2024]) + SUMIF(tblEnterpriseUnits[Products],$A104, tblEnterpriseUnits[cv_2024])</f>
        <v>0</v>
      </c>
      <c r="I104" s="73">
        <f xml:space="preserve"> SUMIF(tblGoogleUnits[Products],$A104, tblGoogleUnits[cv_2025]) + SUMIF(tblMetaUnits[Products],$A104, tblMetaUnits[cv_2025]) + SUMIF(tblAmazonUnits[Products],$A104, tblAmazonUnits[cv_2025]) + SUMIF(tblMicrosoftUnits[Products],$A104, tblMicrosoftUnits[cv_2025]) + SUMIF(tblAppleUnits[Products],$A104, tblAppleUnits[cv_2025]) + SUMIF(tblAlibabaUnits[Products],$A104, tblAlibabaUnits[cv_2025]) + SUMIF(tblHuaweiUnits[Products],$A104, tblHuaweiUnits[cv_2025]) + SUMIF(tblTencentUnits[Products],$A104, tblTencentUnits[cv_2025]) + SUMIF(tblBaiduUnits[Products],$A104, tblBaiduUnits[cv_2025]) + SUMIF(tblByteDanceUnits[Products],$A104, tblByteDanceUnits[cv_2025]) + SUMIF(tblCloudAOUnits[Products],$A104, tblCloudAOUnits[cv_2025]) + SUMIF(tblTelecomUnits[Products],$A104, tblTelecomUnits[cv_2025]) + SUMIF(tblEnterpriseUnits[Products],$A104, tblEnterpriseUnits[cv_2025])</f>
        <v>0</v>
      </c>
      <c r="J104" s="73">
        <f xml:space="preserve"> SUMIF(tblGoogleUnits[Products],$A104, tblGoogleUnits[cv_2026]) + SUMIF(tblMetaUnits[Products],$A104, tblMetaUnits[cv_2026]) + SUMIF(tblAmazonUnits[Products],$A104, tblAmazonUnits[cv_2026]) + SUMIF(tblMicrosoftUnits[Products],$A104, tblMicrosoftUnits[cv_2026]) + SUMIF(tblAppleUnits[Products],$A104, tblAppleUnits[cv_2026]) + SUMIF(tblAlibabaUnits[Products],$A104, tblAlibabaUnits[cv_2026]) + SUMIF(tblHuaweiUnits[Products],$A104, tblHuaweiUnits[cv_2026]) + SUMIF(tblTencentUnits[Products],$A104, tblTencentUnits[cv_2026]) + SUMIF(tblBaiduUnits[Products],$A104, tblBaiduUnits[cv_2026]) + SUMIF(tblByteDanceUnits[Products],$A104, tblByteDanceUnits[cv_2026]) + SUMIF(tblCloudAOUnits[Products],$A104, tblCloudAOUnits[cv_2026]) + SUMIF(tblTelecomUnits[Products],$A104, tblTelecomUnits[cv_2026]) + SUMIF(tblEnterpriseUnits[Products],$A104, tblEnterpriseUnits[cv_2026])</f>
        <v>0</v>
      </c>
      <c r="K104" s="73">
        <f xml:space="preserve"> SUMIF(tblGoogleUnits[Products],$A104, tblGoogleUnits[cv_2027]) + SUMIF(tblMetaUnits[Products],$A104, tblMetaUnits[cv_2027]) + SUMIF(tblAmazonUnits[Products],$A104, tblAmazonUnits[cv_2027]) + SUMIF(tblMicrosoftUnits[Products],$A104, tblMicrosoftUnits[cv_2027]) + SUMIF(tblAppleUnits[Products],$A104, tblAppleUnits[cv_2027]) + SUMIF(tblAlibabaUnits[Products],$A104, tblAlibabaUnits[cv_2027]) + SUMIF(tblHuaweiUnits[Products],$A104, tblHuaweiUnits[cv_2027]) + SUMIF(tblTencentUnits[Products],$A104, tblTencentUnits[cv_2027]) + SUMIF(tblBaiduUnits[Products],$A104, tblBaiduUnits[cv_2027]) + SUMIF(tblByteDanceUnits[Products],$A104, tblByteDanceUnits[cv_2027]) + SUMIF(tblCloudAOUnits[Products],$A104, tblCloudAOUnits[cv_2027]) + SUMIF(tblTelecomUnits[Products],$A104, tblTelecomUnits[cv_2027]) + SUMIF(tblEnterpriseUnits[Products],$A104, tblEnterpriseUnits[cv_2027])</f>
        <v>0</v>
      </c>
      <c r="L104" s="73">
        <f xml:space="preserve"> SUMIF(tblGoogleUnits[Products],$A104, tblGoogleUnits[cv_2028]) + SUMIF(tblMetaUnits[Products],$A104, tblMetaUnits[cv_2028]) + SUMIF(tblAmazonUnits[Products],$A104, tblAmazonUnits[cv_2028]) + SUMIF(tblMicrosoftUnits[Products],$A104, tblMicrosoftUnits[cv_2028]) + SUMIF(tblAppleUnits[Products],$A104, tblAppleUnits[cv_2028]) + SUMIF(tblAlibabaUnits[Products],$A104, tblAlibabaUnits[cv_2028]) + SUMIF(tblHuaweiUnits[Products],$A104, tblHuaweiUnits[cv_2028]) + SUMIF(tblTencentUnits[Products],$A104, tblTencentUnits[cv_2028]) + SUMIF(tblBaiduUnits[Products],$A104, tblBaiduUnits[cv_2028]) + SUMIF(tblByteDanceUnits[Products],$A104, tblByteDanceUnits[cv_2028]) + SUMIF(tblCloudAOUnits[Products],$A104, tblCloudAOUnits[cv_2028]) + SUMIF(tblTelecomUnits[Products],$A104, tblTelecomUnits[cv_2028]) + SUMIF(tblEnterpriseUnits[Products],$A104, tblEnterpriseUnits[cv_2028])</f>
        <v>0</v>
      </c>
      <c r="M104" s="107" cm="1">
        <f t="array" ref="M104">INDEX(tblPrices[cv_2018], MATCH($A104,tblPrices[Products],0), 0)</f>
        <v>0</v>
      </c>
      <c r="N104" s="107" cm="1">
        <f t="array" ref="N104">INDEX(tblPrices[cv_2019], MATCH($A104,tblPrices[Products],0), 0)</f>
        <v>0</v>
      </c>
      <c r="O104" s="107" cm="1">
        <f t="array" ref="O104">INDEX(tblPrices[cv_2020], MATCH($A104,tblPrices[Products],0), 0)</f>
        <v>0</v>
      </c>
      <c r="P104" s="107" cm="1">
        <f t="array" ref="P104">INDEX(tblPrices[cv_2021], MATCH($A104,tblPrices[Products],0), 0)</f>
        <v>0</v>
      </c>
      <c r="Q104" s="107" cm="1">
        <f t="array" ref="Q104">INDEX(tblPrices[cv_2022], MATCH($A104,tblPrices[Products],0), 0)</f>
        <v>0</v>
      </c>
      <c r="R104" s="107" cm="1">
        <f t="array" ref="R104">INDEX(tblPrices[cv_2023], MATCH($A104,tblPrices[Products],0), 0)</f>
        <v>0</v>
      </c>
      <c r="S104" s="107" cm="1">
        <f t="array" ref="S104">INDEX(tblPrices[cv_2024], MATCH($A104,tblPrices[Products],0), 0)</f>
        <v>0</v>
      </c>
      <c r="T104" s="107" cm="1">
        <f t="array" ref="T104">INDEX(tblPrices[cv_2025], MATCH($A104,tblPrices[Products],0), 0)</f>
        <v>0</v>
      </c>
      <c r="U104" s="107" cm="1">
        <f t="array" ref="U104">INDEX(tblPrices[cv_2026], MATCH($A104,tblPrices[Products],0), 0)</f>
        <v>0</v>
      </c>
      <c r="V104" s="107" cm="1">
        <f t="array" ref="V104">INDEX(tblPrices[cv_2027], MATCH($A104,tblPrices[Products],0), 0)</f>
        <v>0</v>
      </c>
      <c r="W104" s="107" cm="1">
        <f t="array" ref="W104">INDEX(tblPrices[cv_2028], MATCH($A104,tblPrices[Products],0), 0)</f>
        <v>0</v>
      </c>
      <c r="X104" s="108" cm="1">
        <f t="array" ref="X104">INDEX(tblPrices[cv_2018], MATCH($A104,tblPrices[Products],0), 0)* tblForecast[[#This Row],[un_2018]]/10^6</f>
        <v>0</v>
      </c>
      <c r="Y104" s="108" cm="1">
        <f t="array" ref="Y104">INDEX(tblPrices[cv_2019], MATCH($A104,tblPrices[Products],0), 0)* tblForecast[[#This Row],[un_2019]]/10^6</f>
        <v>0</v>
      </c>
      <c r="Z104" s="108" cm="1">
        <f t="array" ref="Z104">INDEX(tblPrices[cv_2020], MATCH($A104,tblPrices[Products],0), 0)* tblForecast[[#This Row],[un_2020]]/10^6</f>
        <v>0</v>
      </c>
      <c r="AA104" s="108" cm="1">
        <f t="array" ref="AA104">INDEX(tblPrices[cv_2021], MATCH($A104,tblPrices[Products],0), 0)* tblForecast[[#This Row],[un_2021]]/10^6</f>
        <v>0</v>
      </c>
      <c r="AB104" s="108" cm="1">
        <f t="array" ref="AB104">INDEX(tblPrices[cv_2022], MATCH($A104,tblPrices[Products],0), 0)* tblForecast[[#This Row],[un_2022]]/10^6</f>
        <v>0</v>
      </c>
      <c r="AC104" s="108" cm="1">
        <f t="array" ref="AC104">INDEX(tblPrices[cv_2023], MATCH($A104,tblPrices[Products],0), 0)* tblForecast[[#This Row],[un_2023]]/10^6</f>
        <v>0</v>
      </c>
      <c r="AD104" s="108" cm="1">
        <f t="array" ref="AD104">INDEX(tblPrices[cv_2024], MATCH($A104,tblPrices[Products],0), 0)* tblForecast[[#This Row],[un_2024]]/10^6</f>
        <v>0</v>
      </c>
      <c r="AE104" s="108" cm="1">
        <f t="array" ref="AE104">INDEX(tblPrices[cv_2025], MATCH($A104,tblPrices[Products],0), 0)* tblForecast[[#This Row],[un_2025]]/10^6</f>
        <v>0</v>
      </c>
      <c r="AF104" s="108" cm="1">
        <f t="array" ref="AF104">INDEX(tblPrices[cv_2026], MATCH($A104,tblPrices[Products],0), 0)* tblForecast[[#This Row],[un_2026]]/10^6</f>
        <v>0</v>
      </c>
      <c r="AG104" s="108" cm="1">
        <f t="array" ref="AG104">INDEX(tblPrices[cv_2027], MATCH($A104,tblPrices[Products],0), 0)* tblForecast[[#This Row],[un_2027]]/10^6</f>
        <v>0</v>
      </c>
      <c r="AH104" s="108" cm="1">
        <f t="array" ref="AH104">INDEX(tblPrices[cv_2028], MATCH($A104,tblPrices[Products],0), 0)* tblForecast[[#This Row],[un_2028]]/10^6</f>
        <v>0</v>
      </c>
      <c r="AI104" s="60">
        <f>VLOOKUP(A104,Products!$A$11:$F$110,6,FALSE)</f>
        <v>3200</v>
      </c>
    </row>
    <row r="105" spans="1:35">
      <c r="A105" s="12" t="s">
        <v>197</v>
      </c>
      <c r="B105" s="8">
        <f xml:space="preserve"> SUMIF(tblGoogleUnits[Products],$A105, tblGoogleUnits[cv_2018]) + SUMIF(tblMetaUnits[Products],$A105, tblMetaUnits[cv_2018]) + SUMIF(tblAmazonUnits[Products],$A105, tblAmazonUnits[cv_2018]) + SUMIF(tblMicrosoftUnits[Products],$A105, tblMicrosoftUnits[cv_2018]) + SUMIF(tblAppleUnits[Products],$A105, tblAppleUnits[cv_2018]) + SUMIF(tblAlibabaUnits[Products],$A105, tblAlibabaUnits[cv_2018]) + SUMIF(tblHuaweiUnits[Products],$A105, tblHuaweiUnits[cv_2018]) + SUMIF(tblTencentUnits[Products],$A105, tblTencentUnits[cv_2018]) + SUMIF(tblBaiduUnits[Products],$A105, tblBaiduUnits[cv_2018]) + SUMIF(tblByteDanceUnits[Products],$A105, tblByteDanceUnits[cv_2018]) + SUMIF(tblCloudAOUnits[Products],$A105, tblCloudAOUnits[cv_2018]) + SUMIF(tblTelecomUnits[Products],$A105, tblTelecomUnits[cv_2018]) + SUMIF(tblEnterpriseUnits[Products],$A105, tblEnterpriseUnits[cv_2018])</f>
        <v>326257</v>
      </c>
      <c r="C105" s="8">
        <f xml:space="preserve"> SUMIF(tblGoogleUnits[Products],$A105, tblGoogleUnits[cv_2019]) + SUMIF(tblMetaUnits[Products],$A105, tblMetaUnits[cv_2019]) + SUMIF(tblAmazonUnits[Products],$A105, tblAmazonUnits[cv_2019]) + SUMIF(tblMicrosoftUnits[Products],$A105, tblMicrosoftUnits[cv_2019]) + SUMIF(tblAppleUnits[Products],$A105, tblAppleUnits[cv_2019]) + SUMIF(tblAlibabaUnits[Products],$A105, tblAlibabaUnits[cv_2019]) + SUMIF(tblHuaweiUnits[Products],$A105, tblHuaweiUnits[cv_2019]) + SUMIF(tblTencentUnits[Products],$A105, tblTencentUnits[cv_2019]) + SUMIF(tblBaiduUnits[Products],$A105, tblBaiduUnits[cv_2019]) + SUMIF(tblByteDanceUnits[Products],$A105, tblByteDanceUnits[cv_2019]) + SUMIF(tblCloudAOUnits[Products],$A105, tblCloudAOUnits[cv_2019]) + SUMIF(tblTelecomUnits[Products],$A105, tblTelecomUnits[cv_2019]) + SUMIF(tblEnterpriseUnits[Products],$A105, tblEnterpriseUnits[cv_2019])</f>
        <v>376930.99999999994</v>
      </c>
      <c r="D105" s="8">
        <f xml:space="preserve"> SUMIF(tblGoogleUnits[Products],$A105, tblGoogleUnits[cv_2020]) + SUMIF(tblMetaUnits[Products],$A105, tblMetaUnits[cv_2020]) + SUMIF(tblAmazonUnits[Products],$A105, tblAmazonUnits[cv_2020]) + SUMIF(tblMicrosoftUnits[Products],$A105, tblMicrosoftUnits[cv_2020]) + SUMIF(tblAppleUnits[Products],$A105, tblAppleUnits[cv_2020]) + SUMIF(tblAlibabaUnits[Products],$A105, tblAlibabaUnits[cv_2020]) + SUMIF(tblHuaweiUnits[Products],$A105, tblHuaweiUnits[cv_2020]) + SUMIF(tblTencentUnits[Products],$A105, tblTencentUnits[cv_2020]) + SUMIF(tblBaiduUnits[Products],$A105, tblBaiduUnits[cv_2020]) + SUMIF(tblByteDanceUnits[Products],$A105, tblByteDanceUnits[cv_2020]) + SUMIF(tblCloudAOUnits[Products],$A105, tblCloudAOUnits[cv_2020]) + SUMIF(tblTelecomUnits[Products],$A105, tblTelecomUnits[cv_2020]) + SUMIF(tblEnterpriseUnits[Products],$A105, tblEnterpriseUnits[cv_2020])</f>
        <v>0</v>
      </c>
      <c r="E105" s="8">
        <f xml:space="preserve"> SUMIF(tblGoogleUnits[Products],$A105, tblGoogleUnits[cv_2021]) + SUMIF(tblMetaUnits[Products],$A105, tblMetaUnits[cv_2021]) + SUMIF(tblAmazonUnits[Products],$A105, tblAmazonUnits[cv_2021]) + SUMIF(tblMicrosoftUnits[Products],$A105, tblMicrosoftUnits[cv_2021]) + SUMIF(tblAppleUnits[Products],$A105, tblAppleUnits[cv_2021]) + SUMIF(tblAlibabaUnits[Products],$A105, tblAlibabaUnits[cv_2021]) + SUMIF(tblHuaweiUnits[Products],$A105, tblHuaweiUnits[cv_2021]) + SUMIF(tblTencentUnits[Products],$A105, tblTencentUnits[cv_2021]) + SUMIF(tblBaiduUnits[Products],$A105, tblBaiduUnits[cv_2021]) + SUMIF(tblByteDanceUnits[Products],$A105, tblByteDanceUnits[cv_2021]) + SUMIF(tblCloudAOUnits[Products],$A105, tblCloudAOUnits[cv_2021]) + SUMIF(tblTelecomUnits[Products],$A105, tblTelecomUnits[cv_2021]) + SUMIF(tblEnterpriseUnits[Products],$A105, tblEnterpriseUnits[cv_2021])</f>
        <v>0</v>
      </c>
      <c r="F105" s="8">
        <f xml:space="preserve"> SUMIF(tblGoogleUnits[Products],$A105, tblGoogleUnits[cv_2022]) + SUMIF(tblMetaUnits[Products],$A105, tblMetaUnits[cv_2022]) + SUMIF(tblAmazonUnits[Products],$A105, tblAmazonUnits[cv_2022]) + SUMIF(tblMicrosoftUnits[Products],$A105, tblMicrosoftUnits[cv_2022]) + SUMIF(tblAppleUnits[Products],$A105, tblAppleUnits[cv_2022]) + SUMIF(tblAlibabaUnits[Products],$A105, tblAlibabaUnits[cv_2022]) + SUMIF(tblHuaweiUnits[Products],$A105, tblHuaweiUnits[cv_2022]) + SUMIF(tblTencentUnits[Products],$A105, tblTencentUnits[cv_2022]) + SUMIF(tblBaiduUnits[Products],$A105, tblBaiduUnits[cv_2022]) + SUMIF(tblByteDanceUnits[Products],$A105, tblByteDanceUnits[cv_2022]) + SUMIF(tblCloudAOUnits[Products],$A105, tblCloudAOUnits[cv_2022]) + SUMIF(tblTelecomUnits[Products],$A105, tblTelecomUnits[cv_2022]) + SUMIF(tblEnterpriseUnits[Products],$A105, tblEnterpriseUnits[cv_2022])</f>
        <v>0</v>
      </c>
      <c r="G105" s="8">
        <f xml:space="preserve"> SUMIF(tblGoogleUnits[Products],$A105, tblGoogleUnits[cv_2023]) + SUMIF(tblMetaUnits[Products],$A105, tblMetaUnits[cv_2023]) + SUMIF(tblAmazonUnits[Products],$A105, tblAmazonUnits[cv_2023]) + SUMIF(tblMicrosoftUnits[Products],$A105, tblMicrosoftUnits[cv_2023]) + SUMIF(tblAppleUnits[Products],$A105, tblAppleUnits[cv_2023]) + SUMIF(tblAlibabaUnits[Products],$A105, tblAlibabaUnits[cv_2023]) + SUMIF(tblHuaweiUnits[Products],$A105, tblHuaweiUnits[cv_2023]) + SUMIF(tblTencentUnits[Products],$A105, tblTencentUnits[cv_2023]) + SUMIF(tblBaiduUnits[Products],$A105, tblBaiduUnits[cv_2023]) + SUMIF(tblByteDanceUnits[Products],$A105, tblByteDanceUnits[cv_2023]) + SUMIF(tblCloudAOUnits[Products],$A105, tblCloudAOUnits[cv_2023]) + SUMIF(tblTelecomUnits[Products],$A105, tblTelecomUnits[cv_2023]) + SUMIF(tblEnterpriseUnits[Products],$A105, tblEnterpriseUnits[cv_2023])</f>
        <v>0</v>
      </c>
      <c r="H105" s="8">
        <f xml:space="preserve"> SUMIF(tblGoogleUnits[Products],$A105, tblGoogleUnits[cv_2024]) + SUMIF(tblMetaUnits[Products],$A105, tblMetaUnits[cv_2024]) + SUMIF(tblAmazonUnits[Products],$A105, tblAmazonUnits[cv_2024]) + SUMIF(tblMicrosoftUnits[Products],$A105, tblMicrosoftUnits[cv_2024]) + SUMIF(tblAppleUnits[Products],$A105, tblAppleUnits[cv_2024]) + SUMIF(tblAlibabaUnits[Products],$A105, tblAlibabaUnits[cv_2024]) + SUMIF(tblHuaweiUnits[Products],$A105, tblHuaweiUnits[cv_2024]) + SUMIF(tblTencentUnits[Products],$A105, tblTencentUnits[cv_2024]) + SUMIF(tblBaiduUnits[Products],$A105, tblBaiduUnits[cv_2024]) + SUMIF(tblByteDanceUnits[Products],$A105, tblByteDanceUnits[cv_2024]) + SUMIF(tblCloudAOUnits[Products],$A105, tblCloudAOUnits[cv_2024]) + SUMIF(tblTelecomUnits[Products],$A105, tblTelecomUnits[cv_2024]) + SUMIF(tblEnterpriseUnits[Products],$A105, tblEnterpriseUnits[cv_2024])</f>
        <v>0</v>
      </c>
      <c r="I105" s="8">
        <f xml:space="preserve"> SUMIF(tblGoogleUnits[Products],$A105, tblGoogleUnits[cv_2025]) + SUMIF(tblMetaUnits[Products],$A105, tblMetaUnits[cv_2025]) + SUMIF(tblAmazonUnits[Products],$A105, tblAmazonUnits[cv_2025]) + SUMIF(tblMicrosoftUnits[Products],$A105, tblMicrosoftUnits[cv_2025]) + SUMIF(tblAppleUnits[Products],$A105, tblAppleUnits[cv_2025]) + SUMIF(tblAlibabaUnits[Products],$A105, tblAlibabaUnits[cv_2025]) + SUMIF(tblHuaweiUnits[Products],$A105, tblHuaweiUnits[cv_2025]) + SUMIF(tblTencentUnits[Products],$A105, tblTencentUnits[cv_2025]) + SUMIF(tblBaiduUnits[Products],$A105, tblBaiduUnits[cv_2025]) + SUMIF(tblByteDanceUnits[Products],$A105, tblByteDanceUnits[cv_2025]) + SUMIF(tblCloudAOUnits[Products],$A105, tblCloudAOUnits[cv_2025]) + SUMIF(tblTelecomUnits[Products],$A105, tblTelecomUnits[cv_2025]) + SUMIF(tblEnterpriseUnits[Products],$A105, tblEnterpriseUnits[cv_2025])</f>
        <v>0</v>
      </c>
      <c r="J105" s="8">
        <f xml:space="preserve"> SUMIF(tblGoogleUnits[Products],$A105, tblGoogleUnits[cv_2026]) + SUMIF(tblMetaUnits[Products],$A105, tblMetaUnits[cv_2026]) + SUMIF(tblAmazonUnits[Products],$A105, tblAmazonUnits[cv_2026]) + SUMIF(tblMicrosoftUnits[Products],$A105, tblMicrosoftUnits[cv_2026]) + SUMIF(tblAppleUnits[Products],$A105, tblAppleUnits[cv_2026]) + SUMIF(tblAlibabaUnits[Products],$A105, tblAlibabaUnits[cv_2026]) + SUMIF(tblHuaweiUnits[Products],$A105, tblHuaweiUnits[cv_2026]) + SUMIF(tblTencentUnits[Products],$A105, tblTencentUnits[cv_2026]) + SUMIF(tblBaiduUnits[Products],$A105, tblBaiduUnits[cv_2026]) + SUMIF(tblByteDanceUnits[Products],$A105, tblByteDanceUnits[cv_2026]) + SUMIF(tblCloudAOUnits[Products],$A105, tblCloudAOUnits[cv_2026]) + SUMIF(tblTelecomUnits[Products],$A105, tblTelecomUnits[cv_2026]) + SUMIF(tblEnterpriseUnits[Products],$A105, tblEnterpriseUnits[cv_2026])</f>
        <v>0</v>
      </c>
      <c r="K105" s="8">
        <f xml:space="preserve"> SUMIF(tblGoogleUnits[Products],$A105, tblGoogleUnits[cv_2027]) + SUMIF(tblMetaUnits[Products],$A105, tblMetaUnits[cv_2027]) + SUMIF(tblAmazonUnits[Products],$A105, tblAmazonUnits[cv_2027]) + SUMIF(tblMicrosoftUnits[Products],$A105, tblMicrosoftUnits[cv_2027]) + SUMIF(tblAppleUnits[Products],$A105, tblAppleUnits[cv_2027]) + SUMIF(tblAlibabaUnits[Products],$A105, tblAlibabaUnits[cv_2027]) + SUMIF(tblHuaweiUnits[Products],$A105, tblHuaweiUnits[cv_2027]) + SUMIF(tblTencentUnits[Products],$A105, tblTencentUnits[cv_2027]) + SUMIF(tblBaiduUnits[Products],$A105, tblBaiduUnits[cv_2027]) + SUMIF(tblByteDanceUnits[Products],$A105, tblByteDanceUnits[cv_2027]) + SUMIF(tblCloudAOUnits[Products],$A105, tblCloudAOUnits[cv_2027]) + SUMIF(tblTelecomUnits[Products],$A105, tblTelecomUnits[cv_2027]) + SUMIF(tblEnterpriseUnits[Products],$A105, tblEnterpriseUnits[cv_2027])</f>
        <v>0</v>
      </c>
      <c r="L105" s="8">
        <f xml:space="preserve"> SUMIF(tblGoogleUnits[Products],$A105, tblGoogleUnits[cv_2028]) + SUMIF(tblMetaUnits[Products],$A105, tblMetaUnits[cv_2028]) + SUMIF(tblAmazonUnits[Products],$A105, tblAmazonUnits[cv_2028]) + SUMIF(tblMicrosoftUnits[Products],$A105, tblMicrosoftUnits[cv_2028]) + SUMIF(tblAppleUnits[Products],$A105, tblAppleUnits[cv_2028]) + SUMIF(tblAlibabaUnits[Products],$A105, tblAlibabaUnits[cv_2028]) + SUMIF(tblHuaweiUnits[Products],$A105, tblHuaweiUnits[cv_2028]) + SUMIF(tblTencentUnits[Products],$A105, tblTencentUnits[cv_2028]) + SUMIF(tblBaiduUnits[Products],$A105, tblBaiduUnits[cv_2028]) + SUMIF(tblByteDanceUnits[Products],$A105, tblByteDanceUnits[cv_2028]) + SUMIF(tblCloudAOUnits[Products],$A105, tblCloudAOUnits[cv_2028]) + SUMIF(tblTelecomUnits[Products],$A105, tblTelecomUnits[cv_2028]) + SUMIF(tblEnterpriseUnits[Products],$A105, tblEnterpriseUnits[cv_2028])</f>
        <v>0</v>
      </c>
      <c r="M105" s="105" cm="1">
        <f t="array" ref="M105">INDEX(tblPrices[cv_2018], MATCH($A105,tblPrices[Products],0), 0)</f>
        <v>194.66719181504152</v>
      </c>
      <c r="N105" s="105" cm="1">
        <f t="array" ref="N105">INDEX(tblPrices[cv_2019], MATCH($A105,tblPrices[Products],0), 0)</f>
        <v>197.66865137878591</v>
      </c>
      <c r="O105" s="105" cm="1">
        <f t="array" ref="O105">INDEX(tblPrices[cv_2020], MATCH($A105,tblPrices[Products],0), 0)</f>
        <v>0</v>
      </c>
      <c r="P105" s="105" cm="1">
        <f t="array" ref="P105">INDEX(tblPrices[cv_2021], MATCH($A105,tblPrices[Products],0), 0)</f>
        <v>0</v>
      </c>
      <c r="Q105" s="105" cm="1">
        <f t="array" ref="Q105">INDEX(tblPrices[cv_2022], MATCH($A105,tblPrices[Products],0), 0)</f>
        <v>0</v>
      </c>
      <c r="R105" s="105" cm="1">
        <f t="array" ref="R105">INDEX(tblPrices[cv_2023], MATCH($A105,tblPrices[Products],0), 0)</f>
        <v>0</v>
      </c>
      <c r="S105" s="105" cm="1">
        <f t="array" ref="S105">INDEX(tblPrices[cv_2024], MATCH($A105,tblPrices[Products],0), 0)</f>
        <v>0</v>
      </c>
      <c r="T105" s="105" cm="1">
        <f t="array" ref="T105">INDEX(tblPrices[cv_2025], MATCH($A105,tblPrices[Products],0), 0)</f>
        <v>0</v>
      </c>
      <c r="U105" s="105" cm="1">
        <f t="array" ref="U105">INDEX(tblPrices[cv_2026], MATCH($A105,tblPrices[Products],0), 0)</f>
        <v>0</v>
      </c>
      <c r="V105" s="105" cm="1">
        <f t="array" ref="V105">INDEX(tblPrices[cv_2027], MATCH($A105,tblPrices[Products],0), 0)</f>
        <v>0</v>
      </c>
      <c r="W105" s="105" cm="1">
        <f t="array" ref="W105">INDEX(tblPrices[cv_2028], MATCH($A105,tblPrices[Products],0), 0)</f>
        <v>0</v>
      </c>
      <c r="X105" s="106" cm="1">
        <f t="array" ref="X105">INDEX(tblPrices[cv_2018], MATCH($A105,tblPrices[Products],0), 0)* tblForecast[[#This Row],[un_2018]]/10^6</f>
        <v>63.511533999999997</v>
      </c>
      <c r="Y105" s="106" cm="1">
        <f t="array" ref="Y105">INDEX(tblPrices[cv_2019], MATCH($A105,tblPrices[Products],0), 0)* tblForecast[[#This Row],[un_2019]]/10^6</f>
        <v>74.507442432857147</v>
      </c>
      <c r="Z105" s="106" cm="1">
        <f t="array" ref="Z105">INDEX(tblPrices[cv_2020], MATCH($A105,tblPrices[Products],0), 0)* tblForecast[[#This Row],[un_2020]]/10^6</f>
        <v>0</v>
      </c>
      <c r="AA105" s="106" cm="1">
        <f t="array" ref="AA105">INDEX(tblPrices[cv_2021], MATCH($A105,tblPrices[Products],0), 0)* tblForecast[[#This Row],[un_2021]]/10^6</f>
        <v>0</v>
      </c>
      <c r="AB105" s="106" cm="1">
        <f t="array" ref="AB105">INDEX(tblPrices[cv_2022], MATCH($A105,tblPrices[Products],0), 0)* tblForecast[[#This Row],[un_2022]]/10^6</f>
        <v>0</v>
      </c>
      <c r="AC105" s="106" cm="1">
        <f t="array" ref="AC105">INDEX(tblPrices[cv_2023], MATCH($A105,tblPrices[Products],0), 0)* tblForecast[[#This Row],[un_2023]]/10^6</f>
        <v>0</v>
      </c>
      <c r="AD105" s="106" cm="1">
        <f t="array" ref="AD105">INDEX(tblPrices[cv_2024], MATCH($A105,tblPrices[Products],0), 0)* tblForecast[[#This Row],[un_2024]]/10^6</f>
        <v>0</v>
      </c>
      <c r="AE105" s="106" cm="1">
        <f t="array" ref="AE105">INDEX(tblPrices[cv_2025], MATCH($A105,tblPrices[Products],0), 0)* tblForecast[[#This Row],[un_2025]]/10^6</f>
        <v>0</v>
      </c>
      <c r="AF105" s="106" cm="1">
        <f t="array" ref="AF105">INDEX(tblPrices[cv_2026], MATCH($A105,tblPrices[Products],0), 0)* tblForecast[[#This Row],[un_2026]]/10^6</f>
        <v>0</v>
      </c>
      <c r="AG105" s="106" cm="1">
        <f t="array" ref="AG105">INDEX(tblPrices[cv_2027], MATCH($A105,tblPrices[Products],0), 0)* tblForecast[[#This Row],[un_2027]]/10^6</f>
        <v>0</v>
      </c>
      <c r="AH105" s="106" cm="1">
        <f t="array" ref="AH105">INDEX(tblPrices[cv_2028], MATCH($A105,tblPrices[Products],0), 0)* tblForecast[[#This Row],[un_2028]]/10^6</f>
        <v>0</v>
      </c>
      <c r="AI105" s="60">
        <f>VLOOKUP(A105,Products!$A$11:$F$110,6,FALSE)</f>
        <v>10</v>
      </c>
    </row>
    <row r="106" spans="1:35">
      <c r="A106" s="12" t="s">
        <v>198</v>
      </c>
      <c r="B106" s="8">
        <f xml:space="preserve"> SUMIF(tblGoogleUnits[Products],$A106, tblGoogleUnits[cv_2018]) + SUMIF(tblMetaUnits[Products],$A106, tblMetaUnits[cv_2018]) + SUMIF(tblAmazonUnits[Products],$A106, tblAmazonUnits[cv_2018]) + SUMIF(tblMicrosoftUnits[Products],$A106, tblMicrosoftUnits[cv_2018]) + SUMIF(tblAppleUnits[Products],$A106, tblAppleUnits[cv_2018]) + SUMIF(tblAlibabaUnits[Products],$A106, tblAlibabaUnits[cv_2018]) + SUMIF(tblHuaweiUnits[Products],$A106, tblHuaweiUnits[cv_2018]) + SUMIF(tblTencentUnits[Products],$A106, tblTencentUnits[cv_2018]) + SUMIF(tblBaiduUnits[Products],$A106, tblBaiduUnits[cv_2018]) + SUMIF(tblByteDanceUnits[Products],$A106, tblByteDanceUnits[cv_2018]) + SUMIF(tblCloudAOUnits[Products],$A106, tblCloudAOUnits[cv_2018]) + SUMIF(tblTelecomUnits[Products],$A106, tblTelecomUnits[cv_2018]) + SUMIF(tblEnterpriseUnits[Products],$A106, tblEnterpriseUnits[cv_2018])</f>
        <v>38304</v>
      </c>
      <c r="C106" s="8">
        <f xml:space="preserve"> SUMIF(tblGoogleUnits[Products],$A106, tblGoogleUnits[cv_2019]) + SUMIF(tblMetaUnits[Products],$A106, tblMetaUnits[cv_2019]) + SUMIF(tblAmazonUnits[Products],$A106, tblAmazonUnits[cv_2019]) + SUMIF(tblMicrosoftUnits[Products],$A106, tblMicrosoftUnits[cv_2019]) + SUMIF(tblAppleUnits[Products],$A106, tblAppleUnits[cv_2019]) + SUMIF(tblAlibabaUnits[Products],$A106, tblAlibabaUnits[cv_2019]) + SUMIF(tblHuaweiUnits[Products],$A106, tblHuaweiUnits[cv_2019]) + SUMIF(tblTencentUnits[Products],$A106, tblTencentUnits[cv_2019]) + SUMIF(tblBaiduUnits[Products],$A106, tblBaiduUnits[cv_2019]) + SUMIF(tblByteDanceUnits[Products],$A106, tblByteDanceUnits[cv_2019]) + SUMIF(tblCloudAOUnits[Products],$A106, tblCloudAOUnits[cv_2019]) + SUMIF(tblTelecomUnits[Products],$A106, tblTelecomUnits[cv_2019]) + SUMIF(tblEnterpriseUnits[Products],$A106, tblEnterpriseUnits[cv_2019])</f>
        <v>33359</v>
      </c>
      <c r="D106" s="8">
        <f xml:space="preserve"> SUMIF(tblGoogleUnits[Products],$A106, tblGoogleUnits[cv_2020]) + SUMIF(tblMetaUnits[Products],$A106, tblMetaUnits[cv_2020]) + SUMIF(tblAmazonUnits[Products],$A106, tblAmazonUnits[cv_2020]) + SUMIF(tblMicrosoftUnits[Products],$A106, tblMicrosoftUnits[cv_2020]) + SUMIF(tblAppleUnits[Products],$A106, tblAppleUnits[cv_2020]) + SUMIF(tblAlibabaUnits[Products],$A106, tblAlibabaUnits[cv_2020]) + SUMIF(tblHuaweiUnits[Products],$A106, tblHuaweiUnits[cv_2020]) + SUMIF(tblTencentUnits[Products],$A106, tblTencentUnits[cv_2020]) + SUMIF(tblBaiduUnits[Products],$A106, tblBaiduUnits[cv_2020]) + SUMIF(tblByteDanceUnits[Products],$A106, tblByteDanceUnits[cv_2020]) + SUMIF(tblCloudAOUnits[Products],$A106, tblCloudAOUnits[cv_2020]) + SUMIF(tblTelecomUnits[Products],$A106, tblTelecomUnits[cv_2020]) + SUMIF(tblEnterpriseUnits[Products],$A106, tblEnterpriseUnits[cv_2020])</f>
        <v>0</v>
      </c>
      <c r="E106" s="8">
        <f xml:space="preserve"> SUMIF(tblGoogleUnits[Products],$A106, tblGoogleUnits[cv_2021]) + SUMIF(tblMetaUnits[Products],$A106, tblMetaUnits[cv_2021]) + SUMIF(tblAmazonUnits[Products],$A106, tblAmazonUnits[cv_2021]) + SUMIF(tblMicrosoftUnits[Products],$A106, tblMicrosoftUnits[cv_2021]) + SUMIF(tblAppleUnits[Products],$A106, tblAppleUnits[cv_2021]) + SUMIF(tblAlibabaUnits[Products],$A106, tblAlibabaUnits[cv_2021]) + SUMIF(tblHuaweiUnits[Products],$A106, tblHuaweiUnits[cv_2021]) + SUMIF(tblTencentUnits[Products],$A106, tblTencentUnits[cv_2021]) + SUMIF(tblBaiduUnits[Products],$A106, tblBaiduUnits[cv_2021]) + SUMIF(tblByteDanceUnits[Products],$A106, tblByteDanceUnits[cv_2021]) + SUMIF(tblCloudAOUnits[Products],$A106, tblCloudAOUnits[cv_2021]) + SUMIF(tblTelecomUnits[Products],$A106, tblTelecomUnits[cv_2021]) + SUMIF(tblEnterpriseUnits[Products],$A106, tblEnterpriseUnits[cv_2021])</f>
        <v>0</v>
      </c>
      <c r="F106" s="8">
        <f xml:space="preserve"> SUMIF(tblGoogleUnits[Products],$A106, tblGoogleUnits[cv_2022]) + SUMIF(tblMetaUnits[Products],$A106, tblMetaUnits[cv_2022]) + SUMIF(tblAmazonUnits[Products],$A106, tblAmazonUnits[cv_2022]) + SUMIF(tblMicrosoftUnits[Products],$A106, tblMicrosoftUnits[cv_2022]) + SUMIF(tblAppleUnits[Products],$A106, tblAppleUnits[cv_2022]) + SUMIF(tblAlibabaUnits[Products],$A106, tblAlibabaUnits[cv_2022]) + SUMIF(tblHuaweiUnits[Products],$A106, tblHuaweiUnits[cv_2022]) + SUMIF(tblTencentUnits[Products],$A106, tblTencentUnits[cv_2022]) + SUMIF(tblBaiduUnits[Products],$A106, tblBaiduUnits[cv_2022]) + SUMIF(tblByteDanceUnits[Products],$A106, tblByteDanceUnits[cv_2022]) + SUMIF(tblCloudAOUnits[Products],$A106, tblCloudAOUnits[cv_2022]) + SUMIF(tblTelecomUnits[Products],$A106, tblTelecomUnits[cv_2022]) + SUMIF(tblEnterpriseUnits[Products],$A106, tblEnterpriseUnits[cv_2022])</f>
        <v>0</v>
      </c>
      <c r="G106" s="8">
        <f xml:space="preserve"> SUMIF(tblGoogleUnits[Products],$A106, tblGoogleUnits[cv_2023]) + SUMIF(tblMetaUnits[Products],$A106, tblMetaUnits[cv_2023]) + SUMIF(tblAmazonUnits[Products],$A106, tblAmazonUnits[cv_2023]) + SUMIF(tblMicrosoftUnits[Products],$A106, tblMicrosoftUnits[cv_2023]) + SUMIF(tblAppleUnits[Products],$A106, tblAppleUnits[cv_2023]) + SUMIF(tblAlibabaUnits[Products],$A106, tblAlibabaUnits[cv_2023]) + SUMIF(tblHuaweiUnits[Products],$A106, tblHuaweiUnits[cv_2023]) + SUMIF(tblTencentUnits[Products],$A106, tblTencentUnits[cv_2023]) + SUMIF(tblBaiduUnits[Products],$A106, tblBaiduUnits[cv_2023]) + SUMIF(tblByteDanceUnits[Products],$A106, tblByteDanceUnits[cv_2023]) + SUMIF(tblCloudAOUnits[Products],$A106, tblCloudAOUnits[cv_2023]) + SUMIF(tblTelecomUnits[Products],$A106, tblTelecomUnits[cv_2023]) + SUMIF(tblEnterpriseUnits[Products],$A106, tblEnterpriseUnits[cv_2023])</f>
        <v>0</v>
      </c>
      <c r="H106" s="8">
        <f xml:space="preserve"> SUMIF(tblGoogleUnits[Products],$A106, tblGoogleUnits[cv_2024]) + SUMIF(tblMetaUnits[Products],$A106, tblMetaUnits[cv_2024]) + SUMIF(tblAmazonUnits[Products],$A106, tblAmazonUnits[cv_2024]) + SUMIF(tblMicrosoftUnits[Products],$A106, tblMicrosoftUnits[cv_2024]) + SUMIF(tblAppleUnits[Products],$A106, tblAppleUnits[cv_2024]) + SUMIF(tblAlibabaUnits[Products],$A106, tblAlibabaUnits[cv_2024]) + SUMIF(tblHuaweiUnits[Products],$A106, tblHuaweiUnits[cv_2024]) + SUMIF(tblTencentUnits[Products],$A106, tblTencentUnits[cv_2024]) + SUMIF(tblBaiduUnits[Products],$A106, tblBaiduUnits[cv_2024]) + SUMIF(tblByteDanceUnits[Products],$A106, tblByteDanceUnits[cv_2024]) + SUMIF(tblCloudAOUnits[Products],$A106, tblCloudAOUnits[cv_2024]) + SUMIF(tblTelecomUnits[Products],$A106, tblTelecomUnits[cv_2024]) + SUMIF(tblEnterpriseUnits[Products],$A106, tblEnterpriseUnits[cv_2024])</f>
        <v>0</v>
      </c>
      <c r="I106" s="8">
        <f xml:space="preserve"> SUMIF(tblGoogleUnits[Products],$A106, tblGoogleUnits[cv_2025]) + SUMIF(tblMetaUnits[Products],$A106, tblMetaUnits[cv_2025]) + SUMIF(tblAmazonUnits[Products],$A106, tblAmazonUnits[cv_2025]) + SUMIF(tblMicrosoftUnits[Products],$A106, tblMicrosoftUnits[cv_2025]) + SUMIF(tblAppleUnits[Products],$A106, tblAppleUnits[cv_2025]) + SUMIF(tblAlibabaUnits[Products],$A106, tblAlibabaUnits[cv_2025]) + SUMIF(tblHuaweiUnits[Products],$A106, tblHuaweiUnits[cv_2025]) + SUMIF(tblTencentUnits[Products],$A106, tblTencentUnits[cv_2025]) + SUMIF(tblBaiduUnits[Products],$A106, tblBaiduUnits[cv_2025]) + SUMIF(tblByteDanceUnits[Products],$A106, tblByteDanceUnits[cv_2025]) + SUMIF(tblCloudAOUnits[Products],$A106, tblCloudAOUnits[cv_2025]) + SUMIF(tblTelecomUnits[Products],$A106, tblTelecomUnits[cv_2025]) + SUMIF(tblEnterpriseUnits[Products],$A106, tblEnterpriseUnits[cv_2025])</f>
        <v>0</v>
      </c>
      <c r="J106" s="8">
        <f xml:space="preserve"> SUMIF(tblGoogleUnits[Products],$A106, tblGoogleUnits[cv_2026]) + SUMIF(tblMetaUnits[Products],$A106, tblMetaUnits[cv_2026]) + SUMIF(tblAmazonUnits[Products],$A106, tblAmazonUnits[cv_2026]) + SUMIF(tblMicrosoftUnits[Products],$A106, tblMicrosoftUnits[cv_2026]) + SUMIF(tblAppleUnits[Products],$A106, tblAppleUnits[cv_2026]) + SUMIF(tblAlibabaUnits[Products],$A106, tblAlibabaUnits[cv_2026]) + SUMIF(tblHuaweiUnits[Products],$A106, tblHuaweiUnits[cv_2026]) + SUMIF(tblTencentUnits[Products],$A106, tblTencentUnits[cv_2026]) + SUMIF(tblBaiduUnits[Products],$A106, tblBaiduUnits[cv_2026]) + SUMIF(tblByteDanceUnits[Products],$A106, tblByteDanceUnits[cv_2026]) + SUMIF(tblCloudAOUnits[Products],$A106, tblCloudAOUnits[cv_2026]) + SUMIF(tblTelecomUnits[Products],$A106, tblTelecomUnits[cv_2026]) + SUMIF(tblEnterpriseUnits[Products],$A106, tblEnterpriseUnits[cv_2026])</f>
        <v>0</v>
      </c>
      <c r="K106" s="8">
        <f xml:space="preserve"> SUMIF(tblGoogleUnits[Products],$A106, tblGoogleUnits[cv_2027]) + SUMIF(tblMetaUnits[Products],$A106, tblMetaUnits[cv_2027]) + SUMIF(tblAmazonUnits[Products],$A106, tblAmazonUnits[cv_2027]) + SUMIF(tblMicrosoftUnits[Products],$A106, tblMicrosoftUnits[cv_2027]) + SUMIF(tblAppleUnits[Products],$A106, tblAppleUnits[cv_2027]) + SUMIF(tblAlibabaUnits[Products],$A106, tblAlibabaUnits[cv_2027]) + SUMIF(tblHuaweiUnits[Products],$A106, tblHuaweiUnits[cv_2027]) + SUMIF(tblTencentUnits[Products],$A106, tblTencentUnits[cv_2027]) + SUMIF(tblBaiduUnits[Products],$A106, tblBaiduUnits[cv_2027]) + SUMIF(tblByteDanceUnits[Products],$A106, tblByteDanceUnits[cv_2027]) + SUMIF(tblCloudAOUnits[Products],$A106, tblCloudAOUnits[cv_2027]) + SUMIF(tblTelecomUnits[Products],$A106, tblTelecomUnits[cv_2027]) + SUMIF(tblEnterpriseUnits[Products],$A106, tblEnterpriseUnits[cv_2027])</f>
        <v>0</v>
      </c>
      <c r="L106" s="8">
        <f xml:space="preserve"> SUMIF(tblGoogleUnits[Products],$A106, tblGoogleUnits[cv_2028]) + SUMIF(tblMetaUnits[Products],$A106, tblMetaUnits[cv_2028]) + SUMIF(tblAmazonUnits[Products],$A106, tblAmazonUnits[cv_2028]) + SUMIF(tblMicrosoftUnits[Products],$A106, tblMicrosoftUnits[cv_2028]) + SUMIF(tblAppleUnits[Products],$A106, tblAppleUnits[cv_2028]) + SUMIF(tblAlibabaUnits[Products],$A106, tblAlibabaUnits[cv_2028]) + SUMIF(tblHuaweiUnits[Products],$A106, tblHuaweiUnits[cv_2028]) + SUMIF(tblTencentUnits[Products],$A106, tblTencentUnits[cv_2028]) + SUMIF(tblBaiduUnits[Products],$A106, tblBaiduUnits[cv_2028]) + SUMIF(tblByteDanceUnits[Products],$A106, tblByteDanceUnits[cv_2028]) + SUMIF(tblCloudAOUnits[Products],$A106, tblCloudAOUnits[cv_2028]) + SUMIF(tblTelecomUnits[Products],$A106, tblTelecomUnits[cv_2028]) + SUMIF(tblEnterpriseUnits[Products],$A106, tblEnterpriseUnits[cv_2028])</f>
        <v>0</v>
      </c>
      <c r="M106" s="105" cm="1">
        <f t="array" ref="M106">INDEX(tblPrices[cv_2018], MATCH($A106,tblPrices[Products],0), 0)</f>
        <v>226</v>
      </c>
      <c r="N106" s="105" cm="1">
        <f t="array" ref="N106">INDEX(tblPrices[cv_2019], MATCH($A106,tblPrices[Products],0), 0)</f>
        <v>176.82061812404447</v>
      </c>
      <c r="O106" s="105" cm="1">
        <f t="array" ref="O106">INDEX(tblPrices[cv_2020], MATCH($A106,tblPrices[Products],0), 0)</f>
        <v>0</v>
      </c>
      <c r="P106" s="105" cm="1">
        <f t="array" ref="P106">INDEX(tblPrices[cv_2021], MATCH($A106,tblPrices[Products],0), 0)</f>
        <v>0</v>
      </c>
      <c r="Q106" s="105" cm="1">
        <f t="array" ref="Q106">INDEX(tblPrices[cv_2022], MATCH($A106,tblPrices[Products],0), 0)</f>
        <v>0</v>
      </c>
      <c r="R106" s="105" cm="1">
        <f t="array" ref="R106">INDEX(tblPrices[cv_2023], MATCH($A106,tblPrices[Products],0), 0)</f>
        <v>0</v>
      </c>
      <c r="S106" s="105" cm="1">
        <f t="array" ref="S106">INDEX(tblPrices[cv_2024], MATCH($A106,tblPrices[Products],0), 0)</f>
        <v>0</v>
      </c>
      <c r="T106" s="105" cm="1">
        <f t="array" ref="T106">INDEX(tblPrices[cv_2025], MATCH($A106,tblPrices[Products],0), 0)</f>
        <v>0</v>
      </c>
      <c r="U106" s="105" cm="1">
        <f t="array" ref="U106">INDEX(tblPrices[cv_2026], MATCH($A106,tblPrices[Products],0), 0)</f>
        <v>0</v>
      </c>
      <c r="V106" s="105" cm="1">
        <f t="array" ref="V106">INDEX(tblPrices[cv_2027], MATCH($A106,tblPrices[Products],0), 0)</f>
        <v>0</v>
      </c>
      <c r="W106" s="105" cm="1">
        <f t="array" ref="W106">INDEX(tblPrices[cv_2028], MATCH($A106,tblPrices[Products],0), 0)</f>
        <v>0</v>
      </c>
      <c r="X106" s="106" cm="1">
        <f t="array" ref="X106">INDEX(tblPrices[cv_2018], MATCH($A106,tblPrices[Products],0), 0)* tblForecast[[#This Row],[un_2018]]/10^6</f>
        <v>8.6567039999999995</v>
      </c>
      <c r="Y106" s="106" cm="1">
        <f t="array" ref="Y106">INDEX(tblPrices[cv_2019], MATCH($A106,tblPrices[Products],0), 0)* tblForecast[[#This Row],[un_2019]]/10^6</f>
        <v>5.8985589999999997</v>
      </c>
      <c r="Z106" s="106" cm="1">
        <f t="array" ref="Z106">INDEX(tblPrices[cv_2020], MATCH($A106,tblPrices[Products],0), 0)* tblForecast[[#This Row],[un_2020]]/10^6</f>
        <v>0</v>
      </c>
      <c r="AA106" s="106" cm="1">
        <f t="array" ref="AA106">INDEX(tblPrices[cv_2021], MATCH($A106,tblPrices[Products],0), 0)* tblForecast[[#This Row],[un_2021]]/10^6</f>
        <v>0</v>
      </c>
      <c r="AB106" s="106" cm="1">
        <f t="array" ref="AB106">INDEX(tblPrices[cv_2022], MATCH($A106,tblPrices[Products],0), 0)* tblForecast[[#This Row],[un_2022]]/10^6</f>
        <v>0</v>
      </c>
      <c r="AC106" s="106" cm="1">
        <f t="array" ref="AC106">INDEX(tblPrices[cv_2023], MATCH($A106,tblPrices[Products],0), 0)* tblForecast[[#This Row],[un_2023]]/10^6</f>
        <v>0</v>
      </c>
      <c r="AD106" s="106" cm="1">
        <f t="array" ref="AD106">INDEX(tblPrices[cv_2024], MATCH($A106,tblPrices[Products],0), 0)* tblForecast[[#This Row],[un_2024]]/10^6</f>
        <v>0</v>
      </c>
      <c r="AE106" s="106" cm="1">
        <f t="array" ref="AE106">INDEX(tblPrices[cv_2025], MATCH($A106,tblPrices[Products],0), 0)* tblForecast[[#This Row],[un_2025]]/10^6</f>
        <v>0</v>
      </c>
      <c r="AF106" s="106" cm="1">
        <f t="array" ref="AF106">INDEX(tblPrices[cv_2026], MATCH($A106,tblPrices[Products],0), 0)* tblForecast[[#This Row],[un_2026]]/10^6</f>
        <v>0</v>
      </c>
      <c r="AG106" s="106" cm="1">
        <f t="array" ref="AG106">INDEX(tblPrices[cv_2027], MATCH($A106,tblPrices[Products],0), 0)* tblForecast[[#This Row],[un_2027]]/10^6</f>
        <v>0</v>
      </c>
      <c r="AH106" s="106" cm="1">
        <f t="array" ref="AH106">INDEX(tblPrices[cv_2028], MATCH($A106,tblPrices[Products],0), 0)* tblForecast[[#This Row],[un_2028]]/10^6</f>
        <v>0</v>
      </c>
      <c r="AI106" s="60">
        <f>VLOOKUP(A106,Products!$A$11:$F$110,6,FALSE)</f>
        <v>2.5</v>
      </c>
    </row>
    <row r="107" spans="1:35">
      <c r="A107" s="12" t="s">
        <v>21</v>
      </c>
      <c r="B107" s="8">
        <f xml:space="preserve"> SUMIF(tblGoogleUnits[Products],$A107, tblGoogleUnits[cv_2018]) + SUMIF(tblMetaUnits[Products],$A107, tblMetaUnits[cv_2018]) + SUMIF(tblAmazonUnits[Products],$A107, tblAmazonUnits[cv_2018]) + SUMIF(tblMicrosoftUnits[Products],$A107, tblMicrosoftUnits[cv_2018]) + SUMIF(tblAppleUnits[Products],$A107, tblAppleUnits[cv_2018]) + SUMIF(tblAlibabaUnits[Products],$A107, tblAlibabaUnits[cv_2018]) + SUMIF(tblHuaweiUnits[Products],$A107, tblHuaweiUnits[cv_2018]) + SUMIF(tblTencentUnits[Products],$A107, tblTencentUnits[cv_2018]) + SUMIF(tblBaiduUnits[Products],$A107, tblBaiduUnits[cv_2018]) + SUMIF(tblByteDanceUnits[Products],$A107, tblByteDanceUnits[cv_2018]) + SUMIF(tblCloudAOUnits[Products],$A107, tblCloudAOUnits[cv_2018]) + SUMIF(tblTelecomUnits[Products],$A107, tblTelecomUnits[cv_2018]) + SUMIF(tblEnterpriseUnits[Products],$A107, tblEnterpriseUnits[cv_2018])</f>
        <v>420136</v>
      </c>
      <c r="C107" s="8">
        <f xml:space="preserve"> SUMIF(tblGoogleUnits[Products],$A107, tblGoogleUnits[cv_2019]) + SUMIF(tblMetaUnits[Products],$A107, tblMetaUnits[cv_2019]) + SUMIF(tblAmazonUnits[Products],$A107, tblAmazonUnits[cv_2019]) + SUMIF(tblMicrosoftUnits[Products],$A107, tblMicrosoftUnits[cv_2019]) + SUMIF(tblAppleUnits[Products],$A107, tblAppleUnits[cv_2019]) + SUMIF(tblAlibabaUnits[Products],$A107, tblAlibabaUnits[cv_2019]) + SUMIF(tblHuaweiUnits[Products],$A107, tblHuaweiUnits[cv_2019]) + SUMIF(tblTencentUnits[Products],$A107, tblTencentUnits[cv_2019]) + SUMIF(tblBaiduUnits[Products],$A107, tblBaiduUnits[cv_2019]) + SUMIF(tblByteDanceUnits[Products],$A107, tblByteDanceUnits[cv_2019]) + SUMIF(tblCloudAOUnits[Products],$A107, tblCloudAOUnits[cv_2019]) + SUMIF(tblTelecomUnits[Products],$A107, tblTelecomUnits[cv_2019]) + SUMIF(tblEnterpriseUnits[Products],$A107, tblEnterpriseUnits[cv_2019])</f>
        <v>529485</v>
      </c>
      <c r="D107" s="8">
        <f xml:space="preserve"> SUMIF(tblGoogleUnits[Products],$A107, tblGoogleUnits[cv_2020]) + SUMIF(tblMetaUnits[Products],$A107, tblMetaUnits[cv_2020]) + SUMIF(tblAmazonUnits[Products],$A107, tblAmazonUnits[cv_2020]) + SUMIF(tblMicrosoftUnits[Products],$A107, tblMicrosoftUnits[cv_2020]) + SUMIF(tblAppleUnits[Products],$A107, tblAppleUnits[cv_2020]) + SUMIF(tblAlibabaUnits[Products],$A107, tblAlibabaUnits[cv_2020]) + SUMIF(tblHuaweiUnits[Products],$A107, tblHuaweiUnits[cv_2020]) + SUMIF(tblTencentUnits[Products],$A107, tblTencentUnits[cv_2020]) + SUMIF(tblBaiduUnits[Products],$A107, tblBaiduUnits[cv_2020]) + SUMIF(tblByteDanceUnits[Products],$A107, tblByteDanceUnits[cv_2020]) + SUMIF(tblCloudAOUnits[Products],$A107, tblCloudAOUnits[cv_2020]) + SUMIF(tblTelecomUnits[Products],$A107, tblTelecomUnits[cv_2020]) + SUMIF(tblEnterpriseUnits[Products],$A107, tblEnterpriseUnits[cv_2020])</f>
        <v>0</v>
      </c>
      <c r="E107" s="8">
        <f xml:space="preserve"> SUMIF(tblGoogleUnits[Products],$A107, tblGoogleUnits[cv_2021]) + SUMIF(tblMetaUnits[Products],$A107, tblMetaUnits[cv_2021]) + SUMIF(tblAmazonUnits[Products],$A107, tblAmazonUnits[cv_2021]) + SUMIF(tblMicrosoftUnits[Products],$A107, tblMicrosoftUnits[cv_2021]) + SUMIF(tblAppleUnits[Products],$A107, tblAppleUnits[cv_2021]) + SUMIF(tblAlibabaUnits[Products],$A107, tblAlibabaUnits[cv_2021]) + SUMIF(tblHuaweiUnits[Products],$A107, tblHuaweiUnits[cv_2021]) + SUMIF(tblTencentUnits[Products],$A107, tblTencentUnits[cv_2021]) + SUMIF(tblBaiduUnits[Products],$A107, tblBaiduUnits[cv_2021]) + SUMIF(tblByteDanceUnits[Products],$A107, tblByteDanceUnits[cv_2021]) + SUMIF(tblCloudAOUnits[Products],$A107, tblCloudAOUnits[cv_2021]) + SUMIF(tblTelecomUnits[Products],$A107, tblTelecomUnits[cv_2021]) + SUMIF(tblEnterpriseUnits[Products],$A107, tblEnterpriseUnits[cv_2021])</f>
        <v>0</v>
      </c>
      <c r="F107" s="8">
        <f xml:space="preserve"> SUMIF(tblGoogleUnits[Products],$A107, tblGoogleUnits[cv_2022]) + SUMIF(tblMetaUnits[Products],$A107, tblMetaUnits[cv_2022]) + SUMIF(tblAmazonUnits[Products],$A107, tblAmazonUnits[cv_2022]) + SUMIF(tblMicrosoftUnits[Products],$A107, tblMicrosoftUnits[cv_2022]) + SUMIF(tblAppleUnits[Products],$A107, tblAppleUnits[cv_2022]) + SUMIF(tblAlibabaUnits[Products],$A107, tblAlibabaUnits[cv_2022]) + SUMIF(tblHuaweiUnits[Products],$A107, tblHuaweiUnits[cv_2022]) + SUMIF(tblTencentUnits[Products],$A107, tblTencentUnits[cv_2022]) + SUMIF(tblBaiduUnits[Products],$A107, tblBaiduUnits[cv_2022]) + SUMIF(tblByteDanceUnits[Products],$A107, tblByteDanceUnits[cv_2022]) + SUMIF(tblCloudAOUnits[Products],$A107, tblCloudAOUnits[cv_2022]) + SUMIF(tblTelecomUnits[Products],$A107, tblTelecomUnits[cv_2022]) + SUMIF(tblEnterpriseUnits[Products],$A107, tblEnterpriseUnits[cv_2022])</f>
        <v>0</v>
      </c>
      <c r="G107" s="8">
        <f xml:space="preserve"> SUMIF(tblGoogleUnits[Products],$A107, tblGoogleUnits[cv_2023]) + SUMIF(tblMetaUnits[Products],$A107, tblMetaUnits[cv_2023]) + SUMIF(tblAmazonUnits[Products],$A107, tblAmazonUnits[cv_2023]) + SUMIF(tblMicrosoftUnits[Products],$A107, tblMicrosoftUnits[cv_2023]) + SUMIF(tblAppleUnits[Products],$A107, tblAppleUnits[cv_2023]) + SUMIF(tblAlibabaUnits[Products],$A107, tblAlibabaUnits[cv_2023]) + SUMIF(tblHuaweiUnits[Products],$A107, tblHuaweiUnits[cv_2023]) + SUMIF(tblTencentUnits[Products],$A107, tblTencentUnits[cv_2023]) + SUMIF(tblBaiduUnits[Products],$A107, tblBaiduUnits[cv_2023]) + SUMIF(tblByteDanceUnits[Products],$A107, tblByteDanceUnits[cv_2023]) + SUMIF(tblCloudAOUnits[Products],$A107, tblCloudAOUnits[cv_2023]) + SUMIF(tblTelecomUnits[Products],$A107, tblTelecomUnits[cv_2023]) + SUMIF(tblEnterpriseUnits[Products],$A107, tblEnterpriseUnits[cv_2023])</f>
        <v>0</v>
      </c>
      <c r="H107" s="8">
        <f xml:space="preserve"> SUMIF(tblGoogleUnits[Products],$A107, tblGoogleUnits[cv_2024]) + SUMIF(tblMetaUnits[Products],$A107, tblMetaUnits[cv_2024]) + SUMIF(tblAmazonUnits[Products],$A107, tblAmazonUnits[cv_2024]) + SUMIF(tblMicrosoftUnits[Products],$A107, tblMicrosoftUnits[cv_2024]) + SUMIF(tblAppleUnits[Products],$A107, tblAppleUnits[cv_2024]) + SUMIF(tblAlibabaUnits[Products],$A107, tblAlibabaUnits[cv_2024]) + SUMIF(tblHuaweiUnits[Products],$A107, tblHuaweiUnits[cv_2024]) + SUMIF(tblTencentUnits[Products],$A107, tblTencentUnits[cv_2024]) + SUMIF(tblBaiduUnits[Products],$A107, tblBaiduUnits[cv_2024]) + SUMIF(tblByteDanceUnits[Products],$A107, tblByteDanceUnits[cv_2024]) + SUMIF(tblCloudAOUnits[Products],$A107, tblCloudAOUnits[cv_2024]) + SUMIF(tblTelecomUnits[Products],$A107, tblTelecomUnits[cv_2024]) + SUMIF(tblEnterpriseUnits[Products],$A107, tblEnterpriseUnits[cv_2024])</f>
        <v>0</v>
      </c>
      <c r="I107" s="8">
        <f xml:space="preserve"> SUMIF(tblGoogleUnits[Products],$A107, tblGoogleUnits[cv_2025]) + SUMIF(tblMetaUnits[Products],$A107, tblMetaUnits[cv_2025]) + SUMIF(tblAmazonUnits[Products],$A107, tblAmazonUnits[cv_2025]) + SUMIF(tblMicrosoftUnits[Products],$A107, tblMicrosoftUnits[cv_2025]) + SUMIF(tblAppleUnits[Products],$A107, tblAppleUnits[cv_2025]) + SUMIF(tblAlibabaUnits[Products],$A107, tblAlibabaUnits[cv_2025]) + SUMIF(tblHuaweiUnits[Products],$A107, tblHuaweiUnits[cv_2025]) + SUMIF(tblTencentUnits[Products],$A107, tblTencentUnits[cv_2025]) + SUMIF(tblBaiduUnits[Products],$A107, tblBaiduUnits[cv_2025]) + SUMIF(tblByteDanceUnits[Products],$A107, tblByteDanceUnits[cv_2025]) + SUMIF(tblCloudAOUnits[Products],$A107, tblCloudAOUnits[cv_2025]) + SUMIF(tblTelecomUnits[Products],$A107, tblTelecomUnits[cv_2025]) + SUMIF(tblEnterpriseUnits[Products],$A107, tblEnterpriseUnits[cv_2025])</f>
        <v>0</v>
      </c>
      <c r="J107" s="8">
        <f xml:space="preserve"> SUMIF(tblGoogleUnits[Products],$A107, tblGoogleUnits[cv_2026]) + SUMIF(tblMetaUnits[Products],$A107, tblMetaUnits[cv_2026]) + SUMIF(tblAmazonUnits[Products],$A107, tblAmazonUnits[cv_2026]) + SUMIF(tblMicrosoftUnits[Products],$A107, tblMicrosoftUnits[cv_2026]) + SUMIF(tblAppleUnits[Products],$A107, tblAppleUnits[cv_2026]) + SUMIF(tblAlibabaUnits[Products],$A107, tblAlibabaUnits[cv_2026]) + SUMIF(tblHuaweiUnits[Products],$A107, tblHuaweiUnits[cv_2026]) + SUMIF(tblTencentUnits[Products],$A107, tblTencentUnits[cv_2026]) + SUMIF(tblBaiduUnits[Products],$A107, tblBaiduUnits[cv_2026]) + SUMIF(tblByteDanceUnits[Products],$A107, tblByteDanceUnits[cv_2026]) + SUMIF(tblCloudAOUnits[Products],$A107, tblCloudAOUnits[cv_2026]) + SUMIF(tblTelecomUnits[Products],$A107, tblTelecomUnits[cv_2026]) + SUMIF(tblEnterpriseUnits[Products],$A107, tblEnterpriseUnits[cv_2026])</f>
        <v>0</v>
      </c>
      <c r="K107" s="8">
        <f xml:space="preserve"> SUMIF(tblGoogleUnits[Products],$A107, tblGoogleUnits[cv_2027]) + SUMIF(tblMetaUnits[Products],$A107, tblMetaUnits[cv_2027]) + SUMIF(tblAmazonUnits[Products],$A107, tblAmazonUnits[cv_2027]) + SUMIF(tblMicrosoftUnits[Products],$A107, tblMicrosoftUnits[cv_2027]) + SUMIF(tblAppleUnits[Products],$A107, tblAppleUnits[cv_2027]) + SUMIF(tblAlibabaUnits[Products],$A107, tblAlibabaUnits[cv_2027]) + SUMIF(tblHuaweiUnits[Products],$A107, tblHuaweiUnits[cv_2027]) + SUMIF(tblTencentUnits[Products],$A107, tblTencentUnits[cv_2027]) + SUMIF(tblBaiduUnits[Products],$A107, tblBaiduUnits[cv_2027]) + SUMIF(tblByteDanceUnits[Products],$A107, tblByteDanceUnits[cv_2027]) + SUMIF(tblCloudAOUnits[Products],$A107, tblCloudAOUnits[cv_2027]) + SUMIF(tblTelecomUnits[Products],$A107, tblTelecomUnits[cv_2027]) + SUMIF(tblEnterpriseUnits[Products],$A107, tblEnterpriseUnits[cv_2027])</f>
        <v>0</v>
      </c>
      <c r="L107" s="8">
        <f xml:space="preserve"> SUMIF(tblGoogleUnits[Products],$A107, tblGoogleUnits[cv_2028]) + SUMIF(tblMetaUnits[Products],$A107, tblMetaUnits[cv_2028]) + SUMIF(tblAmazonUnits[Products],$A107, tblAmazonUnits[cv_2028]) + SUMIF(tblMicrosoftUnits[Products],$A107, tblMicrosoftUnits[cv_2028]) + SUMIF(tblAppleUnits[Products],$A107, tblAppleUnits[cv_2028]) + SUMIF(tblAlibabaUnits[Products],$A107, tblAlibabaUnits[cv_2028]) + SUMIF(tblHuaweiUnits[Products],$A107, tblHuaweiUnits[cv_2028]) + SUMIF(tblTencentUnits[Products],$A107, tblTencentUnits[cv_2028]) + SUMIF(tblBaiduUnits[Products],$A107, tblBaiduUnits[cv_2028]) + SUMIF(tblByteDanceUnits[Products],$A107, tblByteDanceUnits[cv_2028]) + SUMIF(tblCloudAOUnits[Products],$A107, tblCloudAOUnits[cv_2028]) + SUMIF(tblTelecomUnits[Products],$A107, tblTelecomUnits[cv_2028]) + SUMIF(tblEnterpriseUnits[Products],$A107, tblEnterpriseUnits[cv_2028])</f>
        <v>0</v>
      </c>
      <c r="M107" s="105" cm="1">
        <f t="array" ref="M107">INDEX(tblPrices[cv_2018], MATCH($A107,tblPrices[Products],0), 0)</f>
        <v>479.07420454329076</v>
      </c>
      <c r="N107" s="105" cm="1">
        <f t="array" ref="N107">INDEX(tblPrices[cv_2019], MATCH($A107,tblPrices[Products],0), 0)</f>
        <v>391.63085052651763</v>
      </c>
      <c r="O107" s="105" cm="1">
        <f t="array" ref="O107">INDEX(tblPrices[cv_2020], MATCH($A107,tblPrices[Products],0), 0)</f>
        <v>0</v>
      </c>
      <c r="P107" s="105" cm="1">
        <f t="array" ref="P107">INDEX(tblPrices[cv_2021], MATCH($A107,tblPrices[Products],0), 0)</f>
        <v>0</v>
      </c>
      <c r="Q107" s="105" cm="1">
        <f t="array" ref="Q107">INDEX(tblPrices[cv_2022], MATCH($A107,tblPrices[Products],0), 0)</f>
        <v>0</v>
      </c>
      <c r="R107" s="105" cm="1">
        <f t="array" ref="R107">INDEX(tblPrices[cv_2023], MATCH($A107,tblPrices[Products],0), 0)</f>
        <v>0</v>
      </c>
      <c r="S107" s="105" cm="1">
        <f t="array" ref="S107">INDEX(tblPrices[cv_2024], MATCH($A107,tblPrices[Products],0), 0)</f>
        <v>0</v>
      </c>
      <c r="T107" s="105" cm="1">
        <f t="array" ref="T107">INDEX(tblPrices[cv_2025], MATCH($A107,tblPrices[Products],0), 0)</f>
        <v>0</v>
      </c>
      <c r="U107" s="105" cm="1">
        <f t="array" ref="U107">INDEX(tblPrices[cv_2026], MATCH($A107,tblPrices[Products],0), 0)</f>
        <v>0</v>
      </c>
      <c r="V107" s="105" cm="1">
        <f t="array" ref="V107">INDEX(tblPrices[cv_2027], MATCH($A107,tblPrices[Products],0), 0)</f>
        <v>0</v>
      </c>
      <c r="W107" s="105" cm="1">
        <f t="array" ref="W107">INDEX(tblPrices[cv_2028], MATCH($A107,tblPrices[Products],0), 0)</f>
        <v>0</v>
      </c>
      <c r="X107" s="106" cm="1">
        <f t="array" ref="X107">INDEX(tblPrices[cv_2018], MATCH($A107,tblPrices[Products],0), 0)* tblForecast[[#This Row],[un_2018]]/10^6</f>
        <v>201.27632</v>
      </c>
      <c r="Y107" s="106" cm="1">
        <f t="array" ref="Y107">INDEX(tblPrices[cv_2019], MATCH($A107,tblPrices[Products],0), 0)* tblForecast[[#This Row],[un_2019]]/10^6</f>
        <v>207.36266089103322</v>
      </c>
      <c r="Z107" s="106" cm="1">
        <f t="array" ref="Z107">INDEX(tblPrices[cv_2020], MATCH($A107,tblPrices[Products],0), 0)* tblForecast[[#This Row],[un_2020]]/10^6</f>
        <v>0</v>
      </c>
      <c r="AA107" s="106" cm="1">
        <f t="array" ref="AA107">INDEX(tblPrices[cv_2021], MATCH($A107,tblPrices[Products],0), 0)* tblForecast[[#This Row],[un_2021]]/10^6</f>
        <v>0</v>
      </c>
      <c r="AB107" s="106" cm="1">
        <f t="array" ref="AB107">INDEX(tblPrices[cv_2022], MATCH($A107,tblPrices[Products],0), 0)* tblForecast[[#This Row],[un_2022]]/10^6</f>
        <v>0</v>
      </c>
      <c r="AC107" s="106" cm="1">
        <f t="array" ref="AC107">INDEX(tblPrices[cv_2023], MATCH($A107,tblPrices[Products],0), 0)* tblForecast[[#This Row],[un_2023]]/10^6</f>
        <v>0</v>
      </c>
      <c r="AD107" s="106" cm="1">
        <f t="array" ref="AD107">INDEX(tblPrices[cv_2024], MATCH($A107,tblPrices[Products],0), 0)* tblForecast[[#This Row],[un_2024]]/10^6</f>
        <v>0</v>
      </c>
      <c r="AE107" s="106" cm="1">
        <f t="array" ref="AE107">INDEX(tblPrices[cv_2025], MATCH($A107,tblPrices[Products],0), 0)* tblForecast[[#This Row],[un_2025]]/10^6</f>
        <v>0</v>
      </c>
      <c r="AF107" s="106" cm="1">
        <f t="array" ref="AF107">INDEX(tblPrices[cv_2026], MATCH($A107,tblPrices[Products],0), 0)* tblForecast[[#This Row],[un_2026]]/10^6</f>
        <v>0</v>
      </c>
      <c r="AG107" s="106" cm="1">
        <f t="array" ref="AG107">INDEX(tblPrices[cv_2027], MATCH($A107,tblPrices[Products],0), 0)* tblForecast[[#This Row],[un_2027]]/10^6</f>
        <v>0</v>
      </c>
      <c r="AH107" s="106" cm="1">
        <f t="array" ref="AH107">INDEX(tblPrices[cv_2028], MATCH($A107,tblPrices[Products],0), 0)* tblForecast[[#This Row],[un_2028]]/10^6</f>
        <v>0</v>
      </c>
      <c r="AI107" s="60">
        <f>VLOOKUP(A107,Products!$A$11:$F$110,6,FALSE)</f>
        <v>10</v>
      </c>
    </row>
    <row r="108" spans="1:35">
      <c r="A108" s="12" t="s">
        <v>22</v>
      </c>
      <c r="B108" s="8">
        <f xml:space="preserve"> SUMIF(tblGoogleUnits[Products],$A108, tblGoogleUnits[cv_2018]) + SUMIF(tblMetaUnits[Products],$A108, tblMetaUnits[cv_2018]) + SUMIF(tblAmazonUnits[Products],$A108, tblAmazonUnits[cv_2018]) + SUMIF(tblMicrosoftUnits[Products],$A108, tblMicrosoftUnits[cv_2018]) + SUMIF(tblAppleUnits[Products],$A108, tblAppleUnits[cv_2018]) + SUMIF(tblAlibabaUnits[Products],$A108, tblAlibabaUnits[cv_2018]) + SUMIF(tblHuaweiUnits[Products],$A108, tblHuaweiUnits[cv_2018]) + SUMIF(tblTencentUnits[Products],$A108, tblTencentUnits[cv_2018]) + SUMIF(tblBaiduUnits[Products],$A108, tblBaiduUnits[cv_2018]) + SUMIF(tblByteDanceUnits[Products],$A108, tblByteDanceUnits[cv_2018]) + SUMIF(tblCloudAOUnits[Products],$A108, tblCloudAOUnits[cv_2018]) + SUMIF(tblTelecomUnits[Products],$A108, tblTelecomUnits[cv_2018]) + SUMIF(tblEnterpriseUnits[Products],$A108, tblEnterpriseUnits[cv_2018])</f>
        <v>0</v>
      </c>
      <c r="C108" s="8">
        <f xml:space="preserve"> SUMIF(tblGoogleUnits[Products],$A108, tblGoogleUnits[cv_2019]) + SUMIF(tblMetaUnits[Products],$A108, tblMetaUnits[cv_2019]) + SUMIF(tblAmazonUnits[Products],$A108, tblAmazonUnits[cv_2019]) + SUMIF(tblMicrosoftUnits[Products],$A108, tblMicrosoftUnits[cv_2019]) + SUMIF(tblAppleUnits[Products],$A108, tblAppleUnits[cv_2019]) + SUMIF(tblAlibabaUnits[Products],$A108, tblAlibabaUnits[cv_2019]) + SUMIF(tblHuaweiUnits[Products],$A108, tblHuaweiUnits[cv_2019]) + SUMIF(tblTencentUnits[Products],$A108, tblTencentUnits[cv_2019]) + SUMIF(tblBaiduUnits[Products],$A108, tblBaiduUnits[cv_2019]) + SUMIF(tblByteDanceUnits[Products],$A108, tblByteDanceUnits[cv_2019]) + SUMIF(tblCloudAOUnits[Products],$A108, tblCloudAOUnits[cv_2019]) + SUMIF(tblTelecomUnits[Products],$A108, tblTelecomUnits[cv_2019]) + SUMIF(tblEnterpriseUnits[Products],$A108, tblEnterpriseUnits[cv_2019])</f>
        <v>0</v>
      </c>
      <c r="D108" s="8">
        <f xml:space="preserve"> SUMIF(tblGoogleUnits[Products],$A108, tblGoogleUnits[cv_2020]) + SUMIF(tblMetaUnits[Products],$A108, tblMetaUnits[cv_2020]) + SUMIF(tblAmazonUnits[Products],$A108, tblAmazonUnits[cv_2020]) + SUMIF(tblMicrosoftUnits[Products],$A108, tblMicrosoftUnits[cv_2020]) + SUMIF(tblAppleUnits[Products],$A108, tblAppleUnits[cv_2020]) + SUMIF(tblAlibabaUnits[Products],$A108, tblAlibabaUnits[cv_2020]) + SUMIF(tblHuaweiUnits[Products],$A108, tblHuaweiUnits[cv_2020]) + SUMIF(tblTencentUnits[Products],$A108, tblTencentUnits[cv_2020]) + SUMIF(tblBaiduUnits[Products],$A108, tblBaiduUnits[cv_2020]) + SUMIF(tblByteDanceUnits[Products],$A108, tblByteDanceUnits[cv_2020]) + SUMIF(tblCloudAOUnits[Products],$A108, tblCloudAOUnits[cv_2020]) + SUMIF(tblTelecomUnits[Products],$A108, tblTelecomUnits[cv_2020]) + SUMIF(tblEnterpriseUnits[Products],$A108, tblEnterpriseUnits[cv_2020])</f>
        <v>0</v>
      </c>
      <c r="E108" s="8">
        <f xml:space="preserve"> SUMIF(tblGoogleUnits[Products],$A108, tblGoogleUnits[cv_2021]) + SUMIF(tblMetaUnits[Products],$A108, tblMetaUnits[cv_2021]) + SUMIF(tblAmazonUnits[Products],$A108, tblAmazonUnits[cv_2021]) + SUMIF(tblMicrosoftUnits[Products],$A108, tblMicrosoftUnits[cv_2021]) + SUMIF(tblAppleUnits[Products],$A108, tblAppleUnits[cv_2021]) + SUMIF(tblAlibabaUnits[Products],$A108, tblAlibabaUnits[cv_2021]) + SUMIF(tblHuaweiUnits[Products],$A108, tblHuaweiUnits[cv_2021]) + SUMIF(tblTencentUnits[Products],$A108, tblTencentUnits[cv_2021]) + SUMIF(tblBaiduUnits[Products],$A108, tblBaiduUnits[cv_2021]) + SUMIF(tblByteDanceUnits[Products],$A108, tblByteDanceUnits[cv_2021]) + SUMIF(tblCloudAOUnits[Products],$A108, tblCloudAOUnits[cv_2021]) + SUMIF(tblTelecomUnits[Products],$A108, tblTelecomUnits[cv_2021]) + SUMIF(tblEnterpriseUnits[Products],$A108, tblEnterpriseUnits[cv_2021])</f>
        <v>0</v>
      </c>
      <c r="F108" s="8">
        <f xml:space="preserve"> SUMIF(tblGoogleUnits[Products],$A108, tblGoogleUnits[cv_2022]) + SUMIF(tblMetaUnits[Products],$A108, tblMetaUnits[cv_2022]) + SUMIF(tblAmazonUnits[Products],$A108, tblAmazonUnits[cv_2022]) + SUMIF(tblMicrosoftUnits[Products],$A108, tblMicrosoftUnits[cv_2022]) + SUMIF(tblAppleUnits[Products],$A108, tblAppleUnits[cv_2022]) + SUMIF(tblAlibabaUnits[Products],$A108, tblAlibabaUnits[cv_2022]) + SUMIF(tblHuaweiUnits[Products],$A108, tblHuaweiUnits[cv_2022]) + SUMIF(tblTencentUnits[Products],$A108, tblTencentUnits[cv_2022]) + SUMIF(tblBaiduUnits[Products],$A108, tblBaiduUnits[cv_2022]) + SUMIF(tblByteDanceUnits[Products],$A108, tblByteDanceUnits[cv_2022]) + SUMIF(tblCloudAOUnits[Products],$A108, tblCloudAOUnits[cv_2022]) + SUMIF(tblTelecomUnits[Products],$A108, tblTelecomUnits[cv_2022]) + SUMIF(tblEnterpriseUnits[Products],$A108, tblEnterpriseUnits[cv_2022])</f>
        <v>0</v>
      </c>
      <c r="G108" s="8">
        <f xml:space="preserve"> SUMIF(tblGoogleUnits[Products],$A108, tblGoogleUnits[cv_2023]) + SUMIF(tblMetaUnits[Products],$A108, tblMetaUnits[cv_2023]) + SUMIF(tblAmazonUnits[Products],$A108, tblAmazonUnits[cv_2023]) + SUMIF(tblMicrosoftUnits[Products],$A108, tblMicrosoftUnits[cv_2023]) + SUMIF(tblAppleUnits[Products],$A108, tblAppleUnits[cv_2023]) + SUMIF(tblAlibabaUnits[Products],$A108, tblAlibabaUnits[cv_2023]) + SUMIF(tblHuaweiUnits[Products],$A108, tblHuaweiUnits[cv_2023]) + SUMIF(tblTencentUnits[Products],$A108, tblTencentUnits[cv_2023]) + SUMIF(tblBaiduUnits[Products],$A108, tblBaiduUnits[cv_2023]) + SUMIF(tblByteDanceUnits[Products],$A108, tblByteDanceUnits[cv_2023]) + SUMIF(tblCloudAOUnits[Products],$A108, tblCloudAOUnits[cv_2023]) + SUMIF(tblTelecomUnits[Products],$A108, tblTelecomUnits[cv_2023]) + SUMIF(tblEnterpriseUnits[Products],$A108, tblEnterpriseUnits[cv_2023])</f>
        <v>0</v>
      </c>
      <c r="H108" s="8">
        <f xml:space="preserve"> SUMIF(tblGoogleUnits[Products],$A108, tblGoogleUnits[cv_2024]) + SUMIF(tblMetaUnits[Products],$A108, tblMetaUnits[cv_2024]) + SUMIF(tblAmazonUnits[Products],$A108, tblAmazonUnits[cv_2024]) + SUMIF(tblMicrosoftUnits[Products],$A108, tblMicrosoftUnits[cv_2024]) + SUMIF(tblAppleUnits[Products],$A108, tblAppleUnits[cv_2024]) + SUMIF(tblAlibabaUnits[Products],$A108, tblAlibabaUnits[cv_2024]) + SUMIF(tblHuaweiUnits[Products],$A108, tblHuaweiUnits[cv_2024]) + SUMIF(tblTencentUnits[Products],$A108, tblTencentUnits[cv_2024]) + SUMIF(tblBaiduUnits[Products],$A108, tblBaiduUnits[cv_2024]) + SUMIF(tblByteDanceUnits[Products],$A108, tblByteDanceUnits[cv_2024]) + SUMIF(tblCloudAOUnits[Products],$A108, tblCloudAOUnits[cv_2024]) + SUMIF(tblTelecomUnits[Products],$A108, tblTelecomUnits[cv_2024]) + SUMIF(tblEnterpriseUnits[Products],$A108, tblEnterpriseUnits[cv_2024])</f>
        <v>0</v>
      </c>
      <c r="I108" s="8">
        <f xml:space="preserve"> SUMIF(tblGoogleUnits[Products],$A108, tblGoogleUnits[cv_2025]) + SUMIF(tblMetaUnits[Products],$A108, tblMetaUnits[cv_2025]) + SUMIF(tblAmazonUnits[Products],$A108, tblAmazonUnits[cv_2025]) + SUMIF(tblMicrosoftUnits[Products],$A108, tblMicrosoftUnits[cv_2025]) + SUMIF(tblAppleUnits[Products],$A108, tblAppleUnits[cv_2025]) + SUMIF(tblAlibabaUnits[Products],$A108, tblAlibabaUnits[cv_2025]) + SUMIF(tblHuaweiUnits[Products],$A108, tblHuaweiUnits[cv_2025]) + SUMIF(tblTencentUnits[Products],$A108, tblTencentUnits[cv_2025]) + SUMIF(tblBaiduUnits[Products],$A108, tblBaiduUnits[cv_2025]) + SUMIF(tblByteDanceUnits[Products],$A108, tblByteDanceUnits[cv_2025]) + SUMIF(tblCloudAOUnits[Products],$A108, tblCloudAOUnits[cv_2025]) + SUMIF(tblTelecomUnits[Products],$A108, tblTelecomUnits[cv_2025]) + SUMIF(tblEnterpriseUnits[Products],$A108, tblEnterpriseUnits[cv_2025])</f>
        <v>0</v>
      </c>
      <c r="J108" s="8">
        <f xml:space="preserve"> SUMIF(tblGoogleUnits[Products],$A108, tblGoogleUnits[cv_2026]) + SUMIF(tblMetaUnits[Products],$A108, tblMetaUnits[cv_2026]) + SUMIF(tblAmazonUnits[Products],$A108, tblAmazonUnits[cv_2026]) + SUMIF(tblMicrosoftUnits[Products],$A108, tblMicrosoftUnits[cv_2026]) + SUMIF(tblAppleUnits[Products],$A108, tblAppleUnits[cv_2026]) + SUMIF(tblAlibabaUnits[Products],$A108, tblAlibabaUnits[cv_2026]) + SUMIF(tblHuaweiUnits[Products],$A108, tblHuaweiUnits[cv_2026]) + SUMIF(tblTencentUnits[Products],$A108, tblTencentUnits[cv_2026]) + SUMIF(tblBaiduUnits[Products],$A108, tblBaiduUnits[cv_2026]) + SUMIF(tblByteDanceUnits[Products],$A108, tblByteDanceUnits[cv_2026]) + SUMIF(tblCloudAOUnits[Products],$A108, tblCloudAOUnits[cv_2026]) + SUMIF(tblTelecomUnits[Products],$A108, tblTelecomUnits[cv_2026]) + SUMIF(tblEnterpriseUnits[Products],$A108, tblEnterpriseUnits[cv_2026])</f>
        <v>0</v>
      </c>
      <c r="K108" s="8">
        <f xml:space="preserve"> SUMIF(tblGoogleUnits[Products],$A108, tblGoogleUnits[cv_2027]) + SUMIF(tblMetaUnits[Products],$A108, tblMetaUnits[cv_2027]) + SUMIF(tblAmazonUnits[Products],$A108, tblAmazonUnits[cv_2027]) + SUMIF(tblMicrosoftUnits[Products],$A108, tblMicrosoftUnits[cv_2027]) + SUMIF(tblAppleUnits[Products],$A108, tblAppleUnits[cv_2027]) + SUMIF(tblAlibabaUnits[Products],$A108, tblAlibabaUnits[cv_2027]) + SUMIF(tblHuaweiUnits[Products],$A108, tblHuaweiUnits[cv_2027]) + SUMIF(tblTencentUnits[Products],$A108, tblTencentUnits[cv_2027]) + SUMIF(tblBaiduUnits[Products],$A108, tblBaiduUnits[cv_2027]) + SUMIF(tblByteDanceUnits[Products],$A108, tblByteDanceUnits[cv_2027]) + SUMIF(tblCloudAOUnits[Products],$A108, tblCloudAOUnits[cv_2027]) + SUMIF(tblTelecomUnits[Products],$A108, tblTelecomUnits[cv_2027]) + SUMIF(tblEnterpriseUnits[Products],$A108, tblEnterpriseUnits[cv_2027])</f>
        <v>0</v>
      </c>
      <c r="L108" s="8">
        <f xml:space="preserve"> SUMIF(tblGoogleUnits[Products],$A108, tblGoogleUnits[cv_2028]) + SUMIF(tblMetaUnits[Products],$A108, tblMetaUnits[cv_2028]) + SUMIF(tblAmazonUnits[Products],$A108, tblAmazonUnits[cv_2028]) + SUMIF(tblMicrosoftUnits[Products],$A108, tblMicrosoftUnits[cv_2028]) + SUMIF(tblAppleUnits[Products],$A108, tblAppleUnits[cv_2028]) + SUMIF(tblAlibabaUnits[Products],$A108, tblAlibabaUnits[cv_2028]) + SUMIF(tblHuaweiUnits[Products],$A108, tblHuaweiUnits[cv_2028]) + SUMIF(tblTencentUnits[Products],$A108, tblTencentUnits[cv_2028]) + SUMIF(tblBaiduUnits[Products],$A108, tblBaiduUnits[cv_2028]) + SUMIF(tblByteDanceUnits[Products],$A108, tblByteDanceUnits[cv_2028]) + SUMIF(tblCloudAOUnits[Products],$A108, tblCloudAOUnits[cv_2028]) + SUMIF(tblTelecomUnits[Products],$A108, tblTelecomUnits[cv_2028]) + SUMIF(tblEnterpriseUnits[Products],$A108, tblEnterpriseUnits[cv_2028])</f>
        <v>0</v>
      </c>
      <c r="M108" s="105" cm="1">
        <f t="array" ref="M108">INDEX(tblPrices[cv_2018], MATCH($A108,tblPrices[Products],0), 0)</f>
        <v>0</v>
      </c>
      <c r="N108" s="105" cm="1">
        <f t="array" ref="N108">INDEX(tblPrices[cv_2019], MATCH($A108,tblPrices[Products],0), 0)</f>
        <v>0</v>
      </c>
      <c r="O108" s="105" cm="1">
        <f t="array" ref="O108">INDEX(tblPrices[cv_2020], MATCH($A108,tblPrices[Products],0), 0)</f>
        <v>0</v>
      </c>
      <c r="P108" s="105" cm="1">
        <f t="array" ref="P108">INDEX(tblPrices[cv_2021], MATCH($A108,tblPrices[Products],0), 0)</f>
        <v>0</v>
      </c>
      <c r="Q108" s="105" cm="1">
        <f t="array" ref="Q108">INDEX(tblPrices[cv_2022], MATCH($A108,tblPrices[Products],0), 0)</f>
        <v>0</v>
      </c>
      <c r="R108" s="105" cm="1">
        <f t="array" ref="R108">INDEX(tblPrices[cv_2023], MATCH($A108,tblPrices[Products],0), 0)</f>
        <v>0</v>
      </c>
      <c r="S108" s="105" cm="1">
        <f t="array" ref="S108">INDEX(tblPrices[cv_2024], MATCH($A108,tblPrices[Products],0), 0)</f>
        <v>0</v>
      </c>
      <c r="T108" s="105" cm="1">
        <f t="array" ref="T108">INDEX(tblPrices[cv_2025], MATCH($A108,tblPrices[Products],0), 0)</f>
        <v>0</v>
      </c>
      <c r="U108" s="105" cm="1">
        <f t="array" ref="U108">INDEX(tblPrices[cv_2026], MATCH($A108,tblPrices[Products],0), 0)</f>
        <v>0</v>
      </c>
      <c r="V108" s="105" cm="1">
        <f t="array" ref="V108">INDEX(tblPrices[cv_2027], MATCH($A108,tblPrices[Products],0), 0)</f>
        <v>0</v>
      </c>
      <c r="W108" s="105" cm="1">
        <f t="array" ref="W108">INDEX(tblPrices[cv_2028], MATCH($A108,tblPrices[Products],0), 0)</f>
        <v>0</v>
      </c>
      <c r="X108" s="106" cm="1">
        <f t="array" ref="X108">INDEX(tblPrices[cv_2018], MATCH($A108,tblPrices[Products],0), 0)* tblForecast[[#This Row],[un_2018]]/10^6</f>
        <v>0</v>
      </c>
      <c r="Y108" s="106" cm="1">
        <f t="array" ref="Y108">INDEX(tblPrices[cv_2019], MATCH($A108,tblPrices[Products],0), 0)* tblForecast[[#This Row],[un_2019]]/10^6</f>
        <v>0</v>
      </c>
      <c r="Z108" s="106" cm="1">
        <f t="array" ref="Z108">INDEX(tblPrices[cv_2020], MATCH($A108,tblPrices[Products],0), 0)* tblForecast[[#This Row],[un_2020]]/10^6</f>
        <v>0</v>
      </c>
      <c r="AA108" s="106" cm="1">
        <f t="array" ref="AA108">INDEX(tblPrices[cv_2021], MATCH($A108,tblPrices[Products],0), 0)* tblForecast[[#This Row],[un_2021]]/10^6</f>
        <v>0</v>
      </c>
      <c r="AB108" s="106" cm="1">
        <f t="array" ref="AB108">INDEX(tblPrices[cv_2022], MATCH($A108,tblPrices[Products],0), 0)* tblForecast[[#This Row],[un_2022]]/10^6</f>
        <v>0</v>
      </c>
      <c r="AC108" s="106" cm="1">
        <f t="array" ref="AC108">INDEX(tblPrices[cv_2023], MATCH($A108,tblPrices[Products],0), 0)* tblForecast[[#This Row],[un_2023]]/10^6</f>
        <v>0</v>
      </c>
      <c r="AD108" s="106" cm="1">
        <f t="array" ref="AD108">INDEX(tblPrices[cv_2024], MATCH($A108,tblPrices[Products],0), 0)* tblForecast[[#This Row],[un_2024]]/10^6</f>
        <v>0</v>
      </c>
      <c r="AE108" s="106" cm="1">
        <f t="array" ref="AE108">INDEX(tblPrices[cv_2025], MATCH($A108,tblPrices[Products],0), 0)* tblForecast[[#This Row],[un_2025]]/10^6</f>
        <v>0</v>
      </c>
      <c r="AF108" s="106" cm="1">
        <f t="array" ref="AF108">INDEX(tblPrices[cv_2026], MATCH($A108,tblPrices[Products],0), 0)* tblForecast[[#This Row],[un_2026]]/10^6</f>
        <v>0</v>
      </c>
      <c r="AG108" s="106" cm="1">
        <f t="array" ref="AG108">INDEX(tblPrices[cv_2027], MATCH($A108,tblPrices[Products],0), 0)* tblForecast[[#This Row],[un_2027]]/10^6</f>
        <v>0</v>
      </c>
      <c r="AH108" s="106" cm="1">
        <f t="array" ref="AH108">INDEX(tblPrices[cv_2028], MATCH($A108,tblPrices[Products],0), 0)* tblForecast[[#This Row],[un_2028]]/10^6</f>
        <v>0</v>
      </c>
      <c r="AI108" s="60">
        <f>VLOOKUP(A108,Products!$A$11:$F$110,6,FALSE)</f>
        <v>40</v>
      </c>
    </row>
    <row r="109" spans="1:35">
      <c r="A109" s="12" t="s">
        <v>23</v>
      </c>
      <c r="B109" s="8">
        <f xml:space="preserve"> SUMIF(tblGoogleUnits[Products],$A109, tblGoogleUnits[cv_2018]) + SUMIF(tblMetaUnits[Products],$A109, tblMetaUnits[cv_2018]) + SUMIF(tblAmazonUnits[Products],$A109, tblAmazonUnits[cv_2018]) + SUMIF(tblMicrosoftUnits[Products],$A109, tblMicrosoftUnits[cv_2018]) + SUMIF(tblAppleUnits[Products],$A109, tblAppleUnits[cv_2018]) + SUMIF(tblAlibabaUnits[Products],$A109, tblAlibabaUnits[cv_2018]) + SUMIF(tblHuaweiUnits[Products],$A109, tblHuaweiUnits[cv_2018]) + SUMIF(tblTencentUnits[Products],$A109, tblTencentUnits[cv_2018]) + SUMIF(tblBaiduUnits[Products],$A109, tblBaiduUnits[cv_2018]) + SUMIF(tblByteDanceUnits[Products],$A109, tblByteDanceUnits[cv_2018]) + SUMIF(tblCloudAOUnits[Products],$A109, tblCloudAOUnits[cv_2018]) + SUMIF(tblTelecomUnits[Products],$A109, tblTelecomUnits[cv_2018]) + SUMIF(tblEnterpriseUnits[Products],$A109, tblEnterpriseUnits[cv_2018])</f>
        <v>271842</v>
      </c>
      <c r="C109" s="8">
        <f xml:space="preserve"> SUMIF(tblGoogleUnits[Products],$A109, tblGoogleUnits[cv_2019]) + SUMIF(tblMetaUnits[Products],$A109, tblMetaUnits[cv_2019]) + SUMIF(tblAmazonUnits[Products],$A109, tblAmazonUnits[cv_2019]) + SUMIF(tblMicrosoftUnits[Products],$A109, tblMicrosoftUnits[cv_2019]) + SUMIF(tblAppleUnits[Products],$A109, tblAppleUnits[cv_2019]) + SUMIF(tblAlibabaUnits[Products],$A109, tblAlibabaUnits[cv_2019]) + SUMIF(tblHuaweiUnits[Products],$A109, tblHuaweiUnits[cv_2019]) + SUMIF(tblTencentUnits[Products],$A109, tblTencentUnits[cv_2019]) + SUMIF(tblBaiduUnits[Products],$A109, tblBaiduUnits[cv_2019]) + SUMIF(tblByteDanceUnits[Products],$A109, tblByteDanceUnits[cv_2019]) + SUMIF(tblCloudAOUnits[Products],$A109, tblCloudAOUnits[cv_2019]) + SUMIF(tblTelecomUnits[Products],$A109, tblTelecomUnits[cv_2019]) + SUMIF(tblEnterpriseUnits[Products],$A109, tblEnterpriseUnits[cv_2019])</f>
        <v>220820.20000000004</v>
      </c>
      <c r="D109" s="8">
        <f xml:space="preserve"> SUMIF(tblGoogleUnits[Products],$A109, tblGoogleUnits[cv_2020]) + SUMIF(tblMetaUnits[Products],$A109, tblMetaUnits[cv_2020]) + SUMIF(tblAmazonUnits[Products],$A109, tblAmazonUnits[cv_2020]) + SUMIF(tblMicrosoftUnits[Products],$A109, tblMicrosoftUnits[cv_2020]) + SUMIF(tblAppleUnits[Products],$A109, tblAppleUnits[cv_2020]) + SUMIF(tblAlibabaUnits[Products],$A109, tblAlibabaUnits[cv_2020]) + SUMIF(tblHuaweiUnits[Products],$A109, tblHuaweiUnits[cv_2020]) + SUMIF(tblTencentUnits[Products],$A109, tblTencentUnits[cv_2020]) + SUMIF(tblBaiduUnits[Products],$A109, tblBaiduUnits[cv_2020]) + SUMIF(tblByteDanceUnits[Products],$A109, tblByteDanceUnits[cv_2020]) + SUMIF(tblCloudAOUnits[Products],$A109, tblCloudAOUnits[cv_2020]) + SUMIF(tblTelecomUnits[Products],$A109, tblTelecomUnits[cv_2020]) + SUMIF(tblEnterpriseUnits[Products],$A109, tblEnterpriseUnits[cv_2020])</f>
        <v>0</v>
      </c>
      <c r="E109" s="8">
        <f xml:space="preserve"> SUMIF(tblGoogleUnits[Products],$A109, tblGoogleUnits[cv_2021]) + SUMIF(tblMetaUnits[Products],$A109, tblMetaUnits[cv_2021]) + SUMIF(tblAmazonUnits[Products],$A109, tblAmazonUnits[cv_2021]) + SUMIF(tblMicrosoftUnits[Products],$A109, tblMicrosoftUnits[cv_2021]) + SUMIF(tblAppleUnits[Products],$A109, tblAppleUnits[cv_2021]) + SUMIF(tblAlibabaUnits[Products],$A109, tblAlibabaUnits[cv_2021]) + SUMIF(tblHuaweiUnits[Products],$A109, tblHuaweiUnits[cv_2021]) + SUMIF(tblTencentUnits[Products],$A109, tblTencentUnits[cv_2021]) + SUMIF(tblBaiduUnits[Products],$A109, tblBaiduUnits[cv_2021]) + SUMIF(tblByteDanceUnits[Products],$A109, tblByteDanceUnits[cv_2021]) + SUMIF(tblCloudAOUnits[Products],$A109, tblCloudAOUnits[cv_2021]) + SUMIF(tblTelecomUnits[Products],$A109, tblTelecomUnits[cv_2021]) + SUMIF(tblEnterpriseUnits[Products],$A109, tblEnterpriseUnits[cv_2021])</f>
        <v>0</v>
      </c>
      <c r="F109" s="8">
        <f xml:space="preserve"> SUMIF(tblGoogleUnits[Products],$A109, tblGoogleUnits[cv_2022]) + SUMIF(tblMetaUnits[Products],$A109, tblMetaUnits[cv_2022]) + SUMIF(tblAmazonUnits[Products],$A109, tblAmazonUnits[cv_2022]) + SUMIF(tblMicrosoftUnits[Products],$A109, tblMicrosoftUnits[cv_2022]) + SUMIF(tblAppleUnits[Products],$A109, tblAppleUnits[cv_2022]) + SUMIF(tblAlibabaUnits[Products],$A109, tblAlibabaUnits[cv_2022]) + SUMIF(tblHuaweiUnits[Products],$A109, tblHuaweiUnits[cv_2022]) + SUMIF(tblTencentUnits[Products],$A109, tblTencentUnits[cv_2022]) + SUMIF(tblBaiduUnits[Products],$A109, tblBaiduUnits[cv_2022]) + SUMIF(tblByteDanceUnits[Products],$A109, tblByteDanceUnits[cv_2022]) + SUMIF(tblCloudAOUnits[Products],$A109, tblCloudAOUnits[cv_2022]) + SUMIF(tblTelecomUnits[Products],$A109, tblTelecomUnits[cv_2022]) + SUMIF(tblEnterpriseUnits[Products],$A109, tblEnterpriseUnits[cv_2022])</f>
        <v>0</v>
      </c>
      <c r="G109" s="8">
        <f xml:space="preserve"> SUMIF(tblGoogleUnits[Products],$A109, tblGoogleUnits[cv_2023]) + SUMIF(tblMetaUnits[Products],$A109, tblMetaUnits[cv_2023]) + SUMIF(tblAmazonUnits[Products],$A109, tblAmazonUnits[cv_2023]) + SUMIF(tblMicrosoftUnits[Products],$A109, tblMicrosoftUnits[cv_2023]) + SUMIF(tblAppleUnits[Products],$A109, tblAppleUnits[cv_2023]) + SUMIF(tblAlibabaUnits[Products],$A109, tblAlibabaUnits[cv_2023]) + SUMIF(tblHuaweiUnits[Products],$A109, tblHuaweiUnits[cv_2023]) + SUMIF(tblTencentUnits[Products],$A109, tblTencentUnits[cv_2023]) + SUMIF(tblBaiduUnits[Products],$A109, tblBaiduUnits[cv_2023]) + SUMIF(tblByteDanceUnits[Products],$A109, tblByteDanceUnits[cv_2023]) + SUMIF(tblCloudAOUnits[Products],$A109, tblCloudAOUnits[cv_2023]) + SUMIF(tblTelecomUnits[Products],$A109, tblTelecomUnits[cv_2023]) + SUMIF(tblEnterpriseUnits[Products],$A109, tblEnterpriseUnits[cv_2023])</f>
        <v>0</v>
      </c>
      <c r="H109" s="8">
        <f xml:space="preserve"> SUMIF(tblGoogleUnits[Products],$A109, tblGoogleUnits[cv_2024]) + SUMIF(tblMetaUnits[Products],$A109, tblMetaUnits[cv_2024]) + SUMIF(tblAmazonUnits[Products],$A109, tblAmazonUnits[cv_2024]) + SUMIF(tblMicrosoftUnits[Products],$A109, tblMicrosoftUnits[cv_2024]) + SUMIF(tblAppleUnits[Products],$A109, tblAppleUnits[cv_2024]) + SUMIF(tblAlibabaUnits[Products],$A109, tblAlibabaUnits[cv_2024]) + SUMIF(tblHuaweiUnits[Products],$A109, tblHuaweiUnits[cv_2024]) + SUMIF(tblTencentUnits[Products],$A109, tblTencentUnits[cv_2024]) + SUMIF(tblBaiduUnits[Products],$A109, tblBaiduUnits[cv_2024]) + SUMIF(tblByteDanceUnits[Products],$A109, tblByteDanceUnits[cv_2024]) + SUMIF(tblCloudAOUnits[Products],$A109, tblCloudAOUnits[cv_2024]) + SUMIF(tblTelecomUnits[Products],$A109, tblTelecomUnits[cv_2024]) + SUMIF(tblEnterpriseUnits[Products],$A109, tblEnterpriseUnits[cv_2024])</f>
        <v>0</v>
      </c>
      <c r="I109" s="8">
        <f xml:space="preserve"> SUMIF(tblGoogleUnits[Products],$A109, tblGoogleUnits[cv_2025]) + SUMIF(tblMetaUnits[Products],$A109, tblMetaUnits[cv_2025]) + SUMIF(tblAmazonUnits[Products],$A109, tblAmazonUnits[cv_2025]) + SUMIF(tblMicrosoftUnits[Products],$A109, tblMicrosoftUnits[cv_2025]) + SUMIF(tblAppleUnits[Products],$A109, tblAppleUnits[cv_2025]) + SUMIF(tblAlibabaUnits[Products],$A109, tblAlibabaUnits[cv_2025]) + SUMIF(tblHuaweiUnits[Products],$A109, tblHuaweiUnits[cv_2025]) + SUMIF(tblTencentUnits[Products],$A109, tblTencentUnits[cv_2025]) + SUMIF(tblBaiduUnits[Products],$A109, tblBaiduUnits[cv_2025]) + SUMIF(tblByteDanceUnits[Products],$A109, tblByteDanceUnits[cv_2025]) + SUMIF(tblCloudAOUnits[Products],$A109, tblCloudAOUnits[cv_2025]) + SUMIF(tblTelecomUnits[Products],$A109, tblTelecomUnits[cv_2025]) + SUMIF(tblEnterpriseUnits[Products],$A109, tblEnterpriseUnits[cv_2025])</f>
        <v>0</v>
      </c>
      <c r="J109" s="8">
        <f xml:space="preserve"> SUMIF(tblGoogleUnits[Products],$A109, tblGoogleUnits[cv_2026]) + SUMIF(tblMetaUnits[Products],$A109, tblMetaUnits[cv_2026]) + SUMIF(tblAmazonUnits[Products],$A109, tblAmazonUnits[cv_2026]) + SUMIF(tblMicrosoftUnits[Products],$A109, tblMicrosoftUnits[cv_2026]) + SUMIF(tblAppleUnits[Products],$A109, tblAppleUnits[cv_2026]) + SUMIF(tblAlibabaUnits[Products],$A109, tblAlibabaUnits[cv_2026]) + SUMIF(tblHuaweiUnits[Products],$A109, tblHuaweiUnits[cv_2026]) + SUMIF(tblTencentUnits[Products],$A109, tblTencentUnits[cv_2026]) + SUMIF(tblBaiduUnits[Products],$A109, tblBaiduUnits[cv_2026]) + SUMIF(tblByteDanceUnits[Products],$A109, tblByteDanceUnits[cv_2026]) + SUMIF(tblCloudAOUnits[Products],$A109, tblCloudAOUnits[cv_2026]) + SUMIF(tblTelecomUnits[Products],$A109, tblTelecomUnits[cv_2026]) + SUMIF(tblEnterpriseUnits[Products],$A109, tblEnterpriseUnits[cv_2026])</f>
        <v>0</v>
      </c>
      <c r="K109" s="8">
        <f xml:space="preserve"> SUMIF(tblGoogleUnits[Products],$A109, tblGoogleUnits[cv_2027]) + SUMIF(tblMetaUnits[Products],$A109, tblMetaUnits[cv_2027]) + SUMIF(tblAmazonUnits[Products],$A109, tblAmazonUnits[cv_2027]) + SUMIF(tblMicrosoftUnits[Products],$A109, tblMicrosoftUnits[cv_2027]) + SUMIF(tblAppleUnits[Products],$A109, tblAppleUnits[cv_2027]) + SUMIF(tblAlibabaUnits[Products],$A109, tblAlibabaUnits[cv_2027]) + SUMIF(tblHuaweiUnits[Products],$A109, tblHuaweiUnits[cv_2027]) + SUMIF(tblTencentUnits[Products],$A109, tblTencentUnits[cv_2027]) + SUMIF(tblBaiduUnits[Products],$A109, tblBaiduUnits[cv_2027]) + SUMIF(tblByteDanceUnits[Products],$A109, tblByteDanceUnits[cv_2027]) + SUMIF(tblCloudAOUnits[Products],$A109, tblCloudAOUnits[cv_2027]) + SUMIF(tblTelecomUnits[Products],$A109, tblTelecomUnits[cv_2027]) + SUMIF(tblEnterpriseUnits[Products],$A109, tblEnterpriseUnits[cv_2027])</f>
        <v>0</v>
      </c>
      <c r="L109" s="8">
        <f xml:space="preserve"> SUMIF(tblGoogleUnits[Products],$A109, tblGoogleUnits[cv_2028]) + SUMIF(tblMetaUnits[Products],$A109, tblMetaUnits[cv_2028]) + SUMIF(tblAmazonUnits[Products],$A109, tblAmazonUnits[cv_2028]) + SUMIF(tblMicrosoftUnits[Products],$A109, tblMicrosoftUnits[cv_2028]) + SUMIF(tblAppleUnits[Products],$A109, tblAppleUnits[cv_2028]) + SUMIF(tblAlibabaUnits[Products],$A109, tblAlibabaUnits[cv_2028]) + SUMIF(tblHuaweiUnits[Products],$A109, tblHuaweiUnits[cv_2028]) + SUMIF(tblTencentUnits[Products],$A109, tblTencentUnits[cv_2028]) + SUMIF(tblBaiduUnits[Products],$A109, tblBaiduUnits[cv_2028]) + SUMIF(tblByteDanceUnits[Products],$A109, tblByteDanceUnits[cv_2028]) + SUMIF(tblCloudAOUnits[Products],$A109, tblCloudAOUnits[cv_2028]) + SUMIF(tblTelecomUnits[Products],$A109, tblTelecomUnits[cv_2028]) + SUMIF(tblEnterpriseUnits[Products],$A109, tblEnterpriseUnits[cv_2028])</f>
        <v>0</v>
      </c>
      <c r="M109" s="105" cm="1">
        <f t="array" ref="M109">INDEX(tblPrices[cv_2018], MATCH($A109,tblPrices[Products],0), 0)</f>
        <v>8000</v>
      </c>
      <c r="N109" s="105" cm="1">
        <f t="array" ref="N109">INDEX(tblPrices[cv_2019], MATCH($A109,tblPrices[Products],0), 0)</f>
        <v>6400</v>
      </c>
      <c r="O109" s="105" cm="1">
        <f t="array" ref="O109">INDEX(tblPrices[cv_2020], MATCH($A109,tblPrices[Products],0), 0)</f>
        <v>0</v>
      </c>
      <c r="P109" s="105" cm="1">
        <f t="array" ref="P109">INDEX(tblPrices[cv_2021], MATCH($A109,tblPrices[Products],0), 0)</f>
        <v>0</v>
      </c>
      <c r="Q109" s="105" cm="1">
        <f t="array" ref="Q109">INDEX(tblPrices[cv_2022], MATCH($A109,tblPrices[Products],0), 0)</f>
        <v>0</v>
      </c>
      <c r="R109" s="105" cm="1">
        <f t="array" ref="R109">INDEX(tblPrices[cv_2023], MATCH($A109,tblPrices[Products],0), 0)</f>
        <v>0</v>
      </c>
      <c r="S109" s="105" cm="1">
        <f t="array" ref="S109">INDEX(tblPrices[cv_2024], MATCH($A109,tblPrices[Products],0), 0)</f>
        <v>0</v>
      </c>
      <c r="T109" s="105" cm="1">
        <f t="array" ref="T109">INDEX(tblPrices[cv_2025], MATCH($A109,tblPrices[Products],0), 0)</f>
        <v>0</v>
      </c>
      <c r="U109" s="105" cm="1">
        <f t="array" ref="U109">INDEX(tblPrices[cv_2026], MATCH($A109,tblPrices[Products],0), 0)</f>
        <v>0</v>
      </c>
      <c r="V109" s="105" cm="1">
        <f t="array" ref="V109">INDEX(tblPrices[cv_2027], MATCH($A109,tblPrices[Products],0), 0)</f>
        <v>0</v>
      </c>
      <c r="W109" s="105" cm="1">
        <f t="array" ref="W109">INDEX(tblPrices[cv_2028], MATCH($A109,tblPrices[Products],0), 0)</f>
        <v>0</v>
      </c>
      <c r="X109" s="106" cm="1">
        <f t="array" ref="X109">INDEX(tblPrices[cv_2018], MATCH($A109,tblPrices[Products],0), 0)* tblForecast[[#This Row],[un_2018]]/10^6</f>
        <v>2174.7359999999999</v>
      </c>
      <c r="Y109" s="106" cm="1">
        <f t="array" ref="Y109">INDEX(tblPrices[cv_2019], MATCH($A109,tblPrices[Products],0), 0)* tblForecast[[#This Row],[un_2019]]/10^6</f>
        <v>1413.2492800000002</v>
      </c>
      <c r="Z109" s="106" cm="1">
        <f t="array" ref="Z109">INDEX(tblPrices[cv_2020], MATCH($A109,tblPrices[Products],0), 0)* tblForecast[[#This Row],[un_2020]]/10^6</f>
        <v>0</v>
      </c>
      <c r="AA109" s="106" cm="1">
        <f t="array" ref="AA109">INDEX(tblPrices[cv_2021], MATCH($A109,tblPrices[Products],0), 0)* tblForecast[[#This Row],[un_2021]]/10^6</f>
        <v>0</v>
      </c>
      <c r="AB109" s="106" cm="1">
        <f t="array" ref="AB109">INDEX(tblPrices[cv_2022], MATCH($A109,tblPrices[Products],0), 0)* tblForecast[[#This Row],[un_2022]]/10^6</f>
        <v>0</v>
      </c>
      <c r="AC109" s="106" cm="1">
        <f t="array" ref="AC109">INDEX(tblPrices[cv_2023], MATCH($A109,tblPrices[Products],0), 0)* tblForecast[[#This Row],[un_2023]]/10^6</f>
        <v>0</v>
      </c>
      <c r="AD109" s="106" cm="1">
        <f t="array" ref="AD109">INDEX(tblPrices[cv_2024], MATCH($A109,tblPrices[Products],0), 0)* tblForecast[[#This Row],[un_2024]]/10^6</f>
        <v>0</v>
      </c>
      <c r="AE109" s="106" cm="1">
        <f t="array" ref="AE109">INDEX(tblPrices[cv_2025], MATCH($A109,tblPrices[Products],0), 0)* tblForecast[[#This Row],[un_2025]]/10^6</f>
        <v>0</v>
      </c>
      <c r="AF109" s="106" cm="1">
        <f t="array" ref="AF109">INDEX(tblPrices[cv_2026], MATCH($A109,tblPrices[Products],0), 0)* tblForecast[[#This Row],[un_2026]]/10^6</f>
        <v>0</v>
      </c>
      <c r="AG109" s="106" cm="1">
        <f t="array" ref="AG109">INDEX(tblPrices[cv_2027], MATCH($A109,tblPrices[Products],0), 0)* tblForecast[[#This Row],[un_2027]]/10^6</f>
        <v>0</v>
      </c>
      <c r="AH109" s="106" cm="1">
        <f t="array" ref="AH109">INDEX(tblPrices[cv_2028], MATCH($A109,tblPrices[Products],0), 0)* tblForecast[[#This Row],[un_2028]]/10^6</f>
        <v>0</v>
      </c>
      <c r="AI109" s="60">
        <f>VLOOKUP(A109,Products!$A$11:$F$110,6,FALSE)</f>
        <v>100</v>
      </c>
    </row>
    <row r="110" spans="1:35">
      <c r="A110" s="12" t="s">
        <v>24</v>
      </c>
      <c r="B110" s="8">
        <f xml:space="preserve"> SUMIF(tblGoogleUnits[Products],$A110, tblGoogleUnits[cv_2018]) + SUMIF(tblMetaUnits[Products],$A110, tblMetaUnits[cv_2018]) + SUMIF(tblAmazonUnits[Products],$A110, tblAmazonUnits[cv_2018]) + SUMIF(tblMicrosoftUnits[Products],$A110, tblMicrosoftUnits[cv_2018]) + SUMIF(tblAppleUnits[Products],$A110, tblAppleUnits[cv_2018]) + SUMIF(tblAlibabaUnits[Products],$A110, tblAlibabaUnits[cv_2018]) + SUMIF(tblHuaweiUnits[Products],$A110, tblHuaweiUnits[cv_2018]) + SUMIF(tblTencentUnits[Products],$A110, tblTencentUnits[cv_2018]) + SUMIF(tblBaiduUnits[Products],$A110, tblBaiduUnits[cv_2018]) + SUMIF(tblByteDanceUnits[Products],$A110, tblByteDanceUnits[cv_2018]) + SUMIF(tblCloudAOUnits[Products],$A110, tblCloudAOUnits[cv_2018]) + SUMIF(tblTelecomUnits[Products],$A110, tblTelecomUnits[cv_2018]) + SUMIF(tblEnterpriseUnits[Products],$A110, tblEnterpriseUnits[cv_2018])</f>
        <v>27000</v>
      </c>
      <c r="C110" s="8">
        <f xml:space="preserve"> SUMIF(tblGoogleUnits[Products],$A110, tblGoogleUnits[cv_2019]) + SUMIF(tblMetaUnits[Products],$A110, tblMetaUnits[cv_2019]) + SUMIF(tblAmazonUnits[Products],$A110, tblAmazonUnits[cv_2019]) + SUMIF(tblMicrosoftUnits[Products],$A110, tblMicrosoftUnits[cv_2019]) + SUMIF(tblAppleUnits[Products],$A110, tblAppleUnits[cv_2019]) + SUMIF(tblAlibabaUnits[Products],$A110, tblAlibabaUnits[cv_2019]) + SUMIF(tblHuaweiUnits[Products],$A110, tblHuaweiUnits[cv_2019]) + SUMIF(tblTencentUnits[Products],$A110, tblTencentUnits[cv_2019]) + SUMIF(tblBaiduUnits[Products],$A110, tblBaiduUnits[cv_2019]) + SUMIF(tblByteDanceUnits[Products],$A110, tblByteDanceUnits[cv_2019]) + SUMIF(tblCloudAOUnits[Products],$A110, tblCloudAOUnits[cv_2019]) + SUMIF(tblTelecomUnits[Products],$A110, tblTelecomUnits[cv_2019]) + SUMIF(tblEnterpriseUnits[Products],$A110, tblEnterpriseUnits[cv_2019])</f>
        <v>38000</v>
      </c>
      <c r="D110" s="8">
        <f xml:space="preserve"> SUMIF(tblGoogleUnits[Products],$A110, tblGoogleUnits[cv_2020]) + SUMIF(tblMetaUnits[Products],$A110, tblMetaUnits[cv_2020]) + SUMIF(tblAmazonUnits[Products],$A110, tblAmazonUnits[cv_2020]) + SUMIF(tblMicrosoftUnits[Products],$A110, tblMicrosoftUnits[cv_2020]) + SUMIF(tblAppleUnits[Products],$A110, tblAppleUnits[cv_2020]) + SUMIF(tblAlibabaUnits[Products],$A110, tblAlibabaUnits[cv_2020]) + SUMIF(tblHuaweiUnits[Products],$A110, tblHuaweiUnits[cv_2020]) + SUMIF(tblTencentUnits[Products],$A110, tblTencentUnits[cv_2020]) + SUMIF(tblBaiduUnits[Products],$A110, tblBaiduUnits[cv_2020]) + SUMIF(tblByteDanceUnits[Products],$A110, tblByteDanceUnits[cv_2020]) + SUMIF(tblCloudAOUnits[Products],$A110, tblCloudAOUnits[cv_2020]) + SUMIF(tblTelecomUnits[Products],$A110, tblTelecomUnits[cv_2020]) + SUMIF(tblEnterpriseUnits[Products],$A110, tblEnterpriseUnits[cv_2020])</f>
        <v>0</v>
      </c>
      <c r="E110" s="8">
        <f xml:space="preserve"> SUMIF(tblGoogleUnits[Products],$A110, tblGoogleUnits[cv_2021]) + SUMIF(tblMetaUnits[Products],$A110, tblMetaUnits[cv_2021]) + SUMIF(tblAmazonUnits[Products],$A110, tblAmazonUnits[cv_2021]) + SUMIF(tblMicrosoftUnits[Products],$A110, tblMicrosoftUnits[cv_2021]) + SUMIF(tblAppleUnits[Products],$A110, tblAppleUnits[cv_2021]) + SUMIF(tblAlibabaUnits[Products],$A110, tblAlibabaUnits[cv_2021]) + SUMIF(tblHuaweiUnits[Products],$A110, tblHuaweiUnits[cv_2021]) + SUMIF(tblTencentUnits[Products],$A110, tblTencentUnits[cv_2021]) + SUMIF(tblBaiduUnits[Products],$A110, tblBaiduUnits[cv_2021]) + SUMIF(tblByteDanceUnits[Products],$A110, tblByteDanceUnits[cv_2021]) + SUMIF(tblCloudAOUnits[Products],$A110, tblCloudAOUnits[cv_2021]) + SUMIF(tblTelecomUnits[Products],$A110, tblTelecomUnits[cv_2021]) + SUMIF(tblEnterpriseUnits[Products],$A110, tblEnterpriseUnits[cv_2021])</f>
        <v>0</v>
      </c>
      <c r="F110" s="8">
        <f xml:space="preserve"> SUMIF(tblGoogleUnits[Products],$A110, tblGoogleUnits[cv_2022]) + SUMIF(tblMetaUnits[Products],$A110, tblMetaUnits[cv_2022]) + SUMIF(tblAmazonUnits[Products],$A110, tblAmazonUnits[cv_2022]) + SUMIF(tblMicrosoftUnits[Products],$A110, tblMicrosoftUnits[cv_2022]) + SUMIF(tblAppleUnits[Products],$A110, tblAppleUnits[cv_2022]) + SUMIF(tblAlibabaUnits[Products],$A110, tblAlibabaUnits[cv_2022]) + SUMIF(tblHuaweiUnits[Products],$A110, tblHuaweiUnits[cv_2022]) + SUMIF(tblTencentUnits[Products],$A110, tblTencentUnits[cv_2022]) + SUMIF(tblBaiduUnits[Products],$A110, tblBaiduUnits[cv_2022]) + SUMIF(tblByteDanceUnits[Products],$A110, tblByteDanceUnits[cv_2022]) + SUMIF(tblCloudAOUnits[Products],$A110, tblCloudAOUnits[cv_2022]) + SUMIF(tblTelecomUnits[Products],$A110, tblTelecomUnits[cv_2022]) + SUMIF(tblEnterpriseUnits[Products],$A110, tblEnterpriseUnits[cv_2022])</f>
        <v>0</v>
      </c>
      <c r="G110" s="8">
        <f xml:space="preserve"> SUMIF(tblGoogleUnits[Products],$A110, tblGoogleUnits[cv_2023]) + SUMIF(tblMetaUnits[Products],$A110, tblMetaUnits[cv_2023]) + SUMIF(tblAmazonUnits[Products],$A110, tblAmazonUnits[cv_2023]) + SUMIF(tblMicrosoftUnits[Products],$A110, tblMicrosoftUnits[cv_2023]) + SUMIF(tblAppleUnits[Products],$A110, tblAppleUnits[cv_2023]) + SUMIF(tblAlibabaUnits[Products],$A110, tblAlibabaUnits[cv_2023]) + SUMIF(tblHuaweiUnits[Products],$A110, tblHuaweiUnits[cv_2023]) + SUMIF(tblTencentUnits[Products],$A110, tblTencentUnits[cv_2023]) + SUMIF(tblBaiduUnits[Products],$A110, tblBaiduUnits[cv_2023]) + SUMIF(tblByteDanceUnits[Products],$A110, tblByteDanceUnits[cv_2023]) + SUMIF(tblCloudAOUnits[Products],$A110, tblCloudAOUnits[cv_2023]) + SUMIF(tblTelecomUnits[Products],$A110, tblTelecomUnits[cv_2023]) + SUMIF(tblEnterpriseUnits[Products],$A110, tblEnterpriseUnits[cv_2023])</f>
        <v>0</v>
      </c>
      <c r="H110" s="8">
        <f xml:space="preserve"> SUMIF(tblGoogleUnits[Products],$A110, tblGoogleUnits[cv_2024]) + SUMIF(tblMetaUnits[Products],$A110, tblMetaUnits[cv_2024]) + SUMIF(tblAmazonUnits[Products],$A110, tblAmazonUnits[cv_2024]) + SUMIF(tblMicrosoftUnits[Products],$A110, tblMicrosoftUnits[cv_2024]) + SUMIF(tblAppleUnits[Products],$A110, tblAppleUnits[cv_2024]) + SUMIF(tblAlibabaUnits[Products],$A110, tblAlibabaUnits[cv_2024]) + SUMIF(tblHuaweiUnits[Products],$A110, tblHuaweiUnits[cv_2024]) + SUMIF(tblTencentUnits[Products],$A110, tblTencentUnits[cv_2024]) + SUMIF(tblBaiduUnits[Products],$A110, tblBaiduUnits[cv_2024]) + SUMIF(tblByteDanceUnits[Products],$A110, tblByteDanceUnits[cv_2024]) + SUMIF(tblCloudAOUnits[Products],$A110, tblCloudAOUnits[cv_2024]) + SUMIF(tblTelecomUnits[Products],$A110, tblTelecomUnits[cv_2024]) + SUMIF(tblEnterpriseUnits[Products],$A110, tblEnterpriseUnits[cv_2024])</f>
        <v>0</v>
      </c>
      <c r="I110" s="8">
        <f xml:space="preserve"> SUMIF(tblGoogleUnits[Products],$A110, tblGoogleUnits[cv_2025]) + SUMIF(tblMetaUnits[Products],$A110, tblMetaUnits[cv_2025]) + SUMIF(tblAmazonUnits[Products],$A110, tblAmazonUnits[cv_2025]) + SUMIF(tblMicrosoftUnits[Products],$A110, tblMicrosoftUnits[cv_2025]) + SUMIF(tblAppleUnits[Products],$A110, tblAppleUnits[cv_2025]) + SUMIF(tblAlibabaUnits[Products],$A110, tblAlibabaUnits[cv_2025]) + SUMIF(tblHuaweiUnits[Products],$A110, tblHuaweiUnits[cv_2025]) + SUMIF(tblTencentUnits[Products],$A110, tblTencentUnits[cv_2025]) + SUMIF(tblBaiduUnits[Products],$A110, tblBaiduUnits[cv_2025]) + SUMIF(tblByteDanceUnits[Products],$A110, tblByteDanceUnits[cv_2025]) + SUMIF(tblCloudAOUnits[Products],$A110, tblCloudAOUnits[cv_2025]) + SUMIF(tblTelecomUnits[Products],$A110, tblTelecomUnits[cv_2025]) + SUMIF(tblEnterpriseUnits[Products],$A110, tblEnterpriseUnits[cv_2025])</f>
        <v>0</v>
      </c>
      <c r="J110" s="8">
        <f xml:space="preserve"> SUMIF(tblGoogleUnits[Products],$A110, tblGoogleUnits[cv_2026]) + SUMIF(tblMetaUnits[Products],$A110, tblMetaUnits[cv_2026]) + SUMIF(tblAmazonUnits[Products],$A110, tblAmazonUnits[cv_2026]) + SUMIF(tblMicrosoftUnits[Products],$A110, tblMicrosoftUnits[cv_2026]) + SUMIF(tblAppleUnits[Products],$A110, tblAppleUnits[cv_2026]) + SUMIF(tblAlibabaUnits[Products],$A110, tblAlibabaUnits[cv_2026]) + SUMIF(tblHuaweiUnits[Products],$A110, tblHuaweiUnits[cv_2026]) + SUMIF(tblTencentUnits[Products],$A110, tblTencentUnits[cv_2026]) + SUMIF(tblBaiduUnits[Products],$A110, tblBaiduUnits[cv_2026]) + SUMIF(tblByteDanceUnits[Products],$A110, tblByteDanceUnits[cv_2026]) + SUMIF(tblCloudAOUnits[Products],$A110, tblCloudAOUnits[cv_2026]) + SUMIF(tblTelecomUnits[Products],$A110, tblTelecomUnits[cv_2026]) + SUMIF(tblEnterpriseUnits[Products],$A110, tblEnterpriseUnits[cv_2026])</f>
        <v>0</v>
      </c>
      <c r="K110" s="8">
        <f xml:space="preserve"> SUMIF(tblGoogleUnits[Products],$A110, tblGoogleUnits[cv_2027]) + SUMIF(tblMetaUnits[Products],$A110, tblMetaUnits[cv_2027]) + SUMIF(tblAmazonUnits[Products],$A110, tblAmazonUnits[cv_2027]) + SUMIF(tblMicrosoftUnits[Products],$A110, tblMicrosoftUnits[cv_2027]) + SUMIF(tblAppleUnits[Products],$A110, tblAppleUnits[cv_2027]) + SUMIF(tblAlibabaUnits[Products],$A110, tblAlibabaUnits[cv_2027]) + SUMIF(tblHuaweiUnits[Products],$A110, tblHuaweiUnits[cv_2027]) + SUMIF(tblTencentUnits[Products],$A110, tblTencentUnits[cv_2027]) + SUMIF(tblBaiduUnits[Products],$A110, tblBaiduUnits[cv_2027]) + SUMIF(tblByteDanceUnits[Products],$A110, tblByteDanceUnits[cv_2027]) + SUMIF(tblCloudAOUnits[Products],$A110, tblCloudAOUnits[cv_2027]) + SUMIF(tblTelecomUnits[Products],$A110, tblTelecomUnits[cv_2027]) + SUMIF(tblEnterpriseUnits[Products],$A110, tblEnterpriseUnits[cv_2027])</f>
        <v>0</v>
      </c>
      <c r="L110" s="8">
        <f xml:space="preserve"> SUMIF(tblGoogleUnits[Products],$A110, tblGoogleUnits[cv_2028]) + SUMIF(tblMetaUnits[Products],$A110, tblMetaUnits[cv_2028]) + SUMIF(tblAmazonUnits[Products],$A110, tblAmazonUnits[cv_2028]) + SUMIF(tblMicrosoftUnits[Products],$A110, tblMicrosoftUnits[cv_2028]) + SUMIF(tblAppleUnits[Products],$A110, tblAppleUnits[cv_2028]) + SUMIF(tblAlibabaUnits[Products],$A110, tblAlibabaUnits[cv_2028]) + SUMIF(tblHuaweiUnits[Products],$A110, tblHuaweiUnits[cv_2028]) + SUMIF(tblTencentUnits[Products],$A110, tblTencentUnits[cv_2028]) + SUMIF(tblBaiduUnits[Products],$A110, tblBaiduUnits[cv_2028]) + SUMIF(tblByteDanceUnits[Products],$A110, tblByteDanceUnits[cv_2028]) + SUMIF(tblCloudAOUnits[Products],$A110, tblCloudAOUnits[cv_2028]) + SUMIF(tblTelecomUnits[Products],$A110, tblTelecomUnits[cv_2028]) + SUMIF(tblEnterpriseUnits[Products],$A110, tblEnterpriseUnits[cv_2028])</f>
        <v>0</v>
      </c>
      <c r="M110" s="105" cm="1">
        <f t="array" ref="M110">INDEX(tblPrices[cv_2018], MATCH($A110,tblPrices[Products],0), 0)</f>
        <v>2642</v>
      </c>
      <c r="N110" s="105" cm="1">
        <f t="array" ref="N110">INDEX(tblPrices[cv_2019], MATCH($A110,tblPrices[Products],0), 0)</f>
        <v>2458.3333333333335</v>
      </c>
      <c r="O110" s="105" cm="1">
        <f t="array" ref="O110">INDEX(tblPrices[cv_2020], MATCH($A110,tblPrices[Products],0), 0)</f>
        <v>0</v>
      </c>
      <c r="P110" s="105" cm="1">
        <f t="array" ref="P110">INDEX(tblPrices[cv_2021], MATCH($A110,tblPrices[Products],0), 0)</f>
        <v>0</v>
      </c>
      <c r="Q110" s="105" cm="1">
        <f t="array" ref="Q110">INDEX(tblPrices[cv_2022], MATCH($A110,tblPrices[Products],0), 0)</f>
        <v>0</v>
      </c>
      <c r="R110" s="105" cm="1">
        <f t="array" ref="R110">INDEX(tblPrices[cv_2023], MATCH($A110,tblPrices[Products],0), 0)</f>
        <v>0</v>
      </c>
      <c r="S110" s="105" cm="1">
        <f t="array" ref="S110">INDEX(tblPrices[cv_2024], MATCH($A110,tblPrices[Products],0), 0)</f>
        <v>0</v>
      </c>
      <c r="T110" s="105" cm="1">
        <f t="array" ref="T110">INDEX(tblPrices[cv_2025], MATCH($A110,tblPrices[Products],0), 0)</f>
        <v>0</v>
      </c>
      <c r="U110" s="105" cm="1">
        <f t="array" ref="U110">INDEX(tblPrices[cv_2026], MATCH($A110,tblPrices[Products],0), 0)</f>
        <v>0</v>
      </c>
      <c r="V110" s="105" cm="1">
        <f t="array" ref="V110">INDEX(tblPrices[cv_2027], MATCH($A110,tblPrices[Products],0), 0)</f>
        <v>0</v>
      </c>
      <c r="W110" s="105" cm="1">
        <f t="array" ref="W110">INDEX(tblPrices[cv_2028], MATCH($A110,tblPrices[Products],0), 0)</f>
        <v>0</v>
      </c>
      <c r="X110" s="106" cm="1">
        <f t="array" ref="X110">INDEX(tblPrices[cv_2018], MATCH($A110,tblPrices[Products],0), 0)* tblForecast[[#This Row],[un_2018]]/10^6</f>
        <v>71.334000000000003</v>
      </c>
      <c r="Y110" s="106" cm="1">
        <f t="array" ref="Y110">INDEX(tblPrices[cv_2019], MATCH($A110,tblPrices[Products],0), 0)* tblForecast[[#This Row],[un_2019]]/10^6</f>
        <v>93.416666666666671</v>
      </c>
      <c r="Z110" s="106" cm="1">
        <f t="array" ref="Z110">INDEX(tblPrices[cv_2020], MATCH($A110,tblPrices[Products],0), 0)* tblForecast[[#This Row],[un_2020]]/10^6</f>
        <v>0</v>
      </c>
      <c r="AA110" s="106" cm="1">
        <f t="array" ref="AA110">INDEX(tblPrices[cv_2021], MATCH($A110,tblPrices[Products],0), 0)* tblForecast[[#This Row],[un_2021]]/10^6</f>
        <v>0</v>
      </c>
      <c r="AB110" s="106" cm="1">
        <f t="array" ref="AB110">INDEX(tblPrices[cv_2022], MATCH($A110,tblPrices[Products],0), 0)* tblForecast[[#This Row],[un_2022]]/10^6</f>
        <v>0</v>
      </c>
      <c r="AC110" s="106" cm="1">
        <f t="array" ref="AC110">INDEX(tblPrices[cv_2023], MATCH($A110,tblPrices[Products],0), 0)* tblForecast[[#This Row],[un_2023]]/10^6</f>
        <v>0</v>
      </c>
      <c r="AD110" s="106" cm="1">
        <f t="array" ref="AD110">INDEX(tblPrices[cv_2024], MATCH($A110,tblPrices[Products],0), 0)* tblForecast[[#This Row],[un_2024]]/10^6</f>
        <v>0</v>
      </c>
      <c r="AE110" s="106" cm="1">
        <f t="array" ref="AE110">INDEX(tblPrices[cv_2025], MATCH($A110,tblPrices[Products],0), 0)* tblForecast[[#This Row],[un_2025]]/10^6</f>
        <v>0</v>
      </c>
      <c r="AF110" s="106" cm="1">
        <f t="array" ref="AF110">INDEX(tblPrices[cv_2026], MATCH($A110,tblPrices[Products],0), 0)* tblForecast[[#This Row],[un_2026]]/10^6</f>
        <v>0</v>
      </c>
      <c r="AG110" s="106" cm="1">
        <f t="array" ref="AG110">INDEX(tblPrices[cv_2027], MATCH($A110,tblPrices[Products],0), 0)* tblForecast[[#This Row],[un_2027]]/10^6</f>
        <v>0</v>
      </c>
      <c r="AH110" s="106" cm="1">
        <f t="array" ref="AH110">INDEX(tblPrices[cv_2028], MATCH($A110,tblPrices[Products],0), 0)* tblForecast[[#This Row],[un_2028]]/10^6</f>
        <v>0</v>
      </c>
      <c r="AI110" s="60">
        <f>VLOOKUP(A110,Products!$A$11:$F$110,6,FALSE)</f>
        <v>100</v>
      </c>
    </row>
    <row r="111" spans="1:35">
      <c r="A111" s="12" t="s">
        <v>25</v>
      </c>
      <c r="B111" s="8">
        <f xml:space="preserve"> SUMIF(tblGoogleUnits[Products],$A111, tblGoogleUnits[cv_2018]) + SUMIF(tblMetaUnits[Products],$A111, tblMetaUnits[cv_2018]) + SUMIF(tblAmazonUnits[Products],$A111, tblAmazonUnits[cv_2018]) + SUMIF(tblMicrosoftUnits[Products],$A111, tblMicrosoftUnits[cv_2018]) + SUMIF(tblAppleUnits[Products],$A111, tblAppleUnits[cv_2018]) + SUMIF(tblAlibabaUnits[Products],$A111, tblAlibabaUnits[cv_2018]) + SUMIF(tblHuaweiUnits[Products],$A111, tblHuaweiUnits[cv_2018]) + SUMIF(tblTencentUnits[Products],$A111, tblTencentUnits[cv_2018]) + SUMIF(tblBaiduUnits[Products],$A111, tblBaiduUnits[cv_2018]) + SUMIF(tblByteDanceUnits[Products],$A111, tblByteDanceUnits[cv_2018]) + SUMIF(tblCloudAOUnits[Products],$A111, tblCloudAOUnits[cv_2018]) + SUMIF(tblTelecomUnits[Products],$A111, tblTelecomUnits[cv_2018]) + SUMIF(tblEnterpriseUnits[Products],$A111, tblEnterpriseUnits[cv_2018])</f>
        <v>39955</v>
      </c>
      <c r="C111" s="8">
        <f xml:space="preserve"> SUMIF(tblGoogleUnits[Products],$A111, tblGoogleUnits[cv_2019]) + SUMIF(tblMetaUnits[Products],$A111, tblMetaUnits[cv_2019]) + SUMIF(tblAmazonUnits[Products],$A111, tblAmazonUnits[cv_2019]) + SUMIF(tblMicrosoftUnits[Products],$A111, tblMicrosoftUnits[cv_2019]) + SUMIF(tblAppleUnits[Products],$A111, tblAppleUnits[cv_2019]) + SUMIF(tblAlibabaUnits[Products],$A111, tblAlibabaUnits[cv_2019]) + SUMIF(tblHuaweiUnits[Products],$A111, tblHuaweiUnits[cv_2019]) + SUMIF(tblTencentUnits[Products],$A111, tblTencentUnits[cv_2019]) + SUMIF(tblBaiduUnits[Products],$A111, tblBaiduUnits[cv_2019]) + SUMIF(tblByteDanceUnits[Products],$A111, tblByteDanceUnits[cv_2019]) + SUMIF(tblCloudAOUnits[Products],$A111, tblCloudAOUnits[cv_2019]) + SUMIF(tblTelecomUnits[Products],$A111, tblTelecomUnits[cv_2019]) + SUMIF(tblEnterpriseUnits[Products],$A111, tblEnterpriseUnits[cv_2019])</f>
        <v>77155.600000000006</v>
      </c>
      <c r="D111" s="8">
        <f xml:space="preserve"> SUMIF(tblGoogleUnits[Products],$A111, tblGoogleUnits[cv_2020]) + SUMIF(tblMetaUnits[Products],$A111, tblMetaUnits[cv_2020]) + SUMIF(tblAmazonUnits[Products],$A111, tblAmazonUnits[cv_2020]) + SUMIF(tblMicrosoftUnits[Products],$A111, tblMicrosoftUnits[cv_2020]) + SUMIF(tblAppleUnits[Products],$A111, tblAppleUnits[cv_2020]) + SUMIF(tblAlibabaUnits[Products],$A111, tblAlibabaUnits[cv_2020]) + SUMIF(tblHuaweiUnits[Products],$A111, tblHuaweiUnits[cv_2020]) + SUMIF(tblTencentUnits[Products],$A111, tblTencentUnits[cv_2020]) + SUMIF(tblBaiduUnits[Products],$A111, tblBaiduUnits[cv_2020]) + SUMIF(tblByteDanceUnits[Products],$A111, tblByteDanceUnits[cv_2020]) + SUMIF(tblCloudAOUnits[Products],$A111, tblCloudAOUnits[cv_2020]) + SUMIF(tblTelecomUnits[Products],$A111, tblTelecomUnits[cv_2020]) + SUMIF(tblEnterpriseUnits[Products],$A111, tblEnterpriseUnits[cv_2020])</f>
        <v>0</v>
      </c>
      <c r="E111" s="8">
        <f xml:space="preserve"> SUMIF(tblGoogleUnits[Products],$A111, tblGoogleUnits[cv_2021]) + SUMIF(tblMetaUnits[Products],$A111, tblMetaUnits[cv_2021]) + SUMIF(tblAmazonUnits[Products],$A111, tblAmazonUnits[cv_2021]) + SUMIF(tblMicrosoftUnits[Products],$A111, tblMicrosoftUnits[cv_2021]) + SUMIF(tblAppleUnits[Products],$A111, tblAppleUnits[cv_2021]) + SUMIF(tblAlibabaUnits[Products],$A111, tblAlibabaUnits[cv_2021]) + SUMIF(tblHuaweiUnits[Products],$A111, tblHuaweiUnits[cv_2021]) + SUMIF(tblTencentUnits[Products],$A111, tblTencentUnits[cv_2021]) + SUMIF(tblBaiduUnits[Products],$A111, tblBaiduUnits[cv_2021]) + SUMIF(tblByteDanceUnits[Products],$A111, tblByteDanceUnits[cv_2021]) + SUMIF(tblCloudAOUnits[Products],$A111, tblCloudAOUnits[cv_2021]) + SUMIF(tblTelecomUnits[Products],$A111, tblTelecomUnits[cv_2021]) + SUMIF(tblEnterpriseUnits[Products],$A111, tblEnterpriseUnits[cv_2021])</f>
        <v>0</v>
      </c>
      <c r="F111" s="8">
        <f xml:space="preserve"> SUMIF(tblGoogleUnits[Products],$A111, tblGoogleUnits[cv_2022]) + SUMIF(tblMetaUnits[Products],$A111, tblMetaUnits[cv_2022]) + SUMIF(tblAmazonUnits[Products],$A111, tblAmazonUnits[cv_2022]) + SUMIF(tblMicrosoftUnits[Products],$A111, tblMicrosoftUnits[cv_2022]) + SUMIF(tblAppleUnits[Products],$A111, tblAppleUnits[cv_2022]) + SUMIF(tblAlibabaUnits[Products],$A111, tblAlibabaUnits[cv_2022]) + SUMIF(tblHuaweiUnits[Products],$A111, tblHuaweiUnits[cv_2022]) + SUMIF(tblTencentUnits[Products],$A111, tblTencentUnits[cv_2022]) + SUMIF(tblBaiduUnits[Products],$A111, tblBaiduUnits[cv_2022]) + SUMIF(tblByteDanceUnits[Products],$A111, tblByteDanceUnits[cv_2022]) + SUMIF(tblCloudAOUnits[Products],$A111, tblCloudAOUnits[cv_2022]) + SUMIF(tblTelecomUnits[Products],$A111, tblTelecomUnits[cv_2022]) + SUMIF(tblEnterpriseUnits[Products],$A111, tblEnterpriseUnits[cv_2022])</f>
        <v>0</v>
      </c>
      <c r="G111" s="8">
        <f xml:space="preserve"> SUMIF(tblGoogleUnits[Products],$A111, tblGoogleUnits[cv_2023]) + SUMIF(tblMetaUnits[Products],$A111, tblMetaUnits[cv_2023]) + SUMIF(tblAmazonUnits[Products],$A111, tblAmazonUnits[cv_2023]) + SUMIF(tblMicrosoftUnits[Products],$A111, tblMicrosoftUnits[cv_2023]) + SUMIF(tblAppleUnits[Products],$A111, tblAppleUnits[cv_2023]) + SUMIF(tblAlibabaUnits[Products],$A111, tblAlibabaUnits[cv_2023]) + SUMIF(tblHuaweiUnits[Products],$A111, tblHuaweiUnits[cv_2023]) + SUMIF(tblTencentUnits[Products],$A111, tblTencentUnits[cv_2023]) + SUMIF(tblBaiduUnits[Products],$A111, tblBaiduUnits[cv_2023]) + SUMIF(tblByteDanceUnits[Products],$A111, tblByteDanceUnits[cv_2023]) + SUMIF(tblCloudAOUnits[Products],$A111, tblCloudAOUnits[cv_2023]) + SUMIF(tblTelecomUnits[Products],$A111, tblTelecomUnits[cv_2023]) + SUMIF(tblEnterpriseUnits[Products],$A111, tblEnterpriseUnits[cv_2023])</f>
        <v>0</v>
      </c>
      <c r="H111" s="8">
        <f xml:space="preserve"> SUMIF(tblGoogleUnits[Products],$A111, tblGoogleUnits[cv_2024]) + SUMIF(tblMetaUnits[Products],$A111, tblMetaUnits[cv_2024]) + SUMIF(tblAmazonUnits[Products],$A111, tblAmazonUnits[cv_2024]) + SUMIF(tblMicrosoftUnits[Products],$A111, tblMicrosoftUnits[cv_2024]) + SUMIF(tblAppleUnits[Products],$A111, tblAppleUnits[cv_2024]) + SUMIF(tblAlibabaUnits[Products],$A111, tblAlibabaUnits[cv_2024]) + SUMIF(tblHuaweiUnits[Products],$A111, tblHuaweiUnits[cv_2024]) + SUMIF(tblTencentUnits[Products],$A111, tblTencentUnits[cv_2024]) + SUMIF(tblBaiduUnits[Products],$A111, tblBaiduUnits[cv_2024]) + SUMIF(tblByteDanceUnits[Products],$A111, tblByteDanceUnits[cv_2024]) + SUMIF(tblCloudAOUnits[Products],$A111, tblCloudAOUnits[cv_2024]) + SUMIF(tblTelecomUnits[Products],$A111, tblTelecomUnits[cv_2024]) + SUMIF(tblEnterpriseUnits[Products],$A111, tblEnterpriseUnits[cv_2024])</f>
        <v>0</v>
      </c>
      <c r="I111" s="8">
        <f xml:space="preserve"> SUMIF(tblGoogleUnits[Products],$A111, tblGoogleUnits[cv_2025]) + SUMIF(tblMetaUnits[Products],$A111, tblMetaUnits[cv_2025]) + SUMIF(tblAmazonUnits[Products],$A111, tblAmazonUnits[cv_2025]) + SUMIF(tblMicrosoftUnits[Products],$A111, tblMicrosoftUnits[cv_2025]) + SUMIF(tblAppleUnits[Products],$A111, tblAppleUnits[cv_2025]) + SUMIF(tblAlibabaUnits[Products],$A111, tblAlibabaUnits[cv_2025]) + SUMIF(tblHuaweiUnits[Products],$A111, tblHuaweiUnits[cv_2025]) + SUMIF(tblTencentUnits[Products],$A111, tblTencentUnits[cv_2025]) + SUMIF(tblBaiduUnits[Products],$A111, tblBaiduUnits[cv_2025]) + SUMIF(tblByteDanceUnits[Products],$A111, tblByteDanceUnits[cv_2025]) + SUMIF(tblCloudAOUnits[Products],$A111, tblCloudAOUnits[cv_2025]) + SUMIF(tblTelecomUnits[Products],$A111, tblTelecomUnits[cv_2025]) + SUMIF(tblEnterpriseUnits[Products],$A111, tblEnterpriseUnits[cv_2025])</f>
        <v>0</v>
      </c>
      <c r="J111" s="8">
        <f xml:space="preserve"> SUMIF(tblGoogleUnits[Products],$A111, tblGoogleUnits[cv_2026]) + SUMIF(tblMetaUnits[Products],$A111, tblMetaUnits[cv_2026]) + SUMIF(tblAmazonUnits[Products],$A111, tblAmazonUnits[cv_2026]) + SUMIF(tblMicrosoftUnits[Products],$A111, tblMicrosoftUnits[cv_2026]) + SUMIF(tblAppleUnits[Products],$A111, tblAppleUnits[cv_2026]) + SUMIF(tblAlibabaUnits[Products],$A111, tblAlibabaUnits[cv_2026]) + SUMIF(tblHuaweiUnits[Products],$A111, tblHuaweiUnits[cv_2026]) + SUMIF(tblTencentUnits[Products],$A111, tblTencentUnits[cv_2026]) + SUMIF(tblBaiduUnits[Products],$A111, tblBaiduUnits[cv_2026]) + SUMIF(tblByteDanceUnits[Products],$A111, tblByteDanceUnits[cv_2026]) + SUMIF(tblCloudAOUnits[Products],$A111, tblCloudAOUnits[cv_2026]) + SUMIF(tblTelecomUnits[Products],$A111, tblTelecomUnits[cv_2026]) + SUMIF(tblEnterpriseUnits[Products],$A111, tblEnterpriseUnits[cv_2026])</f>
        <v>0</v>
      </c>
      <c r="K111" s="8">
        <f xml:space="preserve"> SUMIF(tblGoogleUnits[Products],$A111, tblGoogleUnits[cv_2027]) + SUMIF(tblMetaUnits[Products],$A111, tblMetaUnits[cv_2027]) + SUMIF(tblAmazonUnits[Products],$A111, tblAmazonUnits[cv_2027]) + SUMIF(tblMicrosoftUnits[Products],$A111, tblMicrosoftUnits[cv_2027]) + SUMIF(tblAppleUnits[Products],$A111, tblAppleUnits[cv_2027]) + SUMIF(tblAlibabaUnits[Products],$A111, tblAlibabaUnits[cv_2027]) + SUMIF(tblHuaweiUnits[Products],$A111, tblHuaweiUnits[cv_2027]) + SUMIF(tblTencentUnits[Products],$A111, tblTencentUnits[cv_2027]) + SUMIF(tblBaiduUnits[Products],$A111, tblBaiduUnits[cv_2027]) + SUMIF(tblByteDanceUnits[Products],$A111, tblByteDanceUnits[cv_2027]) + SUMIF(tblCloudAOUnits[Products],$A111, tblCloudAOUnits[cv_2027]) + SUMIF(tblTelecomUnits[Products],$A111, tblTelecomUnits[cv_2027]) + SUMIF(tblEnterpriseUnits[Products],$A111, tblEnterpriseUnits[cv_2027])</f>
        <v>0</v>
      </c>
      <c r="L111" s="8">
        <f xml:space="preserve"> SUMIF(tblGoogleUnits[Products],$A111, tblGoogleUnits[cv_2028]) + SUMIF(tblMetaUnits[Products],$A111, tblMetaUnits[cv_2028]) + SUMIF(tblAmazonUnits[Products],$A111, tblAmazonUnits[cv_2028]) + SUMIF(tblMicrosoftUnits[Products],$A111, tblMicrosoftUnits[cv_2028]) + SUMIF(tblAppleUnits[Products],$A111, tblAppleUnits[cv_2028]) + SUMIF(tblAlibabaUnits[Products],$A111, tblAlibabaUnits[cv_2028]) + SUMIF(tblHuaweiUnits[Products],$A111, tblHuaweiUnits[cv_2028]) + SUMIF(tblTencentUnits[Products],$A111, tblTencentUnits[cv_2028]) + SUMIF(tblBaiduUnits[Products],$A111, tblBaiduUnits[cv_2028]) + SUMIF(tblByteDanceUnits[Products],$A111, tblByteDanceUnits[cv_2028]) + SUMIF(tblCloudAOUnits[Products],$A111, tblCloudAOUnits[cv_2028]) + SUMIF(tblTelecomUnits[Products],$A111, tblTelecomUnits[cv_2028]) + SUMIF(tblEnterpriseUnits[Products],$A111, tblEnterpriseUnits[cv_2028])</f>
        <v>0</v>
      </c>
      <c r="M111" s="105" cm="1">
        <f t="array" ref="M111">INDEX(tblPrices[cv_2018], MATCH($A111,tblPrices[Products],0), 0)</f>
        <v>5500</v>
      </c>
      <c r="N111" s="105" cm="1">
        <f t="array" ref="N111">INDEX(tblPrices[cv_2019], MATCH($A111,tblPrices[Products],0), 0)</f>
        <v>4400</v>
      </c>
      <c r="O111" s="105" cm="1">
        <f t="array" ref="O111">INDEX(tblPrices[cv_2020], MATCH($A111,tblPrices[Products],0), 0)</f>
        <v>0</v>
      </c>
      <c r="P111" s="105" cm="1">
        <f t="array" ref="P111">INDEX(tblPrices[cv_2021], MATCH($A111,tblPrices[Products],0), 0)</f>
        <v>0</v>
      </c>
      <c r="Q111" s="105" cm="1">
        <f t="array" ref="Q111">INDEX(tblPrices[cv_2022], MATCH($A111,tblPrices[Products],0), 0)</f>
        <v>0</v>
      </c>
      <c r="R111" s="105" cm="1">
        <f t="array" ref="R111">INDEX(tblPrices[cv_2023], MATCH($A111,tblPrices[Products],0), 0)</f>
        <v>0</v>
      </c>
      <c r="S111" s="105" cm="1">
        <f t="array" ref="S111">INDEX(tblPrices[cv_2024], MATCH($A111,tblPrices[Products],0), 0)</f>
        <v>0</v>
      </c>
      <c r="T111" s="105" cm="1">
        <f t="array" ref="T111">INDEX(tblPrices[cv_2025], MATCH($A111,tblPrices[Products],0), 0)</f>
        <v>0</v>
      </c>
      <c r="U111" s="105" cm="1">
        <f t="array" ref="U111">INDEX(tblPrices[cv_2026], MATCH($A111,tblPrices[Products],0), 0)</f>
        <v>0</v>
      </c>
      <c r="V111" s="105" cm="1">
        <f t="array" ref="V111">INDEX(tblPrices[cv_2027], MATCH($A111,tblPrices[Products],0), 0)</f>
        <v>0</v>
      </c>
      <c r="W111" s="105" cm="1">
        <f t="array" ref="W111">INDEX(tblPrices[cv_2028], MATCH($A111,tblPrices[Products],0), 0)</f>
        <v>0</v>
      </c>
      <c r="X111" s="106" cm="1">
        <f t="array" ref="X111">INDEX(tblPrices[cv_2018], MATCH($A111,tblPrices[Products],0), 0)* tblForecast[[#This Row],[un_2018]]/10^6</f>
        <v>219.7525</v>
      </c>
      <c r="Y111" s="106" cm="1">
        <f t="array" ref="Y111">INDEX(tblPrices[cv_2019], MATCH($A111,tblPrices[Products],0), 0)* tblForecast[[#This Row],[un_2019]]/10^6</f>
        <v>339.48464000000001</v>
      </c>
      <c r="Z111" s="106" cm="1">
        <f t="array" ref="Z111">INDEX(tblPrices[cv_2020], MATCH($A111,tblPrices[Products],0), 0)* tblForecast[[#This Row],[un_2020]]/10^6</f>
        <v>0</v>
      </c>
      <c r="AA111" s="106" cm="1">
        <f t="array" ref="AA111">INDEX(tblPrices[cv_2021], MATCH($A111,tblPrices[Products],0), 0)* tblForecast[[#This Row],[un_2021]]/10^6</f>
        <v>0</v>
      </c>
      <c r="AB111" s="106" cm="1">
        <f t="array" ref="AB111">INDEX(tblPrices[cv_2022], MATCH($A111,tblPrices[Products],0), 0)* tblForecast[[#This Row],[un_2022]]/10^6</f>
        <v>0</v>
      </c>
      <c r="AC111" s="106" cm="1">
        <f t="array" ref="AC111">INDEX(tblPrices[cv_2023], MATCH($A111,tblPrices[Products],0), 0)* tblForecast[[#This Row],[un_2023]]/10^6</f>
        <v>0</v>
      </c>
      <c r="AD111" s="106" cm="1">
        <f t="array" ref="AD111">INDEX(tblPrices[cv_2024], MATCH($A111,tblPrices[Products],0), 0)* tblForecast[[#This Row],[un_2024]]/10^6</f>
        <v>0</v>
      </c>
      <c r="AE111" s="106" cm="1">
        <f t="array" ref="AE111">INDEX(tblPrices[cv_2025], MATCH($A111,tblPrices[Products],0), 0)* tblForecast[[#This Row],[un_2025]]/10^6</f>
        <v>0</v>
      </c>
      <c r="AF111" s="106" cm="1">
        <f t="array" ref="AF111">INDEX(tblPrices[cv_2026], MATCH($A111,tblPrices[Products],0), 0)* tblForecast[[#This Row],[un_2026]]/10^6</f>
        <v>0</v>
      </c>
      <c r="AG111" s="106" cm="1">
        <f t="array" ref="AG111">INDEX(tblPrices[cv_2027], MATCH($A111,tblPrices[Products],0), 0)* tblForecast[[#This Row],[un_2027]]/10^6</f>
        <v>0</v>
      </c>
      <c r="AH111" s="106" cm="1">
        <f t="array" ref="AH111">INDEX(tblPrices[cv_2028], MATCH($A111,tblPrices[Products],0), 0)* tblForecast[[#This Row],[un_2028]]/10^6</f>
        <v>0</v>
      </c>
      <c r="AI111" s="60">
        <f>VLOOKUP(A111,Products!$A$11:$F$110,6,FALSE)</f>
        <v>100</v>
      </c>
    </row>
    <row r="112" spans="1:35">
      <c r="A112" s="12" t="s">
        <v>26</v>
      </c>
      <c r="B112" s="8">
        <f xml:space="preserve"> SUMIF(tblGoogleUnits[Products],$A112, tblGoogleUnits[cv_2018]) + SUMIF(tblMetaUnits[Products],$A112, tblMetaUnits[cv_2018]) + SUMIF(tblAmazonUnits[Products],$A112, tblAmazonUnits[cv_2018]) + SUMIF(tblMicrosoftUnits[Products],$A112, tblMicrosoftUnits[cv_2018]) + SUMIF(tblAppleUnits[Products],$A112, tblAppleUnits[cv_2018]) + SUMIF(tblAlibabaUnits[Products],$A112, tblAlibabaUnits[cv_2018]) + SUMIF(tblHuaweiUnits[Products],$A112, tblHuaweiUnits[cv_2018]) + SUMIF(tblTencentUnits[Products],$A112, tblTencentUnits[cv_2018]) + SUMIF(tblBaiduUnits[Products],$A112, tblBaiduUnits[cv_2018]) + SUMIF(tblByteDanceUnits[Products],$A112, tblByteDanceUnits[cv_2018]) + SUMIF(tblCloudAOUnits[Products],$A112, tblCloudAOUnits[cv_2018]) + SUMIF(tblTelecomUnits[Products],$A112, tblTelecomUnits[cv_2018]) + SUMIF(tblEnterpriseUnits[Products],$A112, tblEnterpriseUnits[cv_2018])</f>
        <v>0</v>
      </c>
      <c r="C112" s="8">
        <f xml:space="preserve"> SUMIF(tblGoogleUnits[Products],$A112, tblGoogleUnits[cv_2019]) + SUMIF(tblMetaUnits[Products],$A112, tblMetaUnits[cv_2019]) + SUMIF(tblAmazonUnits[Products],$A112, tblAmazonUnits[cv_2019]) + SUMIF(tblMicrosoftUnits[Products],$A112, tblMicrosoftUnits[cv_2019]) + SUMIF(tblAppleUnits[Products],$A112, tblAppleUnits[cv_2019]) + SUMIF(tblAlibabaUnits[Products],$A112, tblAlibabaUnits[cv_2019]) + SUMIF(tblHuaweiUnits[Products],$A112, tblHuaweiUnits[cv_2019]) + SUMIF(tblTencentUnits[Products],$A112, tblTencentUnits[cv_2019]) + SUMIF(tblBaiduUnits[Products],$A112, tblBaiduUnits[cv_2019]) + SUMIF(tblByteDanceUnits[Products],$A112, tblByteDanceUnits[cv_2019]) + SUMIF(tblCloudAOUnits[Products],$A112, tblCloudAOUnits[cv_2019]) + SUMIF(tblTelecomUnits[Products],$A112, tblTelecomUnits[cv_2019]) + SUMIF(tblEnterpriseUnits[Products],$A112, tblEnterpriseUnits[cv_2019])</f>
        <v>0</v>
      </c>
      <c r="D112" s="8">
        <f xml:space="preserve"> SUMIF(tblGoogleUnits[Products],$A112, tblGoogleUnits[cv_2020]) + SUMIF(tblMetaUnits[Products],$A112, tblMetaUnits[cv_2020]) + SUMIF(tblAmazonUnits[Products],$A112, tblAmazonUnits[cv_2020]) + SUMIF(tblMicrosoftUnits[Products],$A112, tblMicrosoftUnits[cv_2020]) + SUMIF(tblAppleUnits[Products],$A112, tblAppleUnits[cv_2020]) + SUMIF(tblAlibabaUnits[Products],$A112, tblAlibabaUnits[cv_2020]) + SUMIF(tblHuaweiUnits[Products],$A112, tblHuaweiUnits[cv_2020]) + SUMIF(tblTencentUnits[Products],$A112, tblTencentUnits[cv_2020]) + SUMIF(tblBaiduUnits[Products],$A112, tblBaiduUnits[cv_2020]) + SUMIF(tblByteDanceUnits[Products],$A112, tblByteDanceUnits[cv_2020]) + SUMIF(tblCloudAOUnits[Products],$A112, tblCloudAOUnits[cv_2020]) + SUMIF(tblTelecomUnits[Products],$A112, tblTelecomUnits[cv_2020]) + SUMIF(tblEnterpriseUnits[Products],$A112, tblEnterpriseUnits[cv_2020])</f>
        <v>0</v>
      </c>
      <c r="E112" s="8">
        <f xml:space="preserve"> SUMIF(tblGoogleUnits[Products],$A112, tblGoogleUnits[cv_2021]) + SUMIF(tblMetaUnits[Products],$A112, tblMetaUnits[cv_2021]) + SUMIF(tblAmazonUnits[Products],$A112, tblAmazonUnits[cv_2021]) + SUMIF(tblMicrosoftUnits[Products],$A112, tblMicrosoftUnits[cv_2021]) + SUMIF(tblAppleUnits[Products],$A112, tblAppleUnits[cv_2021]) + SUMIF(tblAlibabaUnits[Products],$A112, tblAlibabaUnits[cv_2021]) + SUMIF(tblHuaweiUnits[Products],$A112, tblHuaweiUnits[cv_2021]) + SUMIF(tblTencentUnits[Products],$A112, tblTencentUnits[cv_2021]) + SUMIF(tblBaiduUnits[Products],$A112, tblBaiduUnits[cv_2021]) + SUMIF(tblByteDanceUnits[Products],$A112, tblByteDanceUnits[cv_2021]) + SUMIF(tblCloudAOUnits[Products],$A112, tblCloudAOUnits[cv_2021]) + SUMIF(tblTelecomUnits[Products],$A112, tblTelecomUnits[cv_2021]) + SUMIF(tblEnterpriseUnits[Products],$A112, tblEnterpriseUnits[cv_2021])</f>
        <v>0</v>
      </c>
      <c r="F112" s="8">
        <f xml:space="preserve"> SUMIF(tblGoogleUnits[Products],$A112, tblGoogleUnits[cv_2022]) + SUMIF(tblMetaUnits[Products],$A112, tblMetaUnits[cv_2022]) + SUMIF(tblAmazonUnits[Products],$A112, tblAmazonUnits[cv_2022]) + SUMIF(tblMicrosoftUnits[Products],$A112, tblMicrosoftUnits[cv_2022]) + SUMIF(tblAppleUnits[Products],$A112, tblAppleUnits[cv_2022]) + SUMIF(tblAlibabaUnits[Products],$A112, tblAlibabaUnits[cv_2022]) + SUMIF(tblHuaweiUnits[Products],$A112, tblHuaweiUnits[cv_2022]) + SUMIF(tblTencentUnits[Products],$A112, tblTencentUnits[cv_2022]) + SUMIF(tblBaiduUnits[Products],$A112, tblBaiduUnits[cv_2022]) + SUMIF(tblByteDanceUnits[Products],$A112, tblByteDanceUnits[cv_2022]) + SUMIF(tblCloudAOUnits[Products],$A112, tblCloudAOUnits[cv_2022]) + SUMIF(tblTelecomUnits[Products],$A112, tblTelecomUnits[cv_2022]) + SUMIF(tblEnterpriseUnits[Products],$A112, tblEnterpriseUnits[cv_2022])</f>
        <v>0</v>
      </c>
      <c r="G112" s="8">
        <f xml:space="preserve"> SUMIF(tblGoogleUnits[Products],$A112, tblGoogleUnits[cv_2023]) + SUMIF(tblMetaUnits[Products],$A112, tblMetaUnits[cv_2023]) + SUMIF(tblAmazonUnits[Products],$A112, tblAmazonUnits[cv_2023]) + SUMIF(tblMicrosoftUnits[Products],$A112, tblMicrosoftUnits[cv_2023]) + SUMIF(tblAppleUnits[Products],$A112, tblAppleUnits[cv_2023]) + SUMIF(tblAlibabaUnits[Products],$A112, tblAlibabaUnits[cv_2023]) + SUMIF(tblHuaweiUnits[Products],$A112, tblHuaweiUnits[cv_2023]) + SUMIF(tblTencentUnits[Products],$A112, tblTencentUnits[cv_2023]) + SUMIF(tblBaiduUnits[Products],$A112, tblBaiduUnits[cv_2023]) + SUMIF(tblByteDanceUnits[Products],$A112, tblByteDanceUnits[cv_2023]) + SUMIF(tblCloudAOUnits[Products],$A112, tblCloudAOUnits[cv_2023]) + SUMIF(tblTelecomUnits[Products],$A112, tblTelecomUnits[cv_2023]) + SUMIF(tblEnterpriseUnits[Products],$A112, tblEnterpriseUnits[cv_2023])</f>
        <v>0</v>
      </c>
      <c r="H112" s="8">
        <f xml:space="preserve"> SUMIF(tblGoogleUnits[Products],$A112, tblGoogleUnits[cv_2024]) + SUMIF(tblMetaUnits[Products],$A112, tblMetaUnits[cv_2024]) + SUMIF(tblAmazonUnits[Products],$A112, tblAmazonUnits[cv_2024]) + SUMIF(tblMicrosoftUnits[Products],$A112, tblMicrosoftUnits[cv_2024]) + SUMIF(tblAppleUnits[Products],$A112, tblAppleUnits[cv_2024]) + SUMIF(tblAlibabaUnits[Products],$A112, tblAlibabaUnits[cv_2024]) + SUMIF(tblHuaweiUnits[Products],$A112, tblHuaweiUnits[cv_2024]) + SUMIF(tblTencentUnits[Products],$A112, tblTencentUnits[cv_2024]) + SUMIF(tblBaiduUnits[Products],$A112, tblBaiduUnits[cv_2024]) + SUMIF(tblByteDanceUnits[Products],$A112, tblByteDanceUnits[cv_2024]) + SUMIF(tblCloudAOUnits[Products],$A112, tblCloudAOUnits[cv_2024]) + SUMIF(tblTelecomUnits[Products],$A112, tblTelecomUnits[cv_2024]) + SUMIF(tblEnterpriseUnits[Products],$A112, tblEnterpriseUnits[cv_2024])</f>
        <v>0</v>
      </c>
      <c r="I112" s="8">
        <f xml:space="preserve"> SUMIF(tblGoogleUnits[Products],$A112, tblGoogleUnits[cv_2025]) + SUMIF(tblMetaUnits[Products],$A112, tblMetaUnits[cv_2025]) + SUMIF(tblAmazonUnits[Products],$A112, tblAmazonUnits[cv_2025]) + SUMIF(tblMicrosoftUnits[Products],$A112, tblMicrosoftUnits[cv_2025]) + SUMIF(tblAppleUnits[Products],$A112, tblAppleUnits[cv_2025]) + SUMIF(tblAlibabaUnits[Products],$A112, tblAlibabaUnits[cv_2025]) + SUMIF(tblHuaweiUnits[Products],$A112, tblHuaweiUnits[cv_2025]) + SUMIF(tblTencentUnits[Products],$A112, tblTencentUnits[cv_2025]) + SUMIF(tblBaiduUnits[Products],$A112, tblBaiduUnits[cv_2025]) + SUMIF(tblByteDanceUnits[Products],$A112, tblByteDanceUnits[cv_2025]) + SUMIF(tblCloudAOUnits[Products],$A112, tblCloudAOUnits[cv_2025]) + SUMIF(tblTelecomUnits[Products],$A112, tblTelecomUnits[cv_2025]) + SUMIF(tblEnterpriseUnits[Products],$A112, tblEnterpriseUnits[cv_2025])</f>
        <v>0</v>
      </c>
      <c r="J112" s="8">
        <f xml:space="preserve"> SUMIF(tblGoogleUnits[Products],$A112, tblGoogleUnits[cv_2026]) + SUMIF(tblMetaUnits[Products],$A112, tblMetaUnits[cv_2026]) + SUMIF(tblAmazonUnits[Products],$A112, tblAmazonUnits[cv_2026]) + SUMIF(tblMicrosoftUnits[Products],$A112, tblMicrosoftUnits[cv_2026]) + SUMIF(tblAppleUnits[Products],$A112, tblAppleUnits[cv_2026]) + SUMIF(tblAlibabaUnits[Products],$A112, tblAlibabaUnits[cv_2026]) + SUMIF(tblHuaweiUnits[Products],$A112, tblHuaweiUnits[cv_2026]) + SUMIF(tblTencentUnits[Products],$A112, tblTencentUnits[cv_2026]) + SUMIF(tblBaiduUnits[Products],$A112, tblBaiduUnits[cv_2026]) + SUMIF(tblByteDanceUnits[Products],$A112, tblByteDanceUnits[cv_2026]) + SUMIF(tblCloudAOUnits[Products],$A112, tblCloudAOUnits[cv_2026]) + SUMIF(tblTelecomUnits[Products],$A112, tblTelecomUnits[cv_2026]) + SUMIF(tblEnterpriseUnits[Products],$A112, tblEnterpriseUnits[cv_2026])</f>
        <v>0</v>
      </c>
      <c r="K112" s="8">
        <f xml:space="preserve"> SUMIF(tblGoogleUnits[Products],$A112, tblGoogleUnits[cv_2027]) + SUMIF(tblMetaUnits[Products],$A112, tblMetaUnits[cv_2027]) + SUMIF(tblAmazonUnits[Products],$A112, tblAmazonUnits[cv_2027]) + SUMIF(tblMicrosoftUnits[Products],$A112, tblMicrosoftUnits[cv_2027]) + SUMIF(tblAppleUnits[Products],$A112, tblAppleUnits[cv_2027]) + SUMIF(tblAlibabaUnits[Products],$A112, tblAlibabaUnits[cv_2027]) + SUMIF(tblHuaweiUnits[Products],$A112, tblHuaweiUnits[cv_2027]) + SUMIF(tblTencentUnits[Products],$A112, tblTencentUnits[cv_2027]) + SUMIF(tblBaiduUnits[Products],$A112, tblBaiduUnits[cv_2027]) + SUMIF(tblByteDanceUnits[Products],$A112, tblByteDanceUnits[cv_2027]) + SUMIF(tblCloudAOUnits[Products],$A112, tblCloudAOUnits[cv_2027]) + SUMIF(tblTelecomUnits[Products],$A112, tblTelecomUnits[cv_2027]) + SUMIF(tblEnterpriseUnits[Products],$A112, tblEnterpriseUnits[cv_2027])</f>
        <v>0</v>
      </c>
      <c r="L112" s="8">
        <f xml:space="preserve"> SUMIF(tblGoogleUnits[Products],$A112, tblGoogleUnits[cv_2028]) + SUMIF(tblMetaUnits[Products],$A112, tblMetaUnits[cv_2028]) + SUMIF(tblAmazonUnits[Products],$A112, tblAmazonUnits[cv_2028]) + SUMIF(tblMicrosoftUnits[Products],$A112, tblMicrosoftUnits[cv_2028]) + SUMIF(tblAppleUnits[Products],$A112, tblAppleUnits[cv_2028]) + SUMIF(tblAlibabaUnits[Products],$A112, tblAlibabaUnits[cv_2028]) + SUMIF(tblHuaweiUnits[Products],$A112, tblHuaweiUnits[cv_2028]) + SUMIF(tblTencentUnits[Products],$A112, tblTencentUnits[cv_2028]) + SUMIF(tblBaiduUnits[Products],$A112, tblBaiduUnits[cv_2028]) + SUMIF(tblByteDanceUnits[Products],$A112, tblByteDanceUnits[cv_2028]) + SUMIF(tblCloudAOUnits[Products],$A112, tblCloudAOUnits[cv_2028]) + SUMIF(tblTelecomUnits[Products],$A112, tblTelecomUnits[cv_2028]) + SUMIF(tblEnterpriseUnits[Products],$A112, tblEnterpriseUnits[cv_2028])</f>
        <v>0</v>
      </c>
      <c r="M112" s="105" cm="1">
        <f t="array" ref="M112">INDEX(tblPrices[cv_2018], MATCH($A112,tblPrices[Products],0), 0)</f>
        <v>0</v>
      </c>
      <c r="N112" s="105" cm="1">
        <f t="array" ref="N112">INDEX(tblPrices[cv_2019], MATCH($A112,tblPrices[Products],0), 0)</f>
        <v>0</v>
      </c>
      <c r="O112" s="105" cm="1">
        <f t="array" ref="O112">INDEX(tblPrices[cv_2020], MATCH($A112,tblPrices[Products],0), 0)</f>
        <v>0</v>
      </c>
      <c r="P112" s="105" cm="1">
        <f t="array" ref="P112">INDEX(tblPrices[cv_2021], MATCH($A112,tblPrices[Products],0), 0)</f>
        <v>0</v>
      </c>
      <c r="Q112" s="105" cm="1">
        <f t="array" ref="Q112">INDEX(tblPrices[cv_2022], MATCH($A112,tblPrices[Products],0), 0)</f>
        <v>0</v>
      </c>
      <c r="R112" s="105" cm="1">
        <f t="array" ref="R112">INDEX(tblPrices[cv_2023], MATCH($A112,tblPrices[Products],0), 0)</f>
        <v>0</v>
      </c>
      <c r="S112" s="105" cm="1">
        <f t="array" ref="S112">INDEX(tblPrices[cv_2024], MATCH($A112,tblPrices[Products],0), 0)</f>
        <v>0</v>
      </c>
      <c r="T112" s="105" cm="1">
        <f t="array" ref="T112">INDEX(tblPrices[cv_2025], MATCH($A112,tblPrices[Products],0), 0)</f>
        <v>0</v>
      </c>
      <c r="U112" s="105" cm="1">
        <f t="array" ref="U112">INDEX(tblPrices[cv_2026], MATCH($A112,tblPrices[Products],0), 0)</f>
        <v>0</v>
      </c>
      <c r="V112" s="105" cm="1">
        <f t="array" ref="V112">INDEX(tblPrices[cv_2027], MATCH($A112,tblPrices[Products],0), 0)</f>
        <v>0</v>
      </c>
      <c r="W112" s="105" cm="1">
        <f t="array" ref="W112">INDEX(tblPrices[cv_2028], MATCH($A112,tblPrices[Products],0), 0)</f>
        <v>0</v>
      </c>
      <c r="X112" s="106" cm="1">
        <f t="array" ref="X112">INDEX(tblPrices[cv_2018], MATCH($A112,tblPrices[Products],0), 0)* tblForecast[[#This Row],[un_2018]]/10^6</f>
        <v>0</v>
      </c>
      <c r="Y112" s="106" cm="1">
        <f t="array" ref="Y112">INDEX(tblPrices[cv_2019], MATCH($A112,tblPrices[Products],0), 0)* tblForecast[[#This Row],[un_2019]]/10^6</f>
        <v>0</v>
      </c>
      <c r="Z112" s="106" cm="1">
        <f t="array" ref="Z112">INDEX(tblPrices[cv_2020], MATCH($A112,tblPrices[Products],0), 0)* tblForecast[[#This Row],[un_2020]]/10^6</f>
        <v>0</v>
      </c>
      <c r="AA112" s="106" cm="1">
        <f t="array" ref="AA112">INDEX(tblPrices[cv_2021], MATCH($A112,tblPrices[Products],0), 0)* tblForecast[[#This Row],[un_2021]]/10^6</f>
        <v>0</v>
      </c>
      <c r="AB112" s="106" cm="1">
        <f t="array" ref="AB112">INDEX(tblPrices[cv_2022], MATCH($A112,tblPrices[Products],0), 0)* tblForecast[[#This Row],[un_2022]]/10^6</f>
        <v>0</v>
      </c>
      <c r="AC112" s="106" cm="1">
        <f t="array" ref="AC112">INDEX(tblPrices[cv_2023], MATCH($A112,tblPrices[Products],0), 0)* tblForecast[[#This Row],[un_2023]]/10^6</f>
        <v>0</v>
      </c>
      <c r="AD112" s="106" cm="1">
        <f t="array" ref="AD112">INDEX(tblPrices[cv_2024], MATCH($A112,tblPrices[Products],0), 0)* tblForecast[[#This Row],[un_2024]]/10^6</f>
        <v>0</v>
      </c>
      <c r="AE112" s="106" cm="1">
        <f t="array" ref="AE112">INDEX(tblPrices[cv_2025], MATCH($A112,tblPrices[Products],0), 0)* tblForecast[[#This Row],[un_2025]]/10^6</f>
        <v>0</v>
      </c>
      <c r="AF112" s="106" cm="1">
        <f t="array" ref="AF112">INDEX(tblPrices[cv_2026], MATCH($A112,tblPrices[Products],0), 0)* tblForecast[[#This Row],[un_2026]]/10^6</f>
        <v>0</v>
      </c>
      <c r="AG112" s="106" cm="1">
        <f t="array" ref="AG112">INDEX(tblPrices[cv_2027], MATCH($A112,tblPrices[Products],0), 0)* tblForecast[[#This Row],[un_2027]]/10^6</f>
        <v>0</v>
      </c>
      <c r="AH112" s="106" cm="1">
        <f t="array" ref="AH112">INDEX(tblPrices[cv_2028], MATCH($A112,tblPrices[Products],0), 0)* tblForecast[[#This Row],[un_2028]]/10^6</f>
        <v>0</v>
      </c>
      <c r="AI112" s="60">
        <f>VLOOKUP(A112,Products!$A$11:$F$110,6,FALSE)</f>
        <v>100</v>
      </c>
    </row>
    <row r="113" spans="1:35">
      <c r="A113" s="12" t="s">
        <v>27</v>
      </c>
      <c r="B113" s="8">
        <f xml:space="preserve"> SUMIF(tblGoogleUnits[Products],$A113, tblGoogleUnits[cv_2018]) + SUMIF(tblMetaUnits[Products],$A113, tblMetaUnits[cv_2018]) + SUMIF(tblAmazonUnits[Products],$A113, tblAmazonUnits[cv_2018]) + SUMIF(tblMicrosoftUnits[Products],$A113, tblMicrosoftUnits[cv_2018]) + SUMIF(tblAppleUnits[Products],$A113, tblAppleUnits[cv_2018]) + SUMIF(tblAlibabaUnits[Products],$A113, tblAlibabaUnits[cv_2018]) + SUMIF(tblHuaweiUnits[Products],$A113, tblHuaweiUnits[cv_2018]) + SUMIF(tblTencentUnits[Products],$A113, tblTencentUnits[cv_2018]) + SUMIF(tblBaiduUnits[Products],$A113, tblBaiduUnits[cv_2018]) + SUMIF(tblByteDanceUnits[Products],$A113, tblByteDanceUnits[cv_2018]) + SUMIF(tblCloudAOUnits[Products],$A113, tblCloudAOUnits[cv_2018]) + SUMIF(tblTelecomUnits[Products],$A113, tblTelecomUnits[cv_2018]) + SUMIF(tblEnterpriseUnits[Products],$A113, tblEnterpriseUnits[cv_2018])</f>
        <v>18203</v>
      </c>
      <c r="C113" s="8">
        <f xml:space="preserve"> SUMIF(tblGoogleUnits[Products],$A113, tblGoogleUnits[cv_2019]) + SUMIF(tblMetaUnits[Products],$A113, tblMetaUnits[cv_2019]) + SUMIF(tblAmazonUnits[Products],$A113, tblAmazonUnits[cv_2019]) + SUMIF(tblMicrosoftUnits[Products],$A113, tblMicrosoftUnits[cv_2019]) + SUMIF(tblAppleUnits[Products],$A113, tblAppleUnits[cv_2019]) + SUMIF(tblAlibabaUnits[Products],$A113, tblAlibabaUnits[cv_2019]) + SUMIF(tblHuaweiUnits[Products],$A113, tblHuaweiUnits[cv_2019]) + SUMIF(tblTencentUnits[Products],$A113, tblTencentUnits[cv_2019]) + SUMIF(tblBaiduUnits[Products],$A113, tblBaiduUnits[cv_2019]) + SUMIF(tblByteDanceUnits[Products],$A113, tblByteDanceUnits[cv_2019]) + SUMIF(tblCloudAOUnits[Products],$A113, tblCloudAOUnits[cv_2019]) + SUMIF(tblTelecomUnits[Products],$A113, tblTelecomUnits[cv_2019]) + SUMIF(tblEnterpriseUnits[Products],$A113, tblEnterpriseUnits[cv_2019])</f>
        <v>9024.2000000000007</v>
      </c>
      <c r="D113" s="8">
        <f xml:space="preserve"> SUMIF(tblGoogleUnits[Products],$A113, tblGoogleUnits[cv_2020]) + SUMIF(tblMetaUnits[Products],$A113, tblMetaUnits[cv_2020]) + SUMIF(tblAmazonUnits[Products],$A113, tblAmazonUnits[cv_2020]) + SUMIF(tblMicrosoftUnits[Products],$A113, tblMicrosoftUnits[cv_2020]) + SUMIF(tblAppleUnits[Products],$A113, tblAppleUnits[cv_2020]) + SUMIF(tblAlibabaUnits[Products],$A113, tblAlibabaUnits[cv_2020]) + SUMIF(tblHuaweiUnits[Products],$A113, tblHuaweiUnits[cv_2020]) + SUMIF(tblTencentUnits[Products],$A113, tblTencentUnits[cv_2020]) + SUMIF(tblBaiduUnits[Products],$A113, tblBaiduUnits[cv_2020]) + SUMIF(tblByteDanceUnits[Products],$A113, tblByteDanceUnits[cv_2020]) + SUMIF(tblCloudAOUnits[Products],$A113, tblCloudAOUnits[cv_2020]) + SUMIF(tblTelecomUnits[Products],$A113, tblTelecomUnits[cv_2020]) + SUMIF(tblEnterpriseUnits[Products],$A113, tblEnterpriseUnits[cv_2020])</f>
        <v>0</v>
      </c>
      <c r="E113" s="8">
        <f xml:space="preserve"> SUMIF(tblGoogleUnits[Products],$A113, tblGoogleUnits[cv_2021]) + SUMIF(tblMetaUnits[Products],$A113, tblMetaUnits[cv_2021]) + SUMIF(tblAmazonUnits[Products],$A113, tblAmazonUnits[cv_2021]) + SUMIF(tblMicrosoftUnits[Products],$A113, tblMicrosoftUnits[cv_2021]) + SUMIF(tblAppleUnits[Products],$A113, tblAppleUnits[cv_2021]) + SUMIF(tblAlibabaUnits[Products],$A113, tblAlibabaUnits[cv_2021]) + SUMIF(tblHuaweiUnits[Products],$A113, tblHuaweiUnits[cv_2021]) + SUMIF(tblTencentUnits[Products],$A113, tblTencentUnits[cv_2021]) + SUMIF(tblBaiduUnits[Products],$A113, tblBaiduUnits[cv_2021]) + SUMIF(tblByteDanceUnits[Products],$A113, tblByteDanceUnits[cv_2021]) + SUMIF(tblCloudAOUnits[Products],$A113, tblCloudAOUnits[cv_2021]) + SUMIF(tblTelecomUnits[Products],$A113, tblTelecomUnits[cv_2021]) + SUMIF(tblEnterpriseUnits[Products],$A113, tblEnterpriseUnits[cv_2021])</f>
        <v>0</v>
      </c>
      <c r="F113" s="8">
        <f xml:space="preserve"> SUMIF(tblGoogleUnits[Products],$A113, tblGoogleUnits[cv_2022]) + SUMIF(tblMetaUnits[Products],$A113, tblMetaUnits[cv_2022]) + SUMIF(tblAmazonUnits[Products],$A113, tblAmazonUnits[cv_2022]) + SUMIF(tblMicrosoftUnits[Products],$A113, tblMicrosoftUnits[cv_2022]) + SUMIF(tblAppleUnits[Products],$A113, tblAppleUnits[cv_2022]) + SUMIF(tblAlibabaUnits[Products],$A113, tblAlibabaUnits[cv_2022]) + SUMIF(tblHuaweiUnits[Products],$A113, tblHuaweiUnits[cv_2022]) + SUMIF(tblTencentUnits[Products],$A113, tblTencentUnits[cv_2022]) + SUMIF(tblBaiduUnits[Products],$A113, tblBaiduUnits[cv_2022]) + SUMIF(tblByteDanceUnits[Products],$A113, tblByteDanceUnits[cv_2022]) + SUMIF(tblCloudAOUnits[Products],$A113, tblCloudAOUnits[cv_2022]) + SUMIF(tblTelecomUnits[Products],$A113, tblTelecomUnits[cv_2022]) + SUMIF(tblEnterpriseUnits[Products],$A113, tblEnterpriseUnits[cv_2022])</f>
        <v>0</v>
      </c>
      <c r="G113" s="8">
        <f xml:space="preserve"> SUMIF(tblGoogleUnits[Products],$A113, tblGoogleUnits[cv_2023]) + SUMIF(tblMetaUnits[Products],$A113, tblMetaUnits[cv_2023]) + SUMIF(tblAmazonUnits[Products],$A113, tblAmazonUnits[cv_2023]) + SUMIF(tblMicrosoftUnits[Products],$A113, tblMicrosoftUnits[cv_2023]) + SUMIF(tblAppleUnits[Products],$A113, tblAppleUnits[cv_2023]) + SUMIF(tblAlibabaUnits[Products],$A113, tblAlibabaUnits[cv_2023]) + SUMIF(tblHuaweiUnits[Products],$A113, tblHuaweiUnits[cv_2023]) + SUMIF(tblTencentUnits[Products],$A113, tblTencentUnits[cv_2023]) + SUMIF(tblBaiduUnits[Products],$A113, tblBaiduUnits[cv_2023]) + SUMIF(tblByteDanceUnits[Products],$A113, tblByteDanceUnits[cv_2023]) + SUMIF(tblCloudAOUnits[Products],$A113, tblCloudAOUnits[cv_2023]) + SUMIF(tblTelecomUnits[Products],$A113, tblTelecomUnits[cv_2023]) + SUMIF(tblEnterpriseUnits[Products],$A113, tblEnterpriseUnits[cv_2023])</f>
        <v>0</v>
      </c>
      <c r="H113" s="8">
        <f xml:space="preserve"> SUMIF(tblGoogleUnits[Products],$A113, tblGoogleUnits[cv_2024]) + SUMIF(tblMetaUnits[Products],$A113, tblMetaUnits[cv_2024]) + SUMIF(tblAmazonUnits[Products],$A113, tblAmazonUnits[cv_2024]) + SUMIF(tblMicrosoftUnits[Products],$A113, tblMicrosoftUnits[cv_2024]) + SUMIF(tblAppleUnits[Products],$A113, tblAppleUnits[cv_2024]) + SUMIF(tblAlibabaUnits[Products],$A113, tblAlibabaUnits[cv_2024]) + SUMIF(tblHuaweiUnits[Products],$A113, tblHuaweiUnits[cv_2024]) + SUMIF(tblTencentUnits[Products],$A113, tblTencentUnits[cv_2024]) + SUMIF(tblBaiduUnits[Products],$A113, tblBaiduUnits[cv_2024]) + SUMIF(tblByteDanceUnits[Products],$A113, tblByteDanceUnits[cv_2024]) + SUMIF(tblCloudAOUnits[Products],$A113, tblCloudAOUnits[cv_2024]) + SUMIF(tblTelecomUnits[Products],$A113, tblTelecomUnits[cv_2024]) + SUMIF(tblEnterpriseUnits[Products],$A113, tblEnterpriseUnits[cv_2024])</f>
        <v>0</v>
      </c>
      <c r="I113" s="8">
        <f xml:space="preserve"> SUMIF(tblGoogleUnits[Products],$A113, tblGoogleUnits[cv_2025]) + SUMIF(tblMetaUnits[Products],$A113, tblMetaUnits[cv_2025]) + SUMIF(tblAmazonUnits[Products],$A113, tblAmazonUnits[cv_2025]) + SUMIF(tblMicrosoftUnits[Products],$A113, tblMicrosoftUnits[cv_2025]) + SUMIF(tblAppleUnits[Products],$A113, tblAppleUnits[cv_2025]) + SUMIF(tblAlibabaUnits[Products],$A113, tblAlibabaUnits[cv_2025]) + SUMIF(tblHuaweiUnits[Products],$A113, tblHuaweiUnits[cv_2025]) + SUMIF(tblTencentUnits[Products],$A113, tblTencentUnits[cv_2025]) + SUMIF(tblBaiduUnits[Products],$A113, tblBaiduUnits[cv_2025]) + SUMIF(tblByteDanceUnits[Products],$A113, tblByteDanceUnits[cv_2025]) + SUMIF(tblCloudAOUnits[Products],$A113, tblCloudAOUnits[cv_2025]) + SUMIF(tblTelecomUnits[Products],$A113, tblTelecomUnits[cv_2025]) + SUMIF(tblEnterpriseUnits[Products],$A113, tblEnterpriseUnits[cv_2025])</f>
        <v>0</v>
      </c>
      <c r="J113" s="8">
        <f xml:space="preserve"> SUMIF(tblGoogleUnits[Products],$A113, tblGoogleUnits[cv_2026]) + SUMIF(tblMetaUnits[Products],$A113, tblMetaUnits[cv_2026]) + SUMIF(tblAmazonUnits[Products],$A113, tblAmazonUnits[cv_2026]) + SUMIF(tblMicrosoftUnits[Products],$A113, tblMicrosoftUnits[cv_2026]) + SUMIF(tblAppleUnits[Products],$A113, tblAppleUnits[cv_2026]) + SUMIF(tblAlibabaUnits[Products],$A113, tblAlibabaUnits[cv_2026]) + SUMIF(tblHuaweiUnits[Products],$A113, tblHuaweiUnits[cv_2026]) + SUMIF(tblTencentUnits[Products],$A113, tblTencentUnits[cv_2026]) + SUMIF(tblBaiduUnits[Products],$A113, tblBaiduUnits[cv_2026]) + SUMIF(tblByteDanceUnits[Products],$A113, tblByteDanceUnits[cv_2026]) + SUMIF(tblCloudAOUnits[Products],$A113, tblCloudAOUnits[cv_2026]) + SUMIF(tblTelecomUnits[Products],$A113, tblTelecomUnits[cv_2026]) + SUMIF(tblEnterpriseUnits[Products],$A113, tblEnterpriseUnits[cv_2026])</f>
        <v>0</v>
      </c>
      <c r="K113" s="8">
        <f xml:space="preserve"> SUMIF(tblGoogleUnits[Products],$A113, tblGoogleUnits[cv_2027]) + SUMIF(tblMetaUnits[Products],$A113, tblMetaUnits[cv_2027]) + SUMIF(tblAmazonUnits[Products],$A113, tblAmazonUnits[cv_2027]) + SUMIF(tblMicrosoftUnits[Products],$A113, tblMicrosoftUnits[cv_2027]) + SUMIF(tblAppleUnits[Products],$A113, tblAppleUnits[cv_2027]) + SUMIF(tblAlibabaUnits[Products],$A113, tblAlibabaUnits[cv_2027]) + SUMIF(tblHuaweiUnits[Products],$A113, tblHuaweiUnits[cv_2027]) + SUMIF(tblTencentUnits[Products],$A113, tblTencentUnits[cv_2027]) + SUMIF(tblBaiduUnits[Products],$A113, tblBaiduUnits[cv_2027]) + SUMIF(tblByteDanceUnits[Products],$A113, tblByteDanceUnits[cv_2027]) + SUMIF(tblCloudAOUnits[Products],$A113, tblCloudAOUnits[cv_2027]) + SUMIF(tblTelecomUnits[Products],$A113, tblTelecomUnits[cv_2027]) + SUMIF(tblEnterpriseUnits[Products],$A113, tblEnterpriseUnits[cv_2027])</f>
        <v>0</v>
      </c>
      <c r="L113" s="8">
        <f xml:space="preserve"> SUMIF(tblGoogleUnits[Products],$A113, tblGoogleUnits[cv_2028]) + SUMIF(tblMetaUnits[Products],$A113, tblMetaUnits[cv_2028]) + SUMIF(tblAmazonUnits[Products],$A113, tblAmazonUnits[cv_2028]) + SUMIF(tblMicrosoftUnits[Products],$A113, tblMicrosoftUnits[cv_2028]) + SUMIF(tblAppleUnits[Products],$A113, tblAppleUnits[cv_2028]) + SUMIF(tblAlibabaUnits[Products],$A113, tblAlibabaUnits[cv_2028]) + SUMIF(tblHuaweiUnits[Products],$A113, tblHuaweiUnits[cv_2028]) + SUMIF(tblTencentUnits[Products],$A113, tblTencentUnits[cv_2028]) + SUMIF(tblBaiduUnits[Products],$A113, tblBaiduUnits[cv_2028]) + SUMIF(tblByteDanceUnits[Products],$A113, tblByteDanceUnits[cv_2028]) + SUMIF(tblCloudAOUnits[Products],$A113, tblCloudAOUnits[cv_2028]) + SUMIF(tblTelecomUnits[Products],$A113, tblTelecomUnits[cv_2028]) + SUMIF(tblEnterpriseUnits[Products],$A113, tblEnterpriseUnits[cv_2028])</f>
        <v>0</v>
      </c>
      <c r="M113" s="105" cm="1">
        <f t="array" ref="M113">INDEX(tblPrices[cv_2018], MATCH($A113,tblPrices[Products],0), 0)</f>
        <v>5170</v>
      </c>
      <c r="N113" s="105" cm="1">
        <f t="array" ref="N113">INDEX(tblPrices[cv_2019], MATCH($A113,tblPrices[Products],0), 0)</f>
        <v>3900</v>
      </c>
      <c r="O113" s="105" cm="1">
        <f t="array" ref="O113">INDEX(tblPrices[cv_2020], MATCH($A113,tblPrices[Products],0), 0)</f>
        <v>0</v>
      </c>
      <c r="P113" s="105" cm="1">
        <f t="array" ref="P113">INDEX(tblPrices[cv_2021], MATCH($A113,tblPrices[Products],0), 0)</f>
        <v>0</v>
      </c>
      <c r="Q113" s="105" cm="1">
        <f t="array" ref="Q113">INDEX(tblPrices[cv_2022], MATCH($A113,tblPrices[Products],0), 0)</f>
        <v>0</v>
      </c>
      <c r="R113" s="105" cm="1">
        <f t="array" ref="R113">INDEX(tblPrices[cv_2023], MATCH($A113,tblPrices[Products],0), 0)</f>
        <v>0</v>
      </c>
      <c r="S113" s="105" cm="1">
        <f t="array" ref="S113">INDEX(tblPrices[cv_2024], MATCH($A113,tblPrices[Products],0), 0)</f>
        <v>0</v>
      </c>
      <c r="T113" s="105" cm="1">
        <f t="array" ref="T113">INDEX(tblPrices[cv_2025], MATCH($A113,tblPrices[Products],0), 0)</f>
        <v>0</v>
      </c>
      <c r="U113" s="105" cm="1">
        <f t="array" ref="U113">INDEX(tblPrices[cv_2026], MATCH($A113,tblPrices[Products],0), 0)</f>
        <v>0</v>
      </c>
      <c r="V113" s="105" cm="1">
        <f t="array" ref="V113">INDEX(tblPrices[cv_2027], MATCH($A113,tblPrices[Products],0), 0)</f>
        <v>0</v>
      </c>
      <c r="W113" s="105" cm="1">
        <f t="array" ref="W113">INDEX(tblPrices[cv_2028], MATCH($A113,tblPrices[Products],0), 0)</f>
        <v>0</v>
      </c>
      <c r="X113" s="106" cm="1">
        <f t="array" ref="X113">INDEX(tblPrices[cv_2018], MATCH($A113,tblPrices[Products],0), 0)* tblForecast[[#This Row],[un_2018]]/10^6</f>
        <v>94.10951</v>
      </c>
      <c r="Y113" s="106" cm="1">
        <f t="array" ref="Y113">INDEX(tblPrices[cv_2019], MATCH($A113,tblPrices[Products],0), 0)* tblForecast[[#This Row],[un_2019]]/10^6</f>
        <v>35.194380000000002</v>
      </c>
      <c r="Z113" s="106" cm="1">
        <f t="array" ref="Z113">INDEX(tblPrices[cv_2020], MATCH($A113,tblPrices[Products],0), 0)* tblForecast[[#This Row],[un_2020]]/10^6</f>
        <v>0</v>
      </c>
      <c r="AA113" s="106" cm="1">
        <f t="array" ref="AA113">INDEX(tblPrices[cv_2021], MATCH($A113,tblPrices[Products],0), 0)* tblForecast[[#This Row],[un_2021]]/10^6</f>
        <v>0</v>
      </c>
      <c r="AB113" s="106" cm="1">
        <f t="array" ref="AB113">INDEX(tblPrices[cv_2022], MATCH($A113,tblPrices[Products],0), 0)* tblForecast[[#This Row],[un_2022]]/10^6</f>
        <v>0</v>
      </c>
      <c r="AC113" s="106" cm="1">
        <f t="array" ref="AC113">INDEX(tblPrices[cv_2023], MATCH($A113,tblPrices[Products],0), 0)* tblForecast[[#This Row],[un_2023]]/10^6</f>
        <v>0</v>
      </c>
      <c r="AD113" s="106" cm="1">
        <f t="array" ref="AD113">INDEX(tblPrices[cv_2024], MATCH($A113,tblPrices[Products],0), 0)* tblForecast[[#This Row],[un_2024]]/10^6</f>
        <v>0</v>
      </c>
      <c r="AE113" s="106" cm="1">
        <f t="array" ref="AE113">INDEX(tblPrices[cv_2025], MATCH($A113,tblPrices[Products],0), 0)* tblForecast[[#This Row],[un_2025]]/10^6</f>
        <v>0</v>
      </c>
      <c r="AF113" s="106" cm="1">
        <f t="array" ref="AF113">INDEX(tblPrices[cv_2026], MATCH($A113,tblPrices[Products],0), 0)* tblForecast[[#This Row],[un_2026]]/10^6</f>
        <v>0</v>
      </c>
      <c r="AG113" s="106" cm="1">
        <f t="array" ref="AG113">INDEX(tblPrices[cv_2027], MATCH($A113,tblPrices[Products],0), 0)* tblForecast[[#This Row],[un_2027]]/10^6</f>
        <v>0</v>
      </c>
      <c r="AH113" s="106" cm="1">
        <f t="array" ref="AH113">INDEX(tblPrices[cv_2028], MATCH($A113,tblPrices[Products],0), 0)* tblForecast[[#This Row],[un_2028]]/10^6</f>
        <v>0</v>
      </c>
      <c r="AI113" s="60">
        <f>VLOOKUP(A113,Products!$A$11:$F$110,6,FALSE)</f>
        <v>100</v>
      </c>
    </row>
    <row r="114" spans="1:35">
      <c r="A114" s="12" t="s">
        <v>28</v>
      </c>
      <c r="B114" s="8">
        <f xml:space="preserve"> SUMIF(tblGoogleUnits[Products],$A114, tblGoogleUnits[cv_2018]) + SUMIF(tblMetaUnits[Products],$A114, tblMetaUnits[cv_2018]) + SUMIF(tblAmazonUnits[Products],$A114, tblAmazonUnits[cv_2018]) + SUMIF(tblMicrosoftUnits[Products],$A114, tblMicrosoftUnits[cv_2018]) + SUMIF(tblAppleUnits[Products],$A114, tblAppleUnits[cv_2018]) + SUMIF(tblAlibabaUnits[Products],$A114, tblAlibabaUnits[cv_2018]) + SUMIF(tblHuaweiUnits[Products],$A114, tblHuaweiUnits[cv_2018]) + SUMIF(tblTencentUnits[Products],$A114, tblTencentUnits[cv_2018]) + SUMIF(tblBaiduUnits[Products],$A114, tblBaiduUnits[cv_2018]) + SUMIF(tblByteDanceUnits[Products],$A114, tblByteDanceUnits[cv_2018]) + SUMIF(tblCloudAOUnits[Products],$A114, tblCloudAOUnits[cv_2018]) + SUMIF(tblTelecomUnits[Products],$A114, tblTelecomUnits[cv_2018]) + SUMIF(tblEnterpriseUnits[Products],$A114, tblEnterpriseUnits[cv_2018])</f>
        <v>73052</v>
      </c>
      <c r="C114" s="8">
        <f xml:space="preserve"> SUMIF(tblGoogleUnits[Products],$A114, tblGoogleUnits[cv_2019]) + SUMIF(tblMetaUnits[Products],$A114, tblMetaUnits[cv_2019]) + SUMIF(tblAmazonUnits[Products],$A114, tblAmazonUnits[cv_2019]) + SUMIF(tblMicrosoftUnits[Products],$A114, tblMicrosoftUnits[cv_2019]) + SUMIF(tblAppleUnits[Products],$A114, tblAppleUnits[cv_2019]) + SUMIF(tblAlibabaUnits[Products],$A114, tblAlibabaUnits[cv_2019]) + SUMIF(tblHuaweiUnits[Products],$A114, tblHuaweiUnits[cv_2019]) + SUMIF(tblTencentUnits[Products],$A114, tblTencentUnits[cv_2019]) + SUMIF(tblBaiduUnits[Products],$A114, tblBaiduUnits[cv_2019]) + SUMIF(tblByteDanceUnits[Products],$A114, tblByteDanceUnits[cv_2019]) + SUMIF(tblCloudAOUnits[Products],$A114, tblCloudAOUnits[cv_2019]) + SUMIF(tblTelecomUnits[Products],$A114, tblTelecomUnits[cv_2019]) + SUMIF(tblEnterpriseUnits[Products],$A114, tblEnterpriseUnits[cv_2019])</f>
        <v>95170.199999999983</v>
      </c>
      <c r="D114" s="8">
        <f xml:space="preserve"> SUMIF(tblGoogleUnits[Products],$A114, tblGoogleUnits[cv_2020]) + SUMIF(tblMetaUnits[Products],$A114, tblMetaUnits[cv_2020]) + SUMIF(tblAmazonUnits[Products],$A114, tblAmazonUnits[cv_2020]) + SUMIF(tblMicrosoftUnits[Products],$A114, tblMicrosoftUnits[cv_2020]) + SUMIF(tblAppleUnits[Products],$A114, tblAppleUnits[cv_2020]) + SUMIF(tblAlibabaUnits[Products],$A114, tblAlibabaUnits[cv_2020]) + SUMIF(tblHuaweiUnits[Products],$A114, tblHuaweiUnits[cv_2020]) + SUMIF(tblTencentUnits[Products],$A114, tblTencentUnits[cv_2020]) + SUMIF(tblBaiduUnits[Products],$A114, tblBaiduUnits[cv_2020]) + SUMIF(tblByteDanceUnits[Products],$A114, tblByteDanceUnits[cv_2020]) + SUMIF(tblCloudAOUnits[Products],$A114, tblCloudAOUnits[cv_2020]) + SUMIF(tblTelecomUnits[Products],$A114, tblTelecomUnits[cv_2020]) + SUMIF(tblEnterpriseUnits[Products],$A114, tblEnterpriseUnits[cv_2020])</f>
        <v>0</v>
      </c>
      <c r="E114" s="8">
        <f xml:space="preserve"> SUMIF(tblGoogleUnits[Products],$A114, tblGoogleUnits[cv_2021]) + SUMIF(tblMetaUnits[Products],$A114, tblMetaUnits[cv_2021]) + SUMIF(tblAmazonUnits[Products],$A114, tblAmazonUnits[cv_2021]) + SUMIF(tblMicrosoftUnits[Products],$A114, tblMicrosoftUnits[cv_2021]) + SUMIF(tblAppleUnits[Products],$A114, tblAppleUnits[cv_2021]) + SUMIF(tblAlibabaUnits[Products],$A114, tblAlibabaUnits[cv_2021]) + SUMIF(tblHuaweiUnits[Products],$A114, tblHuaweiUnits[cv_2021]) + SUMIF(tblTencentUnits[Products],$A114, tblTencentUnits[cv_2021]) + SUMIF(tblBaiduUnits[Products],$A114, tblBaiduUnits[cv_2021]) + SUMIF(tblByteDanceUnits[Products],$A114, tblByteDanceUnits[cv_2021]) + SUMIF(tblCloudAOUnits[Products],$A114, tblCloudAOUnits[cv_2021]) + SUMIF(tblTelecomUnits[Products],$A114, tblTelecomUnits[cv_2021]) + SUMIF(tblEnterpriseUnits[Products],$A114, tblEnterpriseUnits[cv_2021])</f>
        <v>0</v>
      </c>
      <c r="F114" s="8">
        <f xml:space="preserve"> SUMIF(tblGoogleUnits[Products],$A114, tblGoogleUnits[cv_2022]) + SUMIF(tblMetaUnits[Products],$A114, tblMetaUnits[cv_2022]) + SUMIF(tblAmazonUnits[Products],$A114, tblAmazonUnits[cv_2022]) + SUMIF(tblMicrosoftUnits[Products],$A114, tblMicrosoftUnits[cv_2022]) + SUMIF(tblAppleUnits[Products],$A114, tblAppleUnits[cv_2022]) + SUMIF(tblAlibabaUnits[Products],$A114, tblAlibabaUnits[cv_2022]) + SUMIF(tblHuaweiUnits[Products],$A114, tblHuaweiUnits[cv_2022]) + SUMIF(tblTencentUnits[Products],$A114, tblTencentUnits[cv_2022]) + SUMIF(tblBaiduUnits[Products],$A114, tblBaiduUnits[cv_2022]) + SUMIF(tblByteDanceUnits[Products],$A114, tblByteDanceUnits[cv_2022]) + SUMIF(tblCloudAOUnits[Products],$A114, tblCloudAOUnits[cv_2022]) + SUMIF(tblTelecomUnits[Products],$A114, tblTelecomUnits[cv_2022]) + SUMIF(tblEnterpriseUnits[Products],$A114, tblEnterpriseUnits[cv_2022])</f>
        <v>0</v>
      </c>
      <c r="G114" s="8">
        <f xml:space="preserve"> SUMIF(tblGoogleUnits[Products],$A114, tblGoogleUnits[cv_2023]) + SUMIF(tblMetaUnits[Products],$A114, tblMetaUnits[cv_2023]) + SUMIF(tblAmazonUnits[Products],$A114, tblAmazonUnits[cv_2023]) + SUMIF(tblMicrosoftUnits[Products],$A114, tblMicrosoftUnits[cv_2023]) + SUMIF(tblAppleUnits[Products],$A114, tblAppleUnits[cv_2023]) + SUMIF(tblAlibabaUnits[Products],$A114, tblAlibabaUnits[cv_2023]) + SUMIF(tblHuaweiUnits[Products],$A114, tblHuaweiUnits[cv_2023]) + SUMIF(tblTencentUnits[Products],$A114, tblTencentUnits[cv_2023]) + SUMIF(tblBaiduUnits[Products],$A114, tblBaiduUnits[cv_2023]) + SUMIF(tblByteDanceUnits[Products],$A114, tblByteDanceUnits[cv_2023]) + SUMIF(tblCloudAOUnits[Products],$A114, tblCloudAOUnits[cv_2023]) + SUMIF(tblTelecomUnits[Products],$A114, tblTelecomUnits[cv_2023]) + SUMIF(tblEnterpriseUnits[Products],$A114, tblEnterpriseUnits[cv_2023])</f>
        <v>0</v>
      </c>
      <c r="H114" s="8">
        <f xml:space="preserve"> SUMIF(tblGoogleUnits[Products],$A114, tblGoogleUnits[cv_2024]) + SUMIF(tblMetaUnits[Products],$A114, tblMetaUnits[cv_2024]) + SUMIF(tblAmazonUnits[Products],$A114, tblAmazonUnits[cv_2024]) + SUMIF(tblMicrosoftUnits[Products],$A114, tblMicrosoftUnits[cv_2024]) + SUMIF(tblAppleUnits[Products],$A114, tblAppleUnits[cv_2024]) + SUMIF(tblAlibabaUnits[Products],$A114, tblAlibabaUnits[cv_2024]) + SUMIF(tblHuaweiUnits[Products],$A114, tblHuaweiUnits[cv_2024]) + SUMIF(tblTencentUnits[Products],$A114, tblTencentUnits[cv_2024]) + SUMIF(tblBaiduUnits[Products],$A114, tblBaiduUnits[cv_2024]) + SUMIF(tblByteDanceUnits[Products],$A114, tblByteDanceUnits[cv_2024]) + SUMIF(tblCloudAOUnits[Products],$A114, tblCloudAOUnits[cv_2024]) + SUMIF(tblTelecomUnits[Products],$A114, tblTelecomUnits[cv_2024]) + SUMIF(tblEnterpriseUnits[Products],$A114, tblEnterpriseUnits[cv_2024])</f>
        <v>0</v>
      </c>
      <c r="I114" s="8">
        <f xml:space="preserve"> SUMIF(tblGoogleUnits[Products],$A114, tblGoogleUnits[cv_2025]) + SUMIF(tblMetaUnits[Products],$A114, tblMetaUnits[cv_2025]) + SUMIF(tblAmazonUnits[Products],$A114, tblAmazonUnits[cv_2025]) + SUMIF(tblMicrosoftUnits[Products],$A114, tblMicrosoftUnits[cv_2025]) + SUMIF(tblAppleUnits[Products],$A114, tblAppleUnits[cv_2025]) + SUMIF(tblAlibabaUnits[Products],$A114, tblAlibabaUnits[cv_2025]) + SUMIF(tblHuaweiUnits[Products],$A114, tblHuaweiUnits[cv_2025]) + SUMIF(tblTencentUnits[Products],$A114, tblTencentUnits[cv_2025]) + SUMIF(tblBaiduUnits[Products],$A114, tblBaiduUnits[cv_2025]) + SUMIF(tblByteDanceUnits[Products],$A114, tblByteDanceUnits[cv_2025]) + SUMIF(tblCloudAOUnits[Products],$A114, tblCloudAOUnits[cv_2025]) + SUMIF(tblTelecomUnits[Products],$A114, tblTelecomUnits[cv_2025]) + SUMIF(tblEnterpriseUnits[Products],$A114, tblEnterpriseUnits[cv_2025])</f>
        <v>0</v>
      </c>
      <c r="J114" s="8">
        <f xml:space="preserve"> SUMIF(tblGoogleUnits[Products],$A114, tblGoogleUnits[cv_2026]) + SUMIF(tblMetaUnits[Products],$A114, tblMetaUnits[cv_2026]) + SUMIF(tblAmazonUnits[Products],$A114, tblAmazonUnits[cv_2026]) + SUMIF(tblMicrosoftUnits[Products],$A114, tblMicrosoftUnits[cv_2026]) + SUMIF(tblAppleUnits[Products],$A114, tblAppleUnits[cv_2026]) + SUMIF(tblAlibabaUnits[Products],$A114, tblAlibabaUnits[cv_2026]) + SUMIF(tblHuaweiUnits[Products],$A114, tblHuaweiUnits[cv_2026]) + SUMIF(tblTencentUnits[Products],$A114, tblTencentUnits[cv_2026]) + SUMIF(tblBaiduUnits[Products],$A114, tblBaiduUnits[cv_2026]) + SUMIF(tblByteDanceUnits[Products],$A114, tblByteDanceUnits[cv_2026]) + SUMIF(tblCloudAOUnits[Products],$A114, tblCloudAOUnits[cv_2026]) + SUMIF(tblTelecomUnits[Products],$A114, tblTelecomUnits[cv_2026]) + SUMIF(tblEnterpriseUnits[Products],$A114, tblEnterpriseUnits[cv_2026])</f>
        <v>0</v>
      </c>
      <c r="K114" s="8">
        <f xml:space="preserve"> SUMIF(tblGoogleUnits[Products],$A114, tblGoogleUnits[cv_2027]) + SUMIF(tblMetaUnits[Products],$A114, tblMetaUnits[cv_2027]) + SUMIF(tblAmazonUnits[Products],$A114, tblAmazonUnits[cv_2027]) + SUMIF(tblMicrosoftUnits[Products],$A114, tblMicrosoftUnits[cv_2027]) + SUMIF(tblAppleUnits[Products],$A114, tblAppleUnits[cv_2027]) + SUMIF(tblAlibabaUnits[Products],$A114, tblAlibabaUnits[cv_2027]) + SUMIF(tblHuaweiUnits[Products],$A114, tblHuaweiUnits[cv_2027]) + SUMIF(tblTencentUnits[Products],$A114, tblTencentUnits[cv_2027]) + SUMIF(tblBaiduUnits[Products],$A114, tblBaiduUnits[cv_2027]) + SUMIF(tblByteDanceUnits[Products],$A114, tblByteDanceUnits[cv_2027]) + SUMIF(tblCloudAOUnits[Products],$A114, tblCloudAOUnits[cv_2027]) + SUMIF(tblTelecomUnits[Products],$A114, tblTelecomUnits[cv_2027]) + SUMIF(tblEnterpriseUnits[Products],$A114, tblEnterpriseUnits[cv_2027])</f>
        <v>0</v>
      </c>
      <c r="L114" s="8">
        <f xml:space="preserve"> SUMIF(tblGoogleUnits[Products],$A114, tblGoogleUnits[cv_2028]) + SUMIF(tblMetaUnits[Products],$A114, tblMetaUnits[cv_2028]) + SUMIF(tblAmazonUnits[Products],$A114, tblAmazonUnits[cv_2028]) + SUMIF(tblMicrosoftUnits[Products],$A114, tblMicrosoftUnits[cv_2028]) + SUMIF(tblAppleUnits[Products],$A114, tblAppleUnits[cv_2028]) + SUMIF(tblAlibabaUnits[Products],$A114, tblAlibabaUnits[cv_2028]) + SUMIF(tblHuaweiUnits[Products],$A114, tblHuaweiUnits[cv_2028]) + SUMIF(tblTencentUnits[Products],$A114, tblTencentUnits[cv_2028]) + SUMIF(tblBaiduUnits[Products],$A114, tblBaiduUnits[cv_2028]) + SUMIF(tblByteDanceUnits[Products],$A114, tblByteDanceUnits[cv_2028]) + SUMIF(tblCloudAOUnits[Products],$A114, tblCloudAOUnits[cv_2028]) + SUMIF(tblTelecomUnits[Products],$A114, tblTelecomUnits[cv_2028]) + SUMIF(tblEnterpriseUnits[Products],$A114, tblEnterpriseUnits[cv_2028])</f>
        <v>0</v>
      </c>
      <c r="M114" s="105" cm="1">
        <f t="array" ref="M114">INDEX(tblPrices[cv_2018], MATCH($A114,tblPrices[Products],0), 0)</f>
        <v>8727.2727272727279</v>
      </c>
      <c r="N114" s="105" cm="1">
        <f t="array" ref="N114">INDEX(tblPrices[cv_2019], MATCH($A114,tblPrices[Products],0), 0)</f>
        <v>6981.818181818182</v>
      </c>
      <c r="O114" s="105" cm="1">
        <f t="array" ref="O114">INDEX(tblPrices[cv_2020], MATCH($A114,tblPrices[Products],0), 0)</f>
        <v>0</v>
      </c>
      <c r="P114" s="105" cm="1">
        <f t="array" ref="P114">INDEX(tblPrices[cv_2021], MATCH($A114,tblPrices[Products],0), 0)</f>
        <v>0</v>
      </c>
      <c r="Q114" s="105" cm="1">
        <f t="array" ref="Q114">INDEX(tblPrices[cv_2022], MATCH($A114,tblPrices[Products],0), 0)</f>
        <v>0</v>
      </c>
      <c r="R114" s="105" cm="1">
        <f t="array" ref="R114">INDEX(tblPrices[cv_2023], MATCH($A114,tblPrices[Products],0), 0)</f>
        <v>0</v>
      </c>
      <c r="S114" s="105" cm="1">
        <f t="array" ref="S114">INDEX(tblPrices[cv_2024], MATCH($A114,tblPrices[Products],0), 0)</f>
        <v>0</v>
      </c>
      <c r="T114" s="105" cm="1">
        <f t="array" ref="T114">INDEX(tblPrices[cv_2025], MATCH($A114,tblPrices[Products],0), 0)</f>
        <v>0</v>
      </c>
      <c r="U114" s="105" cm="1">
        <f t="array" ref="U114">INDEX(tblPrices[cv_2026], MATCH($A114,tblPrices[Products],0), 0)</f>
        <v>0</v>
      </c>
      <c r="V114" s="105" cm="1">
        <f t="array" ref="V114">INDEX(tblPrices[cv_2027], MATCH($A114,tblPrices[Products],0), 0)</f>
        <v>0</v>
      </c>
      <c r="W114" s="105" cm="1">
        <f t="array" ref="W114">INDEX(tblPrices[cv_2028], MATCH($A114,tblPrices[Products],0), 0)</f>
        <v>0</v>
      </c>
      <c r="X114" s="106" cm="1">
        <f t="array" ref="X114">INDEX(tblPrices[cv_2018], MATCH($A114,tblPrices[Products],0), 0)* tblForecast[[#This Row],[un_2018]]/10^6</f>
        <v>637.54472727272741</v>
      </c>
      <c r="Y114" s="106" cm="1">
        <f t="array" ref="Y114">INDEX(tblPrices[cv_2019], MATCH($A114,tblPrices[Products],0), 0)* tblForecast[[#This Row],[un_2019]]/10^6</f>
        <v>664.4610327272726</v>
      </c>
      <c r="Z114" s="106" cm="1">
        <f t="array" ref="Z114">INDEX(tblPrices[cv_2020], MATCH($A114,tblPrices[Products],0), 0)* tblForecast[[#This Row],[un_2020]]/10^6</f>
        <v>0</v>
      </c>
      <c r="AA114" s="106" cm="1">
        <f t="array" ref="AA114">INDEX(tblPrices[cv_2021], MATCH($A114,tblPrices[Products],0), 0)* tblForecast[[#This Row],[un_2021]]/10^6</f>
        <v>0</v>
      </c>
      <c r="AB114" s="106" cm="1">
        <f t="array" ref="AB114">INDEX(tblPrices[cv_2022], MATCH($A114,tblPrices[Products],0), 0)* tblForecast[[#This Row],[un_2022]]/10^6</f>
        <v>0</v>
      </c>
      <c r="AC114" s="106" cm="1">
        <f t="array" ref="AC114">INDEX(tblPrices[cv_2023], MATCH($A114,tblPrices[Products],0), 0)* tblForecast[[#This Row],[un_2023]]/10^6</f>
        <v>0</v>
      </c>
      <c r="AD114" s="106" cm="1">
        <f t="array" ref="AD114">INDEX(tblPrices[cv_2024], MATCH($A114,tblPrices[Products],0), 0)* tblForecast[[#This Row],[un_2024]]/10^6</f>
        <v>0</v>
      </c>
      <c r="AE114" s="106" cm="1">
        <f t="array" ref="AE114">INDEX(tblPrices[cv_2025], MATCH($A114,tblPrices[Products],0), 0)* tblForecast[[#This Row],[un_2025]]/10^6</f>
        <v>0</v>
      </c>
      <c r="AF114" s="106" cm="1">
        <f t="array" ref="AF114">INDEX(tblPrices[cv_2026], MATCH($A114,tblPrices[Products],0), 0)* tblForecast[[#This Row],[un_2026]]/10^6</f>
        <v>0</v>
      </c>
      <c r="AG114" s="106" cm="1">
        <f t="array" ref="AG114">INDEX(tblPrices[cv_2027], MATCH($A114,tblPrices[Products],0), 0)* tblForecast[[#This Row],[un_2027]]/10^6</f>
        <v>0</v>
      </c>
      <c r="AH114" s="106" cm="1">
        <f t="array" ref="AH114">INDEX(tblPrices[cv_2028], MATCH($A114,tblPrices[Products],0), 0)* tblForecast[[#This Row],[un_2028]]/10^6</f>
        <v>0</v>
      </c>
      <c r="AI114" s="60">
        <f>VLOOKUP(A114,Products!$A$11:$F$110,6,FALSE)</f>
        <v>200</v>
      </c>
    </row>
    <row r="115" spans="1:35">
      <c r="A115" s="12" t="s">
        <v>29</v>
      </c>
      <c r="B115" s="8">
        <f xml:space="preserve"> SUMIF(tblGoogleUnits[Products],$A115, tblGoogleUnits[cv_2018]) + SUMIF(tblMetaUnits[Products],$A115, tblMetaUnits[cv_2018]) + SUMIF(tblAmazonUnits[Products],$A115, tblAmazonUnits[cv_2018]) + SUMIF(tblMicrosoftUnits[Products],$A115, tblMicrosoftUnits[cv_2018]) + SUMIF(tblAppleUnits[Products],$A115, tblAppleUnits[cv_2018]) + SUMIF(tblAlibabaUnits[Products],$A115, tblAlibabaUnits[cv_2018]) + SUMIF(tblHuaweiUnits[Products],$A115, tblHuaweiUnits[cv_2018]) + SUMIF(tblTencentUnits[Products],$A115, tblTencentUnits[cv_2018]) + SUMIF(tblBaiduUnits[Products],$A115, tblBaiduUnits[cv_2018]) + SUMIF(tblByteDanceUnits[Products],$A115, tblByteDanceUnits[cv_2018]) + SUMIF(tblCloudAOUnits[Products],$A115, tblCloudAOUnits[cv_2018]) + SUMIF(tblTelecomUnits[Products],$A115, tblTelecomUnits[cv_2018]) + SUMIF(tblEnterpriseUnits[Products],$A115, tblEnterpriseUnits[cv_2018])</f>
        <v>30745.000000000004</v>
      </c>
      <c r="C115" s="8">
        <f xml:space="preserve"> SUMIF(tblGoogleUnits[Products],$A115, tblGoogleUnits[cv_2019]) + SUMIF(tblMetaUnits[Products],$A115, tblMetaUnits[cv_2019]) + SUMIF(tblAmazonUnits[Products],$A115, tblAmazonUnits[cv_2019]) + SUMIF(tblMicrosoftUnits[Products],$A115, tblMicrosoftUnits[cv_2019]) + SUMIF(tblAppleUnits[Products],$A115, tblAppleUnits[cv_2019]) + SUMIF(tblAlibabaUnits[Products],$A115, tblAlibabaUnits[cv_2019]) + SUMIF(tblHuaweiUnits[Products],$A115, tblHuaweiUnits[cv_2019]) + SUMIF(tblTencentUnits[Products],$A115, tblTencentUnits[cv_2019]) + SUMIF(tblBaiduUnits[Products],$A115, tblBaiduUnits[cv_2019]) + SUMIF(tblByteDanceUnits[Products],$A115, tblByteDanceUnits[cv_2019]) + SUMIF(tblCloudAOUnits[Products],$A115, tblCloudAOUnits[cv_2019]) + SUMIF(tblTelecomUnits[Products],$A115, tblTelecomUnits[cv_2019]) + SUMIF(tblEnterpriseUnits[Products],$A115, tblEnterpriseUnits[cv_2019])</f>
        <v>85733.000000000015</v>
      </c>
      <c r="D115" s="8">
        <f xml:space="preserve"> SUMIF(tblGoogleUnits[Products],$A115, tblGoogleUnits[cv_2020]) + SUMIF(tblMetaUnits[Products],$A115, tblMetaUnits[cv_2020]) + SUMIF(tblAmazonUnits[Products],$A115, tblAmazonUnits[cv_2020]) + SUMIF(tblMicrosoftUnits[Products],$A115, tblMicrosoftUnits[cv_2020]) + SUMIF(tblAppleUnits[Products],$A115, tblAppleUnits[cv_2020]) + SUMIF(tblAlibabaUnits[Products],$A115, tblAlibabaUnits[cv_2020]) + SUMIF(tblHuaweiUnits[Products],$A115, tblHuaweiUnits[cv_2020]) + SUMIF(tblTencentUnits[Products],$A115, tblTencentUnits[cv_2020]) + SUMIF(tblBaiduUnits[Products],$A115, tblBaiduUnits[cv_2020]) + SUMIF(tblByteDanceUnits[Products],$A115, tblByteDanceUnits[cv_2020]) + SUMIF(tblCloudAOUnits[Products],$A115, tblCloudAOUnits[cv_2020]) + SUMIF(tblTelecomUnits[Products],$A115, tblTelecomUnits[cv_2020]) + SUMIF(tblEnterpriseUnits[Products],$A115, tblEnterpriseUnits[cv_2020])</f>
        <v>0</v>
      </c>
      <c r="E115" s="8">
        <f xml:space="preserve"> SUMIF(tblGoogleUnits[Products],$A115, tblGoogleUnits[cv_2021]) + SUMIF(tblMetaUnits[Products],$A115, tblMetaUnits[cv_2021]) + SUMIF(tblAmazonUnits[Products],$A115, tblAmazonUnits[cv_2021]) + SUMIF(tblMicrosoftUnits[Products],$A115, tblMicrosoftUnits[cv_2021]) + SUMIF(tblAppleUnits[Products],$A115, tblAppleUnits[cv_2021]) + SUMIF(tblAlibabaUnits[Products],$A115, tblAlibabaUnits[cv_2021]) + SUMIF(tblHuaweiUnits[Products],$A115, tblHuaweiUnits[cv_2021]) + SUMIF(tblTencentUnits[Products],$A115, tblTencentUnits[cv_2021]) + SUMIF(tblBaiduUnits[Products],$A115, tblBaiduUnits[cv_2021]) + SUMIF(tblByteDanceUnits[Products],$A115, tblByteDanceUnits[cv_2021]) + SUMIF(tblCloudAOUnits[Products],$A115, tblCloudAOUnits[cv_2021]) + SUMIF(tblTelecomUnits[Products],$A115, tblTelecomUnits[cv_2021]) + SUMIF(tblEnterpriseUnits[Products],$A115, tblEnterpriseUnits[cv_2021])</f>
        <v>0</v>
      </c>
      <c r="F115" s="8">
        <f xml:space="preserve"> SUMIF(tblGoogleUnits[Products],$A115, tblGoogleUnits[cv_2022]) + SUMIF(tblMetaUnits[Products],$A115, tblMetaUnits[cv_2022]) + SUMIF(tblAmazonUnits[Products],$A115, tblAmazonUnits[cv_2022]) + SUMIF(tblMicrosoftUnits[Products],$A115, tblMicrosoftUnits[cv_2022]) + SUMIF(tblAppleUnits[Products],$A115, tblAppleUnits[cv_2022]) + SUMIF(tblAlibabaUnits[Products],$A115, tblAlibabaUnits[cv_2022]) + SUMIF(tblHuaweiUnits[Products],$A115, tblHuaweiUnits[cv_2022]) + SUMIF(tblTencentUnits[Products],$A115, tblTencentUnits[cv_2022]) + SUMIF(tblBaiduUnits[Products],$A115, tblBaiduUnits[cv_2022]) + SUMIF(tblByteDanceUnits[Products],$A115, tblByteDanceUnits[cv_2022]) + SUMIF(tblCloudAOUnits[Products],$A115, tblCloudAOUnits[cv_2022]) + SUMIF(tblTelecomUnits[Products],$A115, tblTelecomUnits[cv_2022]) + SUMIF(tblEnterpriseUnits[Products],$A115, tblEnterpriseUnits[cv_2022])</f>
        <v>0</v>
      </c>
      <c r="G115" s="8">
        <f xml:space="preserve"> SUMIF(tblGoogleUnits[Products],$A115, tblGoogleUnits[cv_2023]) + SUMIF(tblMetaUnits[Products],$A115, tblMetaUnits[cv_2023]) + SUMIF(tblAmazonUnits[Products],$A115, tblAmazonUnits[cv_2023]) + SUMIF(tblMicrosoftUnits[Products],$A115, tblMicrosoftUnits[cv_2023]) + SUMIF(tblAppleUnits[Products],$A115, tblAppleUnits[cv_2023]) + SUMIF(tblAlibabaUnits[Products],$A115, tblAlibabaUnits[cv_2023]) + SUMIF(tblHuaweiUnits[Products],$A115, tblHuaweiUnits[cv_2023]) + SUMIF(tblTencentUnits[Products],$A115, tblTencentUnits[cv_2023]) + SUMIF(tblBaiduUnits[Products],$A115, tblBaiduUnits[cv_2023]) + SUMIF(tblByteDanceUnits[Products],$A115, tblByteDanceUnits[cv_2023]) + SUMIF(tblCloudAOUnits[Products],$A115, tblCloudAOUnits[cv_2023]) + SUMIF(tblTelecomUnits[Products],$A115, tblTelecomUnits[cv_2023]) + SUMIF(tblEnterpriseUnits[Products],$A115, tblEnterpriseUnits[cv_2023])</f>
        <v>0</v>
      </c>
      <c r="H115" s="8">
        <f xml:space="preserve"> SUMIF(tblGoogleUnits[Products],$A115, tblGoogleUnits[cv_2024]) + SUMIF(tblMetaUnits[Products],$A115, tblMetaUnits[cv_2024]) + SUMIF(tblAmazonUnits[Products],$A115, tblAmazonUnits[cv_2024]) + SUMIF(tblMicrosoftUnits[Products],$A115, tblMicrosoftUnits[cv_2024]) + SUMIF(tblAppleUnits[Products],$A115, tblAppleUnits[cv_2024]) + SUMIF(tblAlibabaUnits[Products],$A115, tblAlibabaUnits[cv_2024]) + SUMIF(tblHuaweiUnits[Products],$A115, tblHuaweiUnits[cv_2024]) + SUMIF(tblTencentUnits[Products],$A115, tblTencentUnits[cv_2024]) + SUMIF(tblBaiduUnits[Products],$A115, tblBaiduUnits[cv_2024]) + SUMIF(tblByteDanceUnits[Products],$A115, tblByteDanceUnits[cv_2024]) + SUMIF(tblCloudAOUnits[Products],$A115, tblCloudAOUnits[cv_2024]) + SUMIF(tblTelecomUnits[Products],$A115, tblTelecomUnits[cv_2024]) + SUMIF(tblEnterpriseUnits[Products],$A115, tblEnterpriseUnits[cv_2024])</f>
        <v>0</v>
      </c>
      <c r="I115" s="8">
        <f xml:space="preserve"> SUMIF(tblGoogleUnits[Products],$A115, tblGoogleUnits[cv_2025]) + SUMIF(tblMetaUnits[Products],$A115, tblMetaUnits[cv_2025]) + SUMIF(tblAmazonUnits[Products],$A115, tblAmazonUnits[cv_2025]) + SUMIF(tblMicrosoftUnits[Products],$A115, tblMicrosoftUnits[cv_2025]) + SUMIF(tblAppleUnits[Products],$A115, tblAppleUnits[cv_2025]) + SUMIF(tblAlibabaUnits[Products],$A115, tblAlibabaUnits[cv_2025]) + SUMIF(tblHuaweiUnits[Products],$A115, tblHuaweiUnits[cv_2025]) + SUMIF(tblTencentUnits[Products],$A115, tblTencentUnits[cv_2025]) + SUMIF(tblBaiduUnits[Products],$A115, tblBaiduUnits[cv_2025]) + SUMIF(tblByteDanceUnits[Products],$A115, tblByteDanceUnits[cv_2025]) + SUMIF(tblCloudAOUnits[Products],$A115, tblCloudAOUnits[cv_2025]) + SUMIF(tblTelecomUnits[Products],$A115, tblTelecomUnits[cv_2025]) + SUMIF(tblEnterpriseUnits[Products],$A115, tblEnterpriseUnits[cv_2025])</f>
        <v>0</v>
      </c>
      <c r="J115" s="8">
        <f xml:space="preserve"> SUMIF(tblGoogleUnits[Products],$A115, tblGoogleUnits[cv_2026]) + SUMIF(tblMetaUnits[Products],$A115, tblMetaUnits[cv_2026]) + SUMIF(tblAmazonUnits[Products],$A115, tblAmazonUnits[cv_2026]) + SUMIF(tblMicrosoftUnits[Products],$A115, tblMicrosoftUnits[cv_2026]) + SUMIF(tblAppleUnits[Products],$A115, tblAppleUnits[cv_2026]) + SUMIF(tblAlibabaUnits[Products],$A115, tblAlibabaUnits[cv_2026]) + SUMIF(tblHuaweiUnits[Products],$A115, tblHuaweiUnits[cv_2026]) + SUMIF(tblTencentUnits[Products],$A115, tblTencentUnits[cv_2026]) + SUMIF(tblBaiduUnits[Products],$A115, tblBaiduUnits[cv_2026]) + SUMIF(tblByteDanceUnits[Products],$A115, tblByteDanceUnits[cv_2026]) + SUMIF(tblCloudAOUnits[Products],$A115, tblCloudAOUnits[cv_2026]) + SUMIF(tblTelecomUnits[Products],$A115, tblTelecomUnits[cv_2026]) + SUMIF(tblEnterpriseUnits[Products],$A115, tblEnterpriseUnits[cv_2026])</f>
        <v>0</v>
      </c>
      <c r="K115" s="8">
        <f xml:space="preserve"> SUMIF(tblGoogleUnits[Products],$A115, tblGoogleUnits[cv_2027]) + SUMIF(tblMetaUnits[Products],$A115, tblMetaUnits[cv_2027]) + SUMIF(tblAmazonUnits[Products],$A115, tblAmazonUnits[cv_2027]) + SUMIF(tblMicrosoftUnits[Products],$A115, tblMicrosoftUnits[cv_2027]) + SUMIF(tblAppleUnits[Products],$A115, tblAppleUnits[cv_2027]) + SUMIF(tblAlibabaUnits[Products],$A115, tblAlibabaUnits[cv_2027]) + SUMIF(tblHuaweiUnits[Products],$A115, tblHuaweiUnits[cv_2027]) + SUMIF(tblTencentUnits[Products],$A115, tblTencentUnits[cv_2027]) + SUMIF(tblBaiduUnits[Products],$A115, tblBaiduUnits[cv_2027]) + SUMIF(tblByteDanceUnits[Products],$A115, tblByteDanceUnits[cv_2027]) + SUMIF(tblCloudAOUnits[Products],$A115, tblCloudAOUnits[cv_2027]) + SUMIF(tblTelecomUnits[Products],$A115, tblTelecomUnits[cv_2027]) + SUMIF(tblEnterpriseUnits[Products],$A115, tblEnterpriseUnits[cv_2027])</f>
        <v>0</v>
      </c>
      <c r="L115" s="8">
        <f xml:space="preserve"> SUMIF(tblGoogleUnits[Products],$A115, tblGoogleUnits[cv_2028]) + SUMIF(tblMetaUnits[Products],$A115, tblMetaUnits[cv_2028]) + SUMIF(tblAmazonUnits[Products],$A115, tblAmazonUnits[cv_2028]) + SUMIF(tblMicrosoftUnits[Products],$A115, tblMicrosoftUnits[cv_2028]) + SUMIF(tblAppleUnits[Products],$A115, tblAppleUnits[cv_2028]) + SUMIF(tblAlibabaUnits[Products],$A115, tblAlibabaUnits[cv_2028]) + SUMIF(tblHuaweiUnits[Products],$A115, tblHuaweiUnits[cv_2028]) + SUMIF(tblTencentUnits[Products],$A115, tblTencentUnits[cv_2028]) + SUMIF(tblBaiduUnits[Products],$A115, tblBaiduUnits[cv_2028]) + SUMIF(tblByteDanceUnits[Products],$A115, tblByteDanceUnits[cv_2028]) + SUMIF(tblCloudAOUnits[Products],$A115, tblCloudAOUnits[cv_2028]) + SUMIF(tblTelecomUnits[Products],$A115, tblTelecomUnits[cv_2028]) + SUMIF(tblEnterpriseUnits[Products],$A115, tblEnterpriseUnits[cv_2028])</f>
        <v>0</v>
      </c>
      <c r="M115" s="105" cm="1">
        <f t="array" ref="M115">INDEX(tblPrices[cv_2018], MATCH($A115,tblPrices[Products],0), 0)</f>
        <v>6000</v>
      </c>
      <c r="N115" s="105" cm="1">
        <f t="array" ref="N115">INDEX(tblPrices[cv_2019], MATCH($A115,tblPrices[Products],0), 0)</f>
        <v>4800</v>
      </c>
      <c r="O115" s="105" cm="1">
        <f t="array" ref="O115">INDEX(tblPrices[cv_2020], MATCH($A115,tblPrices[Products],0), 0)</f>
        <v>0</v>
      </c>
      <c r="P115" s="105" cm="1">
        <f t="array" ref="P115">INDEX(tblPrices[cv_2021], MATCH($A115,tblPrices[Products],0), 0)</f>
        <v>0</v>
      </c>
      <c r="Q115" s="105" cm="1">
        <f t="array" ref="Q115">INDEX(tblPrices[cv_2022], MATCH($A115,tblPrices[Products],0), 0)</f>
        <v>0</v>
      </c>
      <c r="R115" s="105" cm="1">
        <f t="array" ref="R115">INDEX(tblPrices[cv_2023], MATCH($A115,tblPrices[Products],0), 0)</f>
        <v>0</v>
      </c>
      <c r="S115" s="105" cm="1">
        <f t="array" ref="S115">INDEX(tblPrices[cv_2024], MATCH($A115,tblPrices[Products],0), 0)</f>
        <v>0</v>
      </c>
      <c r="T115" s="105" cm="1">
        <f t="array" ref="T115">INDEX(tblPrices[cv_2025], MATCH($A115,tblPrices[Products],0), 0)</f>
        <v>0</v>
      </c>
      <c r="U115" s="105" cm="1">
        <f t="array" ref="U115">INDEX(tblPrices[cv_2026], MATCH($A115,tblPrices[Products],0), 0)</f>
        <v>0</v>
      </c>
      <c r="V115" s="105" cm="1">
        <f t="array" ref="V115">INDEX(tblPrices[cv_2027], MATCH($A115,tblPrices[Products],0), 0)</f>
        <v>0</v>
      </c>
      <c r="W115" s="105" cm="1">
        <f t="array" ref="W115">INDEX(tblPrices[cv_2028], MATCH($A115,tblPrices[Products],0), 0)</f>
        <v>0</v>
      </c>
      <c r="X115" s="106" cm="1">
        <f t="array" ref="X115">INDEX(tblPrices[cv_2018], MATCH($A115,tblPrices[Products],0), 0)* tblForecast[[#This Row],[un_2018]]/10^6</f>
        <v>184.47000000000003</v>
      </c>
      <c r="Y115" s="106" cm="1">
        <f t="array" ref="Y115">INDEX(tblPrices[cv_2019], MATCH($A115,tblPrices[Products],0), 0)* tblForecast[[#This Row],[un_2019]]/10^6</f>
        <v>411.51840000000004</v>
      </c>
      <c r="Z115" s="106" cm="1">
        <f t="array" ref="Z115">INDEX(tblPrices[cv_2020], MATCH($A115,tblPrices[Products],0), 0)* tblForecast[[#This Row],[un_2020]]/10^6</f>
        <v>0</v>
      </c>
      <c r="AA115" s="106" cm="1">
        <f t="array" ref="AA115">INDEX(tblPrices[cv_2021], MATCH($A115,tblPrices[Products],0), 0)* tblForecast[[#This Row],[un_2021]]/10^6</f>
        <v>0</v>
      </c>
      <c r="AB115" s="106" cm="1">
        <f t="array" ref="AB115">INDEX(tblPrices[cv_2022], MATCH($A115,tblPrices[Products],0), 0)* tblForecast[[#This Row],[un_2022]]/10^6</f>
        <v>0</v>
      </c>
      <c r="AC115" s="106" cm="1">
        <f t="array" ref="AC115">INDEX(tblPrices[cv_2023], MATCH($A115,tblPrices[Products],0), 0)* tblForecast[[#This Row],[un_2023]]/10^6</f>
        <v>0</v>
      </c>
      <c r="AD115" s="106" cm="1">
        <f t="array" ref="AD115">INDEX(tblPrices[cv_2024], MATCH($A115,tblPrices[Products],0), 0)* tblForecast[[#This Row],[un_2024]]/10^6</f>
        <v>0</v>
      </c>
      <c r="AE115" s="106" cm="1">
        <f t="array" ref="AE115">INDEX(tblPrices[cv_2025], MATCH($A115,tblPrices[Products],0), 0)* tblForecast[[#This Row],[un_2025]]/10^6</f>
        <v>0</v>
      </c>
      <c r="AF115" s="106" cm="1">
        <f t="array" ref="AF115">INDEX(tblPrices[cv_2026], MATCH($A115,tblPrices[Products],0), 0)* tblForecast[[#This Row],[un_2026]]/10^6</f>
        <v>0</v>
      </c>
      <c r="AG115" s="106" cm="1">
        <f t="array" ref="AG115">INDEX(tblPrices[cv_2027], MATCH($A115,tblPrices[Products],0), 0)* tblForecast[[#This Row],[un_2027]]/10^6</f>
        <v>0</v>
      </c>
      <c r="AH115" s="106" cm="1">
        <f t="array" ref="AH115">INDEX(tblPrices[cv_2028], MATCH($A115,tblPrices[Products],0), 0)* tblForecast[[#This Row],[un_2028]]/10^6</f>
        <v>0</v>
      </c>
      <c r="AI115" s="60">
        <f>VLOOKUP(A115,Products!$A$11:$F$110,6,FALSE)</f>
        <v>200</v>
      </c>
    </row>
    <row r="116" spans="1:35">
      <c r="A116" s="12" t="s">
        <v>30</v>
      </c>
      <c r="B116" s="8">
        <f xml:space="preserve"> SUMIF(tblGoogleUnits[Products],$A116, tblGoogleUnits[cv_2018]) + SUMIF(tblMetaUnits[Products],$A116, tblMetaUnits[cv_2018]) + SUMIF(tblAmazonUnits[Products],$A116, tblAmazonUnits[cv_2018]) + SUMIF(tblMicrosoftUnits[Products],$A116, tblMicrosoftUnits[cv_2018]) + SUMIF(tblAppleUnits[Products],$A116, tblAppleUnits[cv_2018]) + SUMIF(tblAlibabaUnits[Products],$A116, tblAlibabaUnits[cv_2018]) + SUMIF(tblHuaweiUnits[Products],$A116, tblHuaweiUnits[cv_2018]) + SUMIF(tblTencentUnits[Products],$A116, tblTencentUnits[cv_2018]) + SUMIF(tblBaiduUnits[Products],$A116, tblBaiduUnits[cv_2018]) + SUMIF(tblByteDanceUnits[Products],$A116, tblByteDanceUnits[cv_2018]) + SUMIF(tblCloudAOUnits[Products],$A116, tblCloudAOUnits[cv_2018]) + SUMIF(tblTelecomUnits[Products],$A116, tblTelecomUnits[cv_2018]) + SUMIF(tblEnterpriseUnits[Products],$A116, tblEnterpriseUnits[cv_2018])</f>
        <v>18203</v>
      </c>
      <c r="C116" s="8">
        <f xml:space="preserve"> SUMIF(tblGoogleUnits[Products],$A116, tblGoogleUnits[cv_2019]) + SUMIF(tblMetaUnits[Products],$A116, tblMetaUnits[cv_2019]) + SUMIF(tblAmazonUnits[Products],$A116, tblAmazonUnits[cv_2019]) + SUMIF(tblMicrosoftUnits[Products],$A116, tblMicrosoftUnits[cv_2019]) + SUMIF(tblAppleUnits[Products],$A116, tblAppleUnits[cv_2019]) + SUMIF(tblAlibabaUnits[Products],$A116, tblAlibabaUnits[cv_2019]) + SUMIF(tblHuaweiUnits[Products],$A116, tblHuaweiUnits[cv_2019]) + SUMIF(tblTencentUnits[Products],$A116, tblTencentUnits[cv_2019]) + SUMIF(tblBaiduUnits[Products],$A116, tblBaiduUnits[cv_2019]) + SUMIF(tblByteDanceUnits[Products],$A116, tblByteDanceUnits[cv_2019]) + SUMIF(tblCloudAOUnits[Products],$A116, tblCloudAOUnits[cv_2019]) + SUMIF(tblTelecomUnits[Products],$A116, tblTelecomUnits[cv_2019]) + SUMIF(tblEnterpriseUnits[Products],$A116, tblEnterpriseUnits[cv_2019])</f>
        <v>36096.800000000003</v>
      </c>
      <c r="D116" s="8">
        <f xml:space="preserve"> SUMIF(tblGoogleUnits[Products],$A116, tblGoogleUnits[cv_2020]) + SUMIF(tblMetaUnits[Products],$A116, tblMetaUnits[cv_2020]) + SUMIF(tblAmazonUnits[Products],$A116, tblAmazonUnits[cv_2020]) + SUMIF(tblMicrosoftUnits[Products],$A116, tblMicrosoftUnits[cv_2020]) + SUMIF(tblAppleUnits[Products],$A116, tblAppleUnits[cv_2020]) + SUMIF(tblAlibabaUnits[Products],$A116, tblAlibabaUnits[cv_2020]) + SUMIF(tblHuaweiUnits[Products],$A116, tblHuaweiUnits[cv_2020]) + SUMIF(tblTencentUnits[Products],$A116, tblTencentUnits[cv_2020]) + SUMIF(tblBaiduUnits[Products],$A116, tblBaiduUnits[cv_2020]) + SUMIF(tblByteDanceUnits[Products],$A116, tblByteDanceUnits[cv_2020]) + SUMIF(tblCloudAOUnits[Products],$A116, tblCloudAOUnits[cv_2020]) + SUMIF(tblTelecomUnits[Products],$A116, tblTelecomUnits[cv_2020]) + SUMIF(tblEnterpriseUnits[Products],$A116, tblEnterpriseUnits[cv_2020])</f>
        <v>0</v>
      </c>
      <c r="E116" s="8">
        <f xml:space="preserve"> SUMIF(tblGoogleUnits[Products],$A116, tblGoogleUnits[cv_2021]) + SUMIF(tblMetaUnits[Products],$A116, tblMetaUnits[cv_2021]) + SUMIF(tblAmazonUnits[Products],$A116, tblAmazonUnits[cv_2021]) + SUMIF(tblMicrosoftUnits[Products],$A116, tblMicrosoftUnits[cv_2021]) + SUMIF(tblAppleUnits[Products],$A116, tblAppleUnits[cv_2021]) + SUMIF(tblAlibabaUnits[Products],$A116, tblAlibabaUnits[cv_2021]) + SUMIF(tblHuaweiUnits[Products],$A116, tblHuaweiUnits[cv_2021]) + SUMIF(tblTencentUnits[Products],$A116, tblTencentUnits[cv_2021]) + SUMIF(tblBaiduUnits[Products],$A116, tblBaiduUnits[cv_2021]) + SUMIF(tblByteDanceUnits[Products],$A116, tblByteDanceUnits[cv_2021]) + SUMIF(tblCloudAOUnits[Products],$A116, tblCloudAOUnits[cv_2021]) + SUMIF(tblTelecomUnits[Products],$A116, tblTelecomUnits[cv_2021]) + SUMIF(tblEnterpriseUnits[Products],$A116, tblEnterpriseUnits[cv_2021])</f>
        <v>0</v>
      </c>
      <c r="F116" s="8">
        <f xml:space="preserve"> SUMIF(tblGoogleUnits[Products],$A116, tblGoogleUnits[cv_2022]) + SUMIF(tblMetaUnits[Products],$A116, tblMetaUnits[cv_2022]) + SUMIF(tblAmazonUnits[Products],$A116, tblAmazonUnits[cv_2022]) + SUMIF(tblMicrosoftUnits[Products],$A116, tblMicrosoftUnits[cv_2022]) + SUMIF(tblAppleUnits[Products],$A116, tblAppleUnits[cv_2022]) + SUMIF(tblAlibabaUnits[Products],$A116, tblAlibabaUnits[cv_2022]) + SUMIF(tblHuaweiUnits[Products],$A116, tblHuaweiUnits[cv_2022]) + SUMIF(tblTencentUnits[Products],$A116, tblTencentUnits[cv_2022]) + SUMIF(tblBaiduUnits[Products],$A116, tblBaiduUnits[cv_2022]) + SUMIF(tblByteDanceUnits[Products],$A116, tblByteDanceUnits[cv_2022]) + SUMIF(tblCloudAOUnits[Products],$A116, tblCloudAOUnits[cv_2022]) + SUMIF(tblTelecomUnits[Products],$A116, tblTelecomUnits[cv_2022]) + SUMIF(tblEnterpriseUnits[Products],$A116, tblEnterpriseUnits[cv_2022])</f>
        <v>0</v>
      </c>
      <c r="G116" s="8">
        <f xml:space="preserve"> SUMIF(tblGoogleUnits[Products],$A116, tblGoogleUnits[cv_2023]) + SUMIF(tblMetaUnits[Products],$A116, tblMetaUnits[cv_2023]) + SUMIF(tblAmazonUnits[Products],$A116, tblAmazonUnits[cv_2023]) + SUMIF(tblMicrosoftUnits[Products],$A116, tblMicrosoftUnits[cv_2023]) + SUMIF(tblAppleUnits[Products],$A116, tblAppleUnits[cv_2023]) + SUMIF(tblAlibabaUnits[Products],$A116, tblAlibabaUnits[cv_2023]) + SUMIF(tblHuaweiUnits[Products],$A116, tblHuaweiUnits[cv_2023]) + SUMIF(tblTencentUnits[Products],$A116, tblTencentUnits[cv_2023]) + SUMIF(tblBaiduUnits[Products],$A116, tblBaiduUnits[cv_2023]) + SUMIF(tblByteDanceUnits[Products],$A116, tblByteDanceUnits[cv_2023]) + SUMIF(tblCloudAOUnits[Products],$A116, tblCloudAOUnits[cv_2023]) + SUMIF(tblTelecomUnits[Products],$A116, tblTelecomUnits[cv_2023]) + SUMIF(tblEnterpriseUnits[Products],$A116, tblEnterpriseUnits[cv_2023])</f>
        <v>0</v>
      </c>
      <c r="H116" s="8">
        <f xml:space="preserve"> SUMIF(tblGoogleUnits[Products],$A116, tblGoogleUnits[cv_2024]) + SUMIF(tblMetaUnits[Products],$A116, tblMetaUnits[cv_2024]) + SUMIF(tblAmazonUnits[Products],$A116, tblAmazonUnits[cv_2024]) + SUMIF(tblMicrosoftUnits[Products],$A116, tblMicrosoftUnits[cv_2024]) + SUMIF(tblAppleUnits[Products],$A116, tblAppleUnits[cv_2024]) + SUMIF(tblAlibabaUnits[Products],$A116, tblAlibabaUnits[cv_2024]) + SUMIF(tblHuaweiUnits[Products],$A116, tblHuaweiUnits[cv_2024]) + SUMIF(tblTencentUnits[Products],$A116, tblTencentUnits[cv_2024]) + SUMIF(tblBaiduUnits[Products],$A116, tblBaiduUnits[cv_2024]) + SUMIF(tblByteDanceUnits[Products],$A116, tblByteDanceUnits[cv_2024]) + SUMIF(tblCloudAOUnits[Products],$A116, tblCloudAOUnits[cv_2024]) + SUMIF(tblTelecomUnits[Products],$A116, tblTelecomUnits[cv_2024]) + SUMIF(tblEnterpriseUnits[Products],$A116, tblEnterpriseUnits[cv_2024])</f>
        <v>0</v>
      </c>
      <c r="I116" s="8">
        <f xml:space="preserve"> SUMIF(tblGoogleUnits[Products],$A116, tblGoogleUnits[cv_2025]) + SUMIF(tblMetaUnits[Products],$A116, tblMetaUnits[cv_2025]) + SUMIF(tblAmazonUnits[Products],$A116, tblAmazonUnits[cv_2025]) + SUMIF(tblMicrosoftUnits[Products],$A116, tblMicrosoftUnits[cv_2025]) + SUMIF(tblAppleUnits[Products],$A116, tblAppleUnits[cv_2025]) + SUMIF(tblAlibabaUnits[Products],$A116, tblAlibabaUnits[cv_2025]) + SUMIF(tblHuaweiUnits[Products],$A116, tblHuaweiUnits[cv_2025]) + SUMIF(tblTencentUnits[Products],$A116, tblTencentUnits[cv_2025]) + SUMIF(tblBaiduUnits[Products],$A116, tblBaiduUnits[cv_2025]) + SUMIF(tblByteDanceUnits[Products],$A116, tblByteDanceUnits[cv_2025]) + SUMIF(tblCloudAOUnits[Products],$A116, tblCloudAOUnits[cv_2025]) + SUMIF(tblTelecomUnits[Products],$A116, tblTelecomUnits[cv_2025]) + SUMIF(tblEnterpriseUnits[Products],$A116, tblEnterpriseUnits[cv_2025])</f>
        <v>0</v>
      </c>
      <c r="J116" s="8">
        <f xml:space="preserve"> SUMIF(tblGoogleUnits[Products],$A116, tblGoogleUnits[cv_2026]) + SUMIF(tblMetaUnits[Products],$A116, tblMetaUnits[cv_2026]) + SUMIF(tblAmazonUnits[Products],$A116, tblAmazonUnits[cv_2026]) + SUMIF(tblMicrosoftUnits[Products],$A116, tblMicrosoftUnits[cv_2026]) + SUMIF(tblAppleUnits[Products],$A116, tblAppleUnits[cv_2026]) + SUMIF(tblAlibabaUnits[Products],$A116, tblAlibabaUnits[cv_2026]) + SUMIF(tblHuaweiUnits[Products],$A116, tblHuaweiUnits[cv_2026]) + SUMIF(tblTencentUnits[Products],$A116, tblTencentUnits[cv_2026]) + SUMIF(tblBaiduUnits[Products],$A116, tblBaiduUnits[cv_2026]) + SUMIF(tblByteDanceUnits[Products],$A116, tblByteDanceUnits[cv_2026]) + SUMIF(tblCloudAOUnits[Products],$A116, tblCloudAOUnits[cv_2026]) + SUMIF(tblTelecomUnits[Products],$A116, tblTelecomUnits[cv_2026]) + SUMIF(tblEnterpriseUnits[Products],$A116, tblEnterpriseUnits[cv_2026])</f>
        <v>0</v>
      </c>
      <c r="K116" s="8">
        <f xml:space="preserve"> SUMIF(tblGoogleUnits[Products],$A116, tblGoogleUnits[cv_2027]) + SUMIF(tblMetaUnits[Products],$A116, tblMetaUnits[cv_2027]) + SUMIF(tblAmazonUnits[Products],$A116, tblAmazonUnits[cv_2027]) + SUMIF(tblMicrosoftUnits[Products],$A116, tblMicrosoftUnits[cv_2027]) + SUMIF(tblAppleUnits[Products],$A116, tblAppleUnits[cv_2027]) + SUMIF(tblAlibabaUnits[Products],$A116, tblAlibabaUnits[cv_2027]) + SUMIF(tblHuaweiUnits[Products],$A116, tblHuaweiUnits[cv_2027]) + SUMIF(tblTencentUnits[Products],$A116, tblTencentUnits[cv_2027]) + SUMIF(tblBaiduUnits[Products],$A116, tblBaiduUnits[cv_2027]) + SUMIF(tblByteDanceUnits[Products],$A116, tblByteDanceUnits[cv_2027]) + SUMIF(tblCloudAOUnits[Products],$A116, tblCloudAOUnits[cv_2027]) + SUMIF(tblTelecomUnits[Products],$A116, tblTelecomUnits[cv_2027]) + SUMIF(tblEnterpriseUnits[Products],$A116, tblEnterpriseUnits[cv_2027])</f>
        <v>0</v>
      </c>
      <c r="L116" s="8">
        <f xml:space="preserve"> SUMIF(tblGoogleUnits[Products],$A116, tblGoogleUnits[cv_2028]) + SUMIF(tblMetaUnits[Products],$A116, tblMetaUnits[cv_2028]) + SUMIF(tblAmazonUnits[Products],$A116, tblAmazonUnits[cv_2028]) + SUMIF(tblMicrosoftUnits[Products],$A116, tblMicrosoftUnits[cv_2028]) + SUMIF(tblAppleUnits[Products],$A116, tblAppleUnits[cv_2028]) + SUMIF(tblAlibabaUnits[Products],$A116, tblAlibabaUnits[cv_2028]) + SUMIF(tblHuaweiUnits[Products],$A116, tblHuaweiUnits[cv_2028]) + SUMIF(tblTencentUnits[Products],$A116, tblTencentUnits[cv_2028]) + SUMIF(tblBaiduUnits[Products],$A116, tblBaiduUnits[cv_2028]) + SUMIF(tblByteDanceUnits[Products],$A116, tblByteDanceUnits[cv_2028]) + SUMIF(tblCloudAOUnits[Products],$A116, tblCloudAOUnits[cv_2028]) + SUMIF(tblTelecomUnits[Products],$A116, tblTelecomUnits[cv_2028]) + SUMIF(tblEnterpriseUnits[Products],$A116, tblEnterpriseUnits[cv_2028])</f>
        <v>0</v>
      </c>
      <c r="M116" s="105" cm="1">
        <f t="array" ref="M116">INDEX(tblPrices[cv_2018], MATCH($A116,tblPrices[Products],0), 0)</f>
        <v>5600</v>
      </c>
      <c r="N116" s="105" cm="1">
        <f t="array" ref="N116">INDEX(tblPrices[cv_2019], MATCH($A116,tblPrices[Products],0), 0)</f>
        <v>4300</v>
      </c>
      <c r="O116" s="105" cm="1">
        <f t="array" ref="O116">INDEX(tblPrices[cv_2020], MATCH($A116,tblPrices[Products],0), 0)</f>
        <v>0</v>
      </c>
      <c r="P116" s="105" cm="1">
        <f t="array" ref="P116">INDEX(tblPrices[cv_2021], MATCH($A116,tblPrices[Products],0), 0)</f>
        <v>0</v>
      </c>
      <c r="Q116" s="105" cm="1">
        <f t="array" ref="Q116">INDEX(tblPrices[cv_2022], MATCH($A116,tblPrices[Products],0), 0)</f>
        <v>0</v>
      </c>
      <c r="R116" s="105" cm="1">
        <f t="array" ref="R116">INDEX(tblPrices[cv_2023], MATCH($A116,tblPrices[Products],0), 0)</f>
        <v>0</v>
      </c>
      <c r="S116" s="105" cm="1">
        <f t="array" ref="S116">INDEX(tblPrices[cv_2024], MATCH($A116,tblPrices[Products],0), 0)</f>
        <v>0</v>
      </c>
      <c r="T116" s="105" cm="1">
        <f t="array" ref="T116">INDEX(tblPrices[cv_2025], MATCH($A116,tblPrices[Products],0), 0)</f>
        <v>0</v>
      </c>
      <c r="U116" s="105" cm="1">
        <f t="array" ref="U116">INDEX(tblPrices[cv_2026], MATCH($A116,tblPrices[Products],0), 0)</f>
        <v>0</v>
      </c>
      <c r="V116" s="105" cm="1">
        <f t="array" ref="V116">INDEX(tblPrices[cv_2027], MATCH($A116,tblPrices[Products],0), 0)</f>
        <v>0</v>
      </c>
      <c r="W116" s="105" cm="1">
        <f t="array" ref="W116">INDEX(tblPrices[cv_2028], MATCH($A116,tblPrices[Products],0), 0)</f>
        <v>0</v>
      </c>
      <c r="X116" s="106" cm="1">
        <f t="array" ref="X116">INDEX(tblPrices[cv_2018], MATCH($A116,tblPrices[Products],0), 0)* tblForecast[[#This Row],[un_2018]]/10^6</f>
        <v>101.93680000000001</v>
      </c>
      <c r="Y116" s="106" cm="1">
        <f t="array" ref="Y116">INDEX(tblPrices[cv_2019], MATCH($A116,tblPrices[Products],0), 0)* tblForecast[[#This Row],[un_2019]]/10^6</f>
        <v>155.21624</v>
      </c>
      <c r="Z116" s="106" cm="1">
        <f t="array" ref="Z116">INDEX(tblPrices[cv_2020], MATCH($A116,tblPrices[Products],0), 0)* tblForecast[[#This Row],[un_2020]]/10^6</f>
        <v>0</v>
      </c>
      <c r="AA116" s="106" cm="1">
        <f t="array" ref="AA116">INDEX(tblPrices[cv_2021], MATCH($A116,tblPrices[Products],0), 0)* tblForecast[[#This Row],[un_2021]]/10^6</f>
        <v>0</v>
      </c>
      <c r="AB116" s="106" cm="1">
        <f t="array" ref="AB116">INDEX(tblPrices[cv_2022], MATCH($A116,tblPrices[Products],0), 0)* tblForecast[[#This Row],[un_2022]]/10^6</f>
        <v>0</v>
      </c>
      <c r="AC116" s="106" cm="1">
        <f t="array" ref="AC116">INDEX(tblPrices[cv_2023], MATCH($A116,tblPrices[Products],0), 0)* tblForecast[[#This Row],[un_2023]]/10^6</f>
        <v>0</v>
      </c>
      <c r="AD116" s="106" cm="1">
        <f t="array" ref="AD116">INDEX(tblPrices[cv_2024], MATCH($A116,tblPrices[Products],0), 0)* tblForecast[[#This Row],[un_2024]]/10^6</f>
        <v>0</v>
      </c>
      <c r="AE116" s="106" cm="1">
        <f t="array" ref="AE116">INDEX(tblPrices[cv_2025], MATCH($A116,tblPrices[Products],0), 0)* tblForecast[[#This Row],[un_2025]]/10^6</f>
        <v>0</v>
      </c>
      <c r="AF116" s="106" cm="1">
        <f t="array" ref="AF116">INDEX(tblPrices[cv_2026], MATCH($A116,tblPrices[Products],0), 0)* tblForecast[[#This Row],[un_2026]]/10^6</f>
        <v>0</v>
      </c>
      <c r="AG116" s="106" cm="1">
        <f t="array" ref="AG116">INDEX(tblPrices[cv_2027], MATCH($A116,tblPrices[Products],0), 0)* tblForecast[[#This Row],[un_2027]]/10^6</f>
        <v>0</v>
      </c>
      <c r="AH116" s="106" cm="1">
        <f t="array" ref="AH116">INDEX(tblPrices[cv_2028], MATCH($A116,tblPrices[Products],0), 0)* tblForecast[[#This Row],[un_2028]]/10^6</f>
        <v>0</v>
      </c>
      <c r="AI116" s="60">
        <f>VLOOKUP(A116,Products!$A$11:$F$110,6,FALSE)</f>
        <v>200</v>
      </c>
    </row>
    <row r="117" spans="1:35">
      <c r="A117" s="12" t="s">
        <v>31</v>
      </c>
      <c r="B117" s="8">
        <f xml:space="preserve"> SUMIF(tblGoogleUnits[Products],$A117, tblGoogleUnits[cv_2018]) + SUMIF(tblMetaUnits[Products],$A117, tblMetaUnits[cv_2018]) + SUMIF(tblAmazonUnits[Products],$A117, tblAmazonUnits[cv_2018]) + SUMIF(tblMicrosoftUnits[Products],$A117, tblMicrosoftUnits[cv_2018]) + SUMIF(tblAppleUnits[Products],$A117, tblAppleUnits[cv_2018]) + SUMIF(tblAlibabaUnits[Products],$A117, tblAlibabaUnits[cv_2018]) + SUMIF(tblHuaweiUnits[Products],$A117, tblHuaweiUnits[cv_2018]) + SUMIF(tblTencentUnits[Products],$A117, tblTencentUnits[cv_2018]) + SUMIF(tblBaiduUnits[Products],$A117, tblBaiduUnits[cv_2018]) + SUMIF(tblByteDanceUnits[Products],$A117, tblByteDanceUnits[cv_2018]) + SUMIF(tblCloudAOUnits[Products],$A117, tblCloudAOUnits[cv_2018]) + SUMIF(tblTelecomUnits[Products],$A117, tblTelecomUnits[cv_2018]) + SUMIF(tblEnterpriseUnits[Products],$A117, tblEnterpriseUnits[cv_2018])</f>
        <v>17500</v>
      </c>
      <c r="C117" s="8">
        <f xml:space="preserve"> SUMIF(tblGoogleUnits[Products],$A117, tblGoogleUnits[cv_2019]) + SUMIF(tblMetaUnits[Products],$A117, tblMetaUnits[cv_2019]) + SUMIF(tblAmazonUnits[Products],$A117, tblAmazonUnits[cv_2019]) + SUMIF(tblMicrosoftUnits[Products],$A117, tblMicrosoftUnits[cv_2019]) + SUMIF(tblAppleUnits[Products],$A117, tblAppleUnits[cv_2019]) + SUMIF(tblAlibabaUnits[Products],$A117, tblAlibabaUnits[cv_2019]) + SUMIF(tblHuaweiUnits[Products],$A117, tblHuaweiUnits[cv_2019]) + SUMIF(tblTencentUnits[Products],$A117, tblTencentUnits[cv_2019]) + SUMIF(tblBaiduUnits[Products],$A117, tblBaiduUnits[cv_2019]) + SUMIF(tblByteDanceUnits[Products],$A117, tblByteDanceUnits[cv_2019]) + SUMIF(tblCloudAOUnits[Products],$A117, tblCloudAOUnits[cv_2019]) + SUMIF(tblTelecomUnits[Products],$A117, tblTelecomUnits[cv_2019]) + SUMIF(tblEnterpriseUnits[Products],$A117, tblEnterpriseUnits[cv_2019])</f>
        <v>38700</v>
      </c>
      <c r="D117" s="8">
        <f xml:space="preserve"> SUMIF(tblGoogleUnits[Products],$A117, tblGoogleUnits[cv_2020]) + SUMIF(tblMetaUnits[Products],$A117, tblMetaUnits[cv_2020]) + SUMIF(tblAmazonUnits[Products],$A117, tblAmazonUnits[cv_2020]) + SUMIF(tblMicrosoftUnits[Products],$A117, tblMicrosoftUnits[cv_2020]) + SUMIF(tblAppleUnits[Products],$A117, tblAppleUnits[cv_2020]) + SUMIF(tblAlibabaUnits[Products],$A117, tblAlibabaUnits[cv_2020]) + SUMIF(tblHuaweiUnits[Products],$A117, tblHuaweiUnits[cv_2020]) + SUMIF(tblTencentUnits[Products],$A117, tblTencentUnits[cv_2020]) + SUMIF(tblBaiduUnits[Products],$A117, tblBaiduUnits[cv_2020]) + SUMIF(tblByteDanceUnits[Products],$A117, tblByteDanceUnits[cv_2020]) + SUMIF(tblCloudAOUnits[Products],$A117, tblCloudAOUnits[cv_2020]) + SUMIF(tblTelecomUnits[Products],$A117, tblTelecomUnits[cv_2020]) + SUMIF(tblEnterpriseUnits[Products],$A117, tblEnterpriseUnits[cv_2020])</f>
        <v>0</v>
      </c>
      <c r="E117" s="8">
        <f xml:space="preserve"> SUMIF(tblGoogleUnits[Products],$A117, tblGoogleUnits[cv_2021]) + SUMIF(tblMetaUnits[Products],$A117, tblMetaUnits[cv_2021]) + SUMIF(tblAmazonUnits[Products],$A117, tblAmazonUnits[cv_2021]) + SUMIF(tblMicrosoftUnits[Products],$A117, tblMicrosoftUnits[cv_2021]) + SUMIF(tblAppleUnits[Products],$A117, tblAppleUnits[cv_2021]) + SUMIF(tblAlibabaUnits[Products],$A117, tblAlibabaUnits[cv_2021]) + SUMIF(tblHuaweiUnits[Products],$A117, tblHuaweiUnits[cv_2021]) + SUMIF(tblTencentUnits[Products],$A117, tblTencentUnits[cv_2021]) + SUMIF(tblBaiduUnits[Products],$A117, tblBaiduUnits[cv_2021]) + SUMIF(tblByteDanceUnits[Products],$A117, tblByteDanceUnits[cv_2021]) + SUMIF(tblCloudAOUnits[Products],$A117, tblCloudAOUnits[cv_2021]) + SUMIF(tblTelecomUnits[Products],$A117, tblTelecomUnits[cv_2021]) + SUMIF(tblEnterpriseUnits[Products],$A117, tblEnterpriseUnits[cv_2021])</f>
        <v>0</v>
      </c>
      <c r="F117" s="8">
        <f xml:space="preserve"> SUMIF(tblGoogleUnits[Products],$A117, tblGoogleUnits[cv_2022]) + SUMIF(tblMetaUnits[Products],$A117, tblMetaUnits[cv_2022]) + SUMIF(tblAmazonUnits[Products],$A117, tblAmazonUnits[cv_2022]) + SUMIF(tblMicrosoftUnits[Products],$A117, tblMicrosoftUnits[cv_2022]) + SUMIF(tblAppleUnits[Products],$A117, tblAppleUnits[cv_2022]) + SUMIF(tblAlibabaUnits[Products],$A117, tblAlibabaUnits[cv_2022]) + SUMIF(tblHuaweiUnits[Products],$A117, tblHuaweiUnits[cv_2022]) + SUMIF(tblTencentUnits[Products],$A117, tblTencentUnits[cv_2022]) + SUMIF(tblBaiduUnits[Products],$A117, tblBaiduUnits[cv_2022]) + SUMIF(tblByteDanceUnits[Products],$A117, tblByteDanceUnits[cv_2022]) + SUMIF(tblCloudAOUnits[Products],$A117, tblCloudAOUnits[cv_2022]) + SUMIF(tblTelecomUnits[Products],$A117, tblTelecomUnits[cv_2022]) + SUMIF(tblEnterpriseUnits[Products],$A117, tblEnterpriseUnits[cv_2022])</f>
        <v>0</v>
      </c>
      <c r="G117" s="8">
        <f xml:space="preserve"> SUMIF(tblGoogleUnits[Products],$A117, tblGoogleUnits[cv_2023]) + SUMIF(tblMetaUnits[Products],$A117, tblMetaUnits[cv_2023]) + SUMIF(tblAmazonUnits[Products],$A117, tblAmazonUnits[cv_2023]) + SUMIF(tblMicrosoftUnits[Products],$A117, tblMicrosoftUnits[cv_2023]) + SUMIF(tblAppleUnits[Products],$A117, tblAppleUnits[cv_2023]) + SUMIF(tblAlibabaUnits[Products],$A117, tblAlibabaUnits[cv_2023]) + SUMIF(tblHuaweiUnits[Products],$A117, tblHuaweiUnits[cv_2023]) + SUMIF(tblTencentUnits[Products],$A117, tblTencentUnits[cv_2023]) + SUMIF(tblBaiduUnits[Products],$A117, tblBaiduUnits[cv_2023]) + SUMIF(tblByteDanceUnits[Products],$A117, tblByteDanceUnits[cv_2023]) + SUMIF(tblCloudAOUnits[Products],$A117, tblCloudAOUnits[cv_2023]) + SUMIF(tblTelecomUnits[Products],$A117, tblTelecomUnits[cv_2023]) + SUMIF(tblEnterpriseUnits[Products],$A117, tblEnterpriseUnits[cv_2023])</f>
        <v>0</v>
      </c>
      <c r="H117" s="8">
        <f xml:space="preserve"> SUMIF(tblGoogleUnits[Products],$A117, tblGoogleUnits[cv_2024]) + SUMIF(tblMetaUnits[Products],$A117, tblMetaUnits[cv_2024]) + SUMIF(tblAmazonUnits[Products],$A117, tblAmazonUnits[cv_2024]) + SUMIF(tblMicrosoftUnits[Products],$A117, tblMicrosoftUnits[cv_2024]) + SUMIF(tblAppleUnits[Products],$A117, tblAppleUnits[cv_2024]) + SUMIF(tblAlibabaUnits[Products],$A117, tblAlibabaUnits[cv_2024]) + SUMIF(tblHuaweiUnits[Products],$A117, tblHuaweiUnits[cv_2024]) + SUMIF(tblTencentUnits[Products],$A117, tblTencentUnits[cv_2024]) + SUMIF(tblBaiduUnits[Products],$A117, tblBaiduUnits[cv_2024]) + SUMIF(tblByteDanceUnits[Products],$A117, tblByteDanceUnits[cv_2024]) + SUMIF(tblCloudAOUnits[Products],$A117, tblCloudAOUnits[cv_2024]) + SUMIF(tblTelecomUnits[Products],$A117, tblTelecomUnits[cv_2024]) + SUMIF(tblEnterpriseUnits[Products],$A117, tblEnterpriseUnits[cv_2024])</f>
        <v>0</v>
      </c>
      <c r="I117" s="8">
        <f xml:space="preserve"> SUMIF(tblGoogleUnits[Products],$A117, tblGoogleUnits[cv_2025]) + SUMIF(tblMetaUnits[Products],$A117, tblMetaUnits[cv_2025]) + SUMIF(tblAmazonUnits[Products],$A117, tblAmazonUnits[cv_2025]) + SUMIF(tblMicrosoftUnits[Products],$A117, tblMicrosoftUnits[cv_2025]) + SUMIF(tblAppleUnits[Products],$A117, tblAppleUnits[cv_2025]) + SUMIF(tblAlibabaUnits[Products],$A117, tblAlibabaUnits[cv_2025]) + SUMIF(tblHuaweiUnits[Products],$A117, tblHuaweiUnits[cv_2025]) + SUMIF(tblTencentUnits[Products],$A117, tblTencentUnits[cv_2025]) + SUMIF(tblBaiduUnits[Products],$A117, tblBaiduUnits[cv_2025]) + SUMIF(tblByteDanceUnits[Products],$A117, tblByteDanceUnits[cv_2025]) + SUMIF(tblCloudAOUnits[Products],$A117, tblCloudAOUnits[cv_2025]) + SUMIF(tblTelecomUnits[Products],$A117, tblTelecomUnits[cv_2025]) + SUMIF(tblEnterpriseUnits[Products],$A117, tblEnterpriseUnits[cv_2025])</f>
        <v>0</v>
      </c>
      <c r="J117" s="8">
        <f xml:space="preserve"> SUMIF(tblGoogleUnits[Products],$A117, tblGoogleUnits[cv_2026]) + SUMIF(tblMetaUnits[Products],$A117, tblMetaUnits[cv_2026]) + SUMIF(tblAmazonUnits[Products],$A117, tblAmazonUnits[cv_2026]) + SUMIF(tblMicrosoftUnits[Products],$A117, tblMicrosoftUnits[cv_2026]) + SUMIF(tblAppleUnits[Products],$A117, tblAppleUnits[cv_2026]) + SUMIF(tblAlibabaUnits[Products],$A117, tblAlibabaUnits[cv_2026]) + SUMIF(tblHuaweiUnits[Products],$A117, tblHuaweiUnits[cv_2026]) + SUMIF(tblTencentUnits[Products],$A117, tblTencentUnits[cv_2026]) + SUMIF(tblBaiduUnits[Products],$A117, tblBaiduUnits[cv_2026]) + SUMIF(tblByteDanceUnits[Products],$A117, tblByteDanceUnits[cv_2026]) + SUMIF(tblCloudAOUnits[Products],$A117, tblCloudAOUnits[cv_2026]) + SUMIF(tblTelecomUnits[Products],$A117, tblTelecomUnits[cv_2026]) + SUMIF(tblEnterpriseUnits[Products],$A117, tblEnterpriseUnits[cv_2026])</f>
        <v>0</v>
      </c>
      <c r="K117" s="8">
        <f xml:space="preserve"> SUMIF(tblGoogleUnits[Products],$A117, tblGoogleUnits[cv_2027]) + SUMIF(tblMetaUnits[Products],$A117, tblMetaUnits[cv_2027]) + SUMIF(tblAmazonUnits[Products],$A117, tblAmazonUnits[cv_2027]) + SUMIF(tblMicrosoftUnits[Products],$A117, tblMicrosoftUnits[cv_2027]) + SUMIF(tblAppleUnits[Products],$A117, tblAppleUnits[cv_2027]) + SUMIF(tblAlibabaUnits[Products],$A117, tblAlibabaUnits[cv_2027]) + SUMIF(tblHuaweiUnits[Products],$A117, tblHuaweiUnits[cv_2027]) + SUMIF(tblTencentUnits[Products],$A117, tblTencentUnits[cv_2027]) + SUMIF(tblBaiduUnits[Products],$A117, tblBaiduUnits[cv_2027]) + SUMIF(tblByteDanceUnits[Products],$A117, tblByteDanceUnits[cv_2027]) + SUMIF(tblCloudAOUnits[Products],$A117, tblCloudAOUnits[cv_2027]) + SUMIF(tblTelecomUnits[Products],$A117, tblTelecomUnits[cv_2027]) + SUMIF(tblEnterpriseUnits[Products],$A117, tblEnterpriseUnits[cv_2027])</f>
        <v>0</v>
      </c>
      <c r="L117" s="8">
        <f xml:space="preserve"> SUMIF(tblGoogleUnits[Products],$A117, tblGoogleUnits[cv_2028]) + SUMIF(tblMetaUnits[Products],$A117, tblMetaUnits[cv_2028]) + SUMIF(tblAmazonUnits[Products],$A117, tblAmazonUnits[cv_2028]) + SUMIF(tblMicrosoftUnits[Products],$A117, tblMicrosoftUnits[cv_2028]) + SUMIF(tblAppleUnits[Products],$A117, tblAppleUnits[cv_2028]) + SUMIF(tblAlibabaUnits[Products],$A117, tblAlibabaUnits[cv_2028]) + SUMIF(tblHuaweiUnits[Products],$A117, tblHuaweiUnits[cv_2028]) + SUMIF(tblTencentUnits[Products],$A117, tblTencentUnits[cv_2028]) + SUMIF(tblBaiduUnits[Products],$A117, tblBaiduUnits[cv_2028]) + SUMIF(tblByteDanceUnits[Products],$A117, tblByteDanceUnits[cv_2028]) + SUMIF(tblCloudAOUnits[Products],$A117, tblCloudAOUnits[cv_2028]) + SUMIF(tblTelecomUnits[Products],$A117, tblTelecomUnits[cv_2028]) + SUMIF(tblEnterpriseUnits[Products],$A117, tblEnterpriseUnits[cv_2028])</f>
        <v>0</v>
      </c>
      <c r="M117" s="105" cm="1">
        <f t="array" ref="M117">INDEX(tblPrices[cv_2018], MATCH($A117,tblPrices[Products],0), 0)</f>
        <v>0</v>
      </c>
      <c r="N117" s="105" cm="1">
        <f t="array" ref="N117">INDEX(tblPrices[cv_2019], MATCH($A117,tblPrices[Products],0), 0)</f>
        <v>8727.2727272727279</v>
      </c>
      <c r="O117" s="105" cm="1">
        <f t="array" ref="O117">INDEX(tblPrices[cv_2020], MATCH($A117,tblPrices[Products],0), 0)</f>
        <v>0</v>
      </c>
      <c r="P117" s="105" cm="1">
        <f t="array" ref="P117">INDEX(tblPrices[cv_2021], MATCH($A117,tblPrices[Products],0), 0)</f>
        <v>0</v>
      </c>
      <c r="Q117" s="105" cm="1">
        <f t="array" ref="Q117">INDEX(tblPrices[cv_2022], MATCH($A117,tblPrices[Products],0), 0)</f>
        <v>0</v>
      </c>
      <c r="R117" s="105" cm="1">
        <f t="array" ref="R117">INDEX(tblPrices[cv_2023], MATCH($A117,tblPrices[Products],0), 0)</f>
        <v>0</v>
      </c>
      <c r="S117" s="105" cm="1">
        <f t="array" ref="S117">INDEX(tblPrices[cv_2024], MATCH($A117,tblPrices[Products],0), 0)</f>
        <v>0</v>
      </c>
      <c r="T117" s="105" cm="1">
        <f t="array" ref="T117">INDEX(tblPrices[cv_2025], MATCH($A117,tblPrices[Products],0), 0)</f>
        <v>0</v>
      </c>
      <c r="U117" s="105" cm="1">
        <f t="array" ref="U117">INDEX(tblPrices[cv_2026], MATCH($A117,tblPrices[Products],0), 0)</f>
        <v>0</v>
      </c>
      <c r="V117" s="105" cm="1">
        <f t="array" ref="V117">INDEX(tblPrices[cv_2027], MATCH($A117,tblPrices[Products],0), 0)</f>
        <v>0</v>
      </c>
      <c r="W117" s="105" cm="1">
        <f t="array" ref="W117">INDEX(tblPrices[cv_2028], MATCH($A117,tblPrices[Products],0), 0)</f>
        <v>0</v>
      </c>
      <c r="X117" s="106" cm="1">
        <f t="array" ref="X117">INDEX(tblPrices[cv_2018], MATCH($A117,tblPrices[Products],0), 0)* tblForecast[[#This Row],[un_2018]]/10^6</f>
        <v>0</v>
      </c>
      <c r="Y117" s="106" cm="1">
        <f t="array" ref="Y117">INDEX(tblPrices[cv_2019], MATCH($A117,tblPrices[Products],0), 0)* tblForecast[[#This Row],[un_2019]]/10^6</f>
        <v>337.74545454545455</v>
      </c>
      <c r="Z117" s="106" cm="1">
        <f t="array" ref="Z117">INDEX(tblPrices[cv_2020], MATCH($A117,tblPrices[Products],0), 0)* tblForecast[[#This Row],[un_2020]]/10^6</f>
        <v>0</v>
      </c>
      <c r="AA117" s="106" cm="1">
        <f t="array" ref="AA117">INDEX(tblPrices[cv_2021], MATCH($A117,tblPrices[Products],0), 0)* tblForecast[[#This Row],[un_2021]]/10^6</f>
        <v>0</v>
      </c>
      <c r="AB117" s="106" cm="1">
        <f t="array" ref="AB117">INDEX(tblPrices[cv_2022], MATCH($A117,tblPrices[Products],0), 0)* tblForecast[[#This Row],[un_2022]]/10^6</f>
        <v>0</v>
      </c>
      <c r="AC117" s="106" cm="1">
        <f t="array" ref="AC117">INDEX(tblPrices[cv_2023], MATCH($A117,tblPrices[Products],0), 0)* tblForecast[[#This Row],[un_2023]]/10^6</f>
        <v>0</v>
      </c>
      <c r="AD117" s="106" cm="1">
        <f t="array" ref="AD117">INDEX(tblPrices[cv_2024], MATCH($A117,tblPrices[Products],0), 0)* tblForecast[[#This Row],[un_2024]]/10^6</f>
        <v>0</v>
      </c>
      <c r="AE117" s="106" cm="1">
        <f t="array" ref="AE117">INDEX(tblPrices[cv_2025], MATCH($A117,tblPrices[Products],0), 0)* tblForecast[[#This Row],[un_2025]]/10^6</f>
        <v>0</v>
      </c>
      <c r="AF117" s="106" cm="1">
        <f t="array" ref="AF117">INDEX(tblPrices[cv_2026], MATCH($A117,tblPrices[Products],0), 0)* tblForecast[[#This Row],[un_2026]]/10^6</f>
        <v>0</v>
      </c>
      <c r="AG117" s="106" cm="1">
        <f t="array" ref="AG117">INDEX(tblPrices[cv_2027], MATCH($A117,tblPrices[Products],0), 0)* tblForecast[[#This Row],[un_2027]]/10^6</f>
        <v>0</v>
      </c>
      <c r="AH117" s="106" cm="1">
        <f t="array" ref="AH117">INDEX(tblPrices[cv_2028], MATCH($A117,tblPrices[Products],0), 0)* tblForecast[[#This Row],[un_2028]]/10^6</f>
        <v>0</v>
      </c>
      <c r="AI117" s="60">
        <f>VLOOKUP(A117,Products!$A$11:$F$110,6,FALSE)</f>
        <v>400</v>
      </c>
    </row>
    <row r="118" spans="1:35">
      <c r="A118" s="12" t="s">
        <v>32</v>
      </c>
      <c r="B118" s="8">
        <f xml:space="preserve"> SUMIF(tblGoogleUnits[Products],$A118, tblGoogleUnits[cv_2018]) + SUMIF(tblMetaUnits[Products],$A118, tblMetaUnits[cv_2018]) + SUMIF(tblAmazonUnits[Products],$A118, tblAmazonUnits[cv_2018]) + SUMIF(tblMicrosoftUnits[Products],$A118, tblMicrosoftUnits[cv_2018]) + SUMIF(tblAppleUnits[Products],$A118, tblAppleUnits[cv_2018]) + SUMIF(tblAlibabaUnits[Products],$A118, tblAlibabaUnits[cv_2018]) + SUMIF(tblHuaweiUnits[Products],$A118, tblHuaweiUnits[cv_2018]) + SUMIF(tblTencentUnits[Products],$A118, tblTencentUnits[cv_2018]) + SUMIF(tblBaiduUnits[Products],$A118, tblBaiduUnits[cv_2018]) + SUMIF(tblByteDanceUnits[Products],$A118, tblByteDanceUnits[cv_2018]) + SUMIF(tblCloudAOUnits[Products],$A118, tblCloudAOUnits[cv_2018]) + SUMIF(tblTelecomUnits[Products],$A118, tblTelecomUnits[cv_2018]) + SUMIF(tblEnterpriseUnits[Products],$A118, tblEnterpriseUnits[cv_2018])</f>
        <v>0</v>
      </c>
      <c r="C118" s="8">
        <f xml:space="preserve"> SUMIF(tblGoogleUnits[Products],$A118, tblGoogleUnits[cv_2019]) + SUMIF(tblMetaUnits[Products],$A118, tblMetaUnits[cv_2019]) + SUMIF(tblAmazonUnits[Products],$A118, tblAmazonUnits[cv_2019]) + SUMIF(tblMicrosoftUnits[Products],$A118, tblMicrosoftUnits[cv_2019]) + SUMIF(tblAppleUnits[Products],$A118, tblAppleUnits[cv_2019]) + SUMIF(tblAlibabaUnits[Products],$A118, tblAlibabaUnits[cv_2019]) + SUMIF(tblHuaweiUnits[Products],$A118, tblHuaweiUnits[cv_2019]) + SUMIF(tblTencentUnits[Products],$A118, tblTencentUnits[cv_2019]) + SUMIF(tblBaiduUnits[Products],$A118, tblBaiduUnits[cv_2019]) + SUMIF(tblByteDanceUnits[Products],$A118, tblByteDanceUnits[cv_2019]) + SUMIF(tblCloudAOUnits[Products],$A118, tblCloudAOUnits[cv_2019]) + SUMIF(tblTelecomUnits[Products],$A118, tblTelecomUnits[cv_2019]) + SUMIF(tblEnterpriseUnits[Products],$A118, tblEnterpriseUnits[cv_2019])</f>
        <v>200</v>
      </c>
      <c r="D118" s="8">
        <f xml:space="preserve"> SUMIF(tblGoogleUnits[Products],$A118, tblGoogleUnits[cv_2020]) + SUMIF(tblMetaUnits[Products],$A118, tblMetaUnits[cv_2020]) + SUMIF(tblAmazonUnits[Products],$A118, tblAmazonUnits[cv_2020]) + SUMIF(tblMicrosoftUnits[Products],$A118, tblMicrosoftUnits[cv_2020]) + SUMIF(tblAppleUnits[Products],$A118, tblAppleUnits[cv_2020]) + SUMIF(tblAlibabaUnits[Products],$A118, tblAlibabaUnits[cv_2020]) + SUMIF(tblHuaweiUnits[Products],$A118, tblHuaweiUnits[cv_2020]) + SUMIF(tblTencentUnits[Products],$A118, tblTencentUnits[cv_2020]) + SUMIF(tblBaiduUnits[Products],$A118, tblBaiduUnits[cv_2020]) + SUMIF(tblByteDanceUnits[Products],$A118, tblByteDanceUnits[cv_2020]) + SUMIF(tblCloudAOUnits[Products],$A118, tblCloudAOUnits[cv_2020]) + SUMIF(tblTelecomUnits[Products],$A118, tblTelecomUnits[cv_2020]) + SUMIF(tblEnterpriseUnits[Products],$A118, tblEnterpriseUnits[cv_2020])</f>
        <v>0</v>
      </c>
      <c r="E118" s="8">
        <f xml:space="preserve"> SUMIF(tblGoogleUnits[Products],$A118, tblGoogleUnits[cv_2021]) + SUMIF(tblMetaUnits[Products],$A118, tblMetaUnits[cv_2021]) + SUMIF(tblAmazonUnits[Products],$A118, tblAmazonUnits[cv_2021]) + SUMIF(tblMicrosoftUnits[Products],$A118, tblMicrosoftUnits[cv_2021]) + SUMIF(tblAppleUnits[Products],$A118, tblAppleUnits[cv_2021]) + SUMIF(tblAlibabaUnits[Products],$A118, tblAlibabaUnits[cv_2021]) + SUMIF(tblHuaweiUnits[Products],$A118, tblHuaweiUnits[cv_2021]) + SUMIF(tblTencentUnits[Products],$A118, tblTencentUnits[cv_2021]) + SUMIF(tblBaiduUnits[Products],$A118, tblBaiduUnits[cv_2021]) + SUMIF(tblByteDanceUnits[Products],$A118, tblByteDanceUnits[cv_2021]) + SUMIF(tblCloudAOUnits[Products],$A118, tblCloudAOUnits[cv_2021]) + SUMIF(tblTelecomUnits[Products],$A118, tblTelecomUnits[cv_2021]) + SUMIF(tblEnterpriseUnits[Products],$A118, tblEnterpriseUnits[cv_2021])</f>
        <v>0</v>
      </c>
      <c r="F118" s="8">
        <f xml:space="preserve"> SUMIF(tblGoogleUnits[Products],$A118, tblGoogleUnits[cv_2022]) + SUMIF(tblMetaUnits[Products],$A118, tblMetaUnits[cv_2022]) + SUMIF(tblAmazonUnits[Products],$A118, tblAmazonUnits[cv_2022]) + SUMIF(tblMicrosoftUnits[Products],$A118, tblMicrosoftUnits[cv_2022]) + SUMIF(tblAppleUnits[Products],$A118, tblAppleUnits[cv_2022]) + SUMIF(tblAlibabaUnits[Products],$A118, tblAlibabaUnits[cv_2022]) + SUMIF(tblHuaweiUnits[Products],$A118, tblHuaweiUnits[cv_2022]) + SUMIF(tblTencentUnits[Products],$A118, tblTencentUnits[cv_2022]) + SUMIF(tblBaiduUnits[Products],$A118, tblBaiduUnits[cv_2022]) + SUMIF(tblByteDanceUnits[Products],$A118, tblByteDanceUnits[cv_2022]) + SUMIF(tblCloudAOUnits[Products],$A118, tblCloudAOUnits[cv_2022]) + SUMIF(tblTelecomUnits[Products],$A118, tblTelecomUnits[cv_2022]) + SUMIF(tblEnterpriseUnits[Products],$A118, tblEnterpriseUnits[cv_2022])</f>
        <v>0</v>
      </c>
      <c r="G118" s="8">
        <f xml:space="preserve"> SUMIF(tblGoogleUnits[Products],$A118, tblGoogleUnits[cv_2023]) + SUMIF(tblMetaUnits[Products],$A118, tblMetaUnits[cv_2023]) + SUMIF(tblAmazonUnits[Products],$A118, tblAmazonUnits[cv_2023]) + SUMIF(tblMicrosoftUnits[Products],$A118, tblMicrosoftUnits[cv_2023]) + SUMIF(tblAppleUnits[Products],$A118, tblAppleUnits[cv_2023]) + SUMIF(tblAlibabaUnits[Products],$A118, tblAlibabaUnits[cv_2023]) + SUMIF(tblHuaweiUnits[Products],$A118, tblHuaweiUnits[cv_2023]) + SUMIF(tblTencentUnits[Products],$A118, tblTencentUnits[cv_2023]) + SUMIF(tblBaiduUnits[Products],$A118, tblBaiduUnits[cv_2023]) + SUMIF(tblByteDanceUnits[Products],$A118, tblByteDanceUnits[cv_2023]) + SUMIF(tblCloudAOUnits[Products],$A118, tblCloudAOUnits[cv_2023]) + SUMIF(tblTelecomUnits[Products],$A118, tblTelecomUnits[cv_2023]) + SUMIF(tblEnterpriseUnits[Products],$A118, tblEnterpriseUnits[cv_2023])</f>
        <v>0</v>
      </c>
      <c r="H118" s="8">
        <f xml:space="preserve"> SUMIF(tblGoogleUnits[Products],$A118, tblGoogleUnits[cv_2024]) + SUMIF(tblMetaUnits[Products],$A118, tblMetaUnits[cv_2024]) + SUMIF(tblAmazonUnits[Products],$A118, tblAmazonUnits[cv_2024]) + SUMIF(tblMicrosoftUnits[Products],$A118, tblMicrosoftUnits[cv_2024]) + SUMIF(tblAppleUnits[Products],$A118, tblAppleUnits[cv_2024]) + SUMIF(tblAlibabaUnits[Products],$A118, tblAlibabaUnits[cv_2024]) + SUMIF(tblHuaweiUnits[Products],$A118, tblHuaweiUnits[cv_2024]) + SUMIF(tblTencentUnits[Products],$A118, tblTencentUnits[cv_2024]) + SUMIF(tblBaiduUnits[Products],$A118, tblBaiduUnits[cv_2024]) + SUMIF(tblByteDanceUnits[Products],$A118, tblByteDanceUnits[cv_2024]) + SUMIF(tblCloudAOUnits[Products],$A118, tblCloudAOUnits[cv_2024]) + SUMIF(tblTelecomUnits[Products],$A118, tblTelecomUnits[cv_2024]) + SUMIF(tblEnterpriseUnits[Products],$A118, tblEnterpriseUnits[cv_2024])</f>
        <v>0</v>
      </c>
      <c r="I118" s="8">
        <f xml:space="preserve"> SUMIF(tblGoogleUnits[Products],$A118, tblGoogleUnits[cv_2025]) + SUMIF(tblMetaUnits[Products],$A118, tblMetaUnits[cv_2025]) + SUMIF(tblAmazonUnits[Products],$A118, tblAmazonUnits[cv_2025]) + SUMIF(tblMicrosoftUnits[Products],$A118, tblMicrosoftUnits[cv_2025]) + SUMIF(tblAppleUnits[Products],$A118, tblAppleUnits[cv_2025]) + SUMIF(tblAlibabaUnits[Products],$A118, tblAlibabaUnits[cv_2025]) + SUMIF(tblHuaweiUnits[Products],$A118, tblHuaweiUnits[cv_2025]) + SUMIF(tblTencentUnits[Products],$A118, tblTencentUnits[cv_2025]) + SUMIF(tblBaiduUnits[Products],$A118, tblBaiduUnits[cv_2025]) + SUMIF(tblByteDanceUnits[Products],$A118, tblByteDanceUnits[cv_2025]) + SUMIF(tblCloudAOUnits[Products],$A118, tblCloudAOUnits[cv_2025]) + SUMIF(tblTelecomUnits[Products],$A118, tblTelecomUnits[cv_2025]) + SUMIF(tblEnterpriseUnits[Products],$A118, tblEnterpriseUnits[cv_2025])</f>
        <v>0</v>
      </c>
      <c r="J118" s="8">
        <f xml:space="preserve"> SUMIF(tblGoogleUnits[Products],$A118, tblGoogleUnits[cv_2026]) + SUMIF(tblMetaUnits[Products],$A118, tblMetaUnits[cv_2026]) + SUMIF(tblAmazonUnits[Products],$A118, tblAmazonUnits[cv_2026]) + SUMIF(tblMicrosoftUnits[Products],$A118, tblMicrosoftUnits[cv_2026]) + SUMIF(tblAppleUnits[Products],$A118, tblAppleUnits[cv_2026]) + SUMIF(tblAlibabaUnits[Products],$A118, tblAlibabaUnits[cv_2026]) + SUMIF(tblHuaweiUnits[Products],$A118, tblHuaweiUnits[cv_2026]) + SUMIF(tblTencentUnits[Products],$A118, tblTencentUnits[cv_2026]) + SUMIF(tblBaiduUnits[Products],$A118, tblBaiduUnits[cv_2026]) + SUMIF(tblByteDanceUnits[Products],$A118, tblByteDanceUnits[cv_2026]) + SUMIF(tblCloudAOUnits[Products],$A118, tblCloudAOUnits[cv_2026]) + SUMIF(tblTelecomUnits[Products],$A118, tblTelecomUnits[cv_2026]) + SUMIF(tblEnterpriseUnits[Products],$A118, tblEnterpriseUnits[cv_2026])</f>
        <v>0</v>
      </c>
      <c r="K118" s="8">
        <f xml:space="preserve"> SUMIF(tblGoogleUnits[Products],$A118, tblGoogleUnits[cv_2027]) + SUMIF(tblMetaUnits[Products],$A118, tblMetaUnits[cv_2027]) + SUMIF(tblAmazonUnits[Products],$A118, tblAmazonUnits[cv_2027]) + SUMIF(tblMicrosoftUnits[Products],$A118, tblMicrosoftUnits[cv_2027]) + SUMIF(tblAppleUnits[Products],$A118, tblAppleUnits[cv_2027]) + SUMIF(tblAlibabaUnits[Products],$A118, tblAlibabaUnits[cv_2027]) + SUMIF(tblHuaweiUnits[Products],$A118, tblHuaweiUnits[cv_2027]) + SUMIF(tblTencentUnits[Products],$A118, tblTencentUnits[cv_2027]) + SUMIF(tblBaiduUnits[Products],$A118, tblBaiduUnits[cv_2027]) + SUMIF(tblByteDanceUnits[Products],$A118, tblByteDanceUnits[cv_2027]) + SUMIF(tblCloudAOUnits[Products],$A118, tblCloudAOUnits[cv_2027]) + SUMIF(tblTelecomUnits[Products],$A118, tblTelecomUnits[cv_2027]) + SUMIF(tblEnterpriseUnits[Products],$A118, tblEnterpriseUnits[cv_2027])</f>
        <v>0</v>
      </c>
      <c r="L118" s="8">
        <f xml:space="preserve"> SUMIF(tblGoogleUnits[Products],$A118, tblGoogleUnits[cv_2028]) + SUMIF(tblMetaUnits[Products],$A118, tblMetaUnits[cv_2028]) + SUMIF(tblAmazonUnits[Products],$A118, tblAmazonUnits[cv_2028]) + SUMIF(tblMicrosoftUnits[Products],$A118, tblMicrosoftUnits[cv_2028]) + SUMIF(tblAppleUnits[Products],$A118, tblAppleUnits[cv_2028]) + SUMIF(tblAlibabaUnits[Products],$A118, tblAlibabaUnits[cv_2028]) + SUMIF(tblHuaweiUnits[Products],$A118, tblHuaweiUnits[cv_2028]) + SUMIF(tblTencentUnits[Products],$A118, tblTencentUnits[cv_2028]) + SUMIF(tblBaiduUnits[Products],$A118, tblBaiduUnits[cv_2028]) + SUMIF(tblByteDanceUnits[Products],$A118, tblByteDanceUnits[cv_2028]) + SUMIF(tblCloudAOUnits[Products],$A118, tblCloudAOUnits[cv_2028]) + SUMIF(tblTelecomUnits[Products],$A118, tblTelecomUnits[cv_2028]) + SUMIF(tblEnterpriseUnits[Products],$A118, tblEnterpriseUnits[cv_2028])</f>
        <v>0</v>
      </c>
      <c r="M118" s="105" cm="1">
        <f t="array" ref="M118">INDEX(tblPrices[cv_2018], MATCH($A118,tblPrices[Products],0), 0)</f>
        <v>0</v>
      </c>
      <c r="N118" s="105" cm="1">
        <f t="array" ref="N118">INDEX(tblPrices[cv_2019], MATCH($A118,tblPrices[Products],0), 0)</f>
        <v>6000</v>
      </c>
      <c r="O118" s="105" cm="1">
        <f t="array" ref="O118">INDEX(tblPrices[cv_2020], MATCH($A118,tblPrices[Products],0), 0)</f>
        <v>0</v>
      </c>
      <c r="P118" s="105" cm="1">
        <f t="array" ref="P118">INDEX(tblPrices[cv_2021], MATCH($A118,tblPrices[Products],0), 0)</f>
        <v>0</v>
      </c>
      <c r="Q118" s="105" cm="1">
        <f t="array" ref="Q118">INDEX(tblPrices[cv_2022], MATCH($A118,tblPrices[Products],0), 0)</f>
        <v>0</v>
      </c>
      <c r="R118" s="105" cm="1">
        <f t="array" ref="R118">INDEX(tblPrices[cv_2023], MATCH($A118,tblPrices[Products],0), 0)</f>
        <v>0</v>
      </c>
      <c r="S118" s="105" cm="1">
        <f t="array" ref="S118">INDEX(tblPrices[cv_2024], MATCH($A118,tblPrices[Products],0), 0)</f>
        <v>0</v>
      </c>
      <c r="T118" s="105" cm="1">
        <f t="array" ref="T118">INDEX(tblPrices[cv_2025], MATCH($A118,tblPrices[Products],0), 0)</f>
        <v>0</v>
      </c>
      <c r="U118" s="105" cm="1">
        <f t="array" ref="U118">INDEX(tblPrices[cv_2026], MATCH($A118,tblPrices[Products],0), 0)</f>
        <v>0</v>
      </c>
      <c r="V118" s="105" cm="1">
        <f t="array" ref="V118">INDEX(tblPrices[cv_2027], MATCH($A118,tblPrices[Products],0), 0)</f>
        <v>0</v>
      </c>
      <c r="W118" s="105" cm="1">
        <f t="array" ref="W118">INDEX(tblPrices[cv_2028], MATCH($A118,tblPrices[Products],0), 0)</f>
        <v>0</v>
      </c>
      <c r="X118" s="106" cm="1">
        <f t="array" ref="X118">INDEX(tblPrices[cv_2018], MATCH($A118,tblPrices[Products],0), 0)* tblForecast[[#This Row],[un_2018]]/10^6</f>
        <v>0</v>
      </c>
      <c r="Y118" s="106" cm="1">
        <f t="array" ref="Y118">INDEX(tblPrices[cv_2019], MATCH($A118,tblPrices[Products],0), 0)* tblForecast[[#This Row],[un_2019]]/10^6</f>
        <v>1.2</v>
      </c>
      <c r="Z118" s="106" cm="1">
        <f t="array" ref="Z118">INDEX(tblPrices[cv_2020], MATCH($A118,tblPrices[Products],0), 0)* tblForecast[[#This Row],[un_2020]]/10^6</f>
        <v>0</v>
      </c>
      <c r="AA118" s="106" cm="1">
        <f t="array" ref="AA118">INDEX(tblPrices[cv_2021], MATCH($A118,tblPrices[Products],0), 0)* tblForecast[[#This Row],[un_2021]]/10^6</f>
        <v>0</v>
      </c>
      <c r="AB118" s="106" cm="1">
        <f t="array" ref="AB118">INDEX(tblPrices[cv_2022], MATCH($A118,tblPrices[Products],0), 0)* tblForecast[[#This Row],[un_2022]]/10^6</f>
        <v>0</v>
      </c>
      <c r="AC118" s="106" cm="1">
        <f t="array" ref="AC118">INDEX(tblPrices[cv_2023], MATCH($A118,tblPrices[Products],0), 0)* tblForecast[[#This Row],[un_2023]]/10^6</f>
        <v>0</v>
      </c>
      <c r="AD118" s="106" cm="1">
        <f t="array" ref="AD118">INDEX(tblPrices[cv_2024], MATCH($A118,tblPrices[Products],0), 0)* tblForecast[[#This Row],[un_2024]]/10^6</f>
        <v>0</v>
      </c>
      <c r="AE118" s="106" cm="1">
        <f t="array" ref="AE118">INDEX(tblPrices[cv_2025], MATCH($A118,tblPrices[Products],0), 0)* tblForecast[[#This Row],[un_2025]]/10^6</f>
        <v>0</v>
      </c>
      <c r="AF118" s="106" cm="1">
        <f t="array" ref="AF118">INDEX(tblPrices[cv_2026], MATCH($A118,tblPrices[Products],0), 0)* tblForecast[[#This Row],[un_2026]]/10^6</f>
        <v>0</v>
      </c>
      <c r="AG118" s="106" cm="1">
        <f t="array" ref="AG118">INDEX(tblPrices[cv_2027], MATCH($A118,tblPrices[Products],0), 0)* tblForecast[[#This Row],[un_2027]]/10^6</f>
        <v>0</v>
      </c>
      <c r="AH118" s="106" cm="1">
        <f t="array" ref="AH118">INDEX(tblPrices[cv_2028], MATCH($A118,tblPrices[Products],0), 0)* tblForecast[[#This Row],[un_2028]]/10^6</f>
        <v>0</v>
      </c>
      <c r="AI118" s="60">
        <f>VLOOKUP(A118,Products!$A$11:$F$110,6,FALSE)</f>
        <v>400</v>
      </c>
    </row>
    <row r="119" spans="1:35">
      <c r="A119" s="12" t="s">
        <v>33</v>
      </c>
      <c r="B119" s="8">
        <f xml:space="preserve"> SUMIF(tblGoogleUnits[Products],$A119, tblGoogleUnits[cv_2018]) + SUMIF(tblMetaUnits[Products],$A119, tblMetaUnits[cv_2018]) + SUMIF(tblAmazonUnits[Products],$A119, tblAmazonUnits[cv_2018]) + SUMIF(tblMicrosoftUnits[Products],$A119, tblMicrosoftUnits[cv_2018]) + SUMIF(tblAppleUnits[Products],$A119, tblAppleUnits[cv_2018]) + SUMIF(tblAlibabaUnits[Products],$A119, tblAlibabaUnits[cv_2018]) + SUMIF(tblHuaweiUnits[Products],$A119, tblHuaweiUnits[cv_2018]) + SUMIF(tblTencentUnits[Products],$A119, tblTencentUnits[cv_2018]) + SUMIF(tblBaiduUnits[Products],$A119, tblBaiduUnits[cv_2018]) + SUMIF(tblByteDanceUnits[Products],$A119, tblByteDanceUnits[cv_2018]) + SUMIF(tblCloudAOUnits[Products],$A119, tblCloudAOUnits[cv_2018]) + SUMIF(tblTelecomUnits[Products],$A119, tblTelecomUnits[cv_2018]) + SUMIF(tblEnterpriseUnits[Products],$A119, tblEnterpriseUnits[cv_2018])</f>
        <v>0</v>
      </c>
      <c r="C119" s="8">
        <f xml:space="preserve"> SUMIF(tblGoogleUnits[Products],$A119, tblGoogleUnits[cv_2019]) + SUMIF(tblMetaUnits[Products],$A119, tblMetaUnits[cv_2019]) + SUMIF(tblAmazonUnits[Products],$A119, tblAmazonUnits[cv_2019]) + SUMIF(tblMicrosoftUnits[Products],$A119, tblMicrosoftUnits[cv_2019]) + SUMIF(tblAppleUnits[Products],$A119, tblAppleUnits[cv_2019]) + SUMIF(tblAlibabaUnits[Products],$A119, tblAlibabaUnits[cv_2019]) + SUMIF(tblHuaweiUnits[Products],$A119, tblHuaweiUnits[cv_2019]) + SUMIF(tblTencentUnits[Products],$A119, tblTencentUnits[cv_2019]) + SUMIF(tblBaiduUnits[Products],$A119, tblBaiduUnits[cv_2019]) + SUMIF(tblByteDanceUnits[Products],$A119, tblByteDanceUnits[cv_2019]) + SUMIF(tblCloudAOUnits[Products],$A119, tblCloudAOUnits[cv_2019]) + SUMIF(tblTelecomUnits[Products],$A119, tblTelecomUnits[cv_2019]) + SUMIF(tblEnterpriseUnits[Products],$A119, tblEnterpriseUnits[cv_2019])</f>
        <v>100</v>
      </c>
      <c r="D119" s="8">
        <f xml:space="preserve"> SUMIF(tblGoogleUnits[Products],$A119, tblGoogleUnits[cv_2020]) + SUMIF(tblMetaUnits[Products],$A119, tblMetaUnits[cv_2020]) + SUMIF(tblAmazonUnits[Products],$A119, tblAmazonUnits[cv_2020]) + SUMIF(tblMicrosoftUnits[Products],$A119, tblMicrosoftUnits[cv_2020]) + SUMIF(tblAppleUnits[Products],$A119, tblAppleUnits[cv_2020]) + SUMIF(tblAlibabaUnits[Products],$A119, tblAlibabaUnits[cv_2020]) + SUMIF(tblHuaweiUnits[Products],$A119, tblHuaweiUnits[cv_2020]) + SUMIF(tblTencentUnits[Products],$A119, tblTencentUnits[cv_2020]) + SUMIF(tblBaiduUnits[Products],$A119, tblBaiduUnits[cv_2020]) + SUMIF(tblByteDanceUnits[Products],$A119, tblByteDanceUnits[cv_2020]) + SUMIF(tblCloudAOUnits[Products],$A119, tblCloudAOUnits[cv_2020]) + SUMIF(tblTelecomUnits[Products],$A119, tblTelecomUnits[cv_2020]) + SUMIF(tblEnterpriseUnits[Products],$A119, tblEnterpriseUnits[cv_2020])</f>
        <v>0</v>
      </c>
      <c r="E119" s="8">
        <f xml:space="preserve"> SUMIF(tblGoogleUnits[Products],$A119, tblGoogleUnits[cv_2021]) + SUMIF(tblMetaUnits[Products],$A119, tblMetaUnits[cv_2021]) + SUMIF(tblAmazonUnits[Products],$A119, tblAmazonUnits[cv_2021]) + SUMIF(tblMicrosoftUnits[Products],$A119, tblMicrosoftUnits[cv_2021]) + SUMIF(tblAppleUnits[Products],$A119, tblAppleUnits[cv_2021]) + SUMIF(tblAlibabaUnits[Products],$A119, tblAlibabaUnits[cv_2021]) + SUMIF(tblHuaweiUnits[Products],$A119, tblHuaweiUnits[cv_2021]) + SUMIF(tblTencentUnits[Products],$A119, tblTencentUnits[cv_2021]) + SUMIF(tblBaiduUnits[Products],$A119, tblBaiduUnits[cv_2021]) + SUMIF(tblByteDanceUnits[Products],$A119, tblByteDanceUnits[cv_2021]) + SUMIF(tblCloudAOUnits[Products],$A119, tblCloudAOUnits[cv_2021]) + SUMIF(tblTelecomUnits[Products],$A119, tblTelecomUnits[cv_2021]) + SUMIF(tblEnterpriseUnits[Products],$A119, tblEnterpriseUnits[cv_2021])</f>
        <v>0</v>
      </c>
      <c r="F119" s="8">
        <f xml:space="preserve"> SUMIF(tblGoogleUnits[Products],$A119, tblGoogleUnits[cv_2022]) + SUMIF(tblMetaUnits[Products],$A119, tblMetaUnits[cv_2022]) + SUMIF(tblAmazonUnits[Products],$A119, tblAmazonUnits[cv_2022]) + SUMIF(tblMicrosoftUnits[Products],$A119, tblMicrosoftUnits[cv_2022]) + SUMIF(tblAppleUnits[Products],$A119, tblAppleUnits[cv_2022]) + SUMIF(tblAlibabaUnits[Products],$A119, tblAlibabaUnits[cv_2022]) + SUMIF(tblHuaweiUnits[Products],$A119, tblHuaweiUnits[cv_2022]) + SUMIF(tblTencentUnits[Products],$A119, tblTencentUnits[cv_2022]) + SUMIF(tblBaiduUnits[Products],$A119, tblBaiduUnits[cv_2022]) + SUMIF(tblByteDanceUnits[Products],$A119, tblByteDanceUnits[cv_2022]) + SUMIF(tblCloudAOUnits[Products],$A119, tblCloudAOUnits[cv_2022]) + SUMIF(tblTelecomUnits[Products],$A119, tblTelecomUnits[cv_2022]) + SUMIF(tblEnterpriseUnits[Products],$A119, tblEnterpriseUnits[cv_2022])</f>
        <v>0</v>
      </c>
      <c r="G119" s="8">
        <f xml:space="preserve"> SUMIF(tblGoogleUnits[Products],$A119, tblGoogleUnits[cv_2023]) + SUMIF(tblMetaUnits[Products],$A119, tblMetaUnits[cv_2023]) + SUMIF(tblAmazonUnits[Products],$A119, tblAmazonUnits[cv_2023]) + SUMIF(tblMicrosoftUnits[Products],$A119, tblMicrosoftUnits[cv_2023]) + SUMIF(tblAppleUnits[Products],$A119, tblAppleUnits[cv_2023]) + SUMIF(tblAlibabaUnits[Products],$A119, tblAlibabaUnits[cv_2023]) + SUMIF(tblHuaweiUnits[Products],$A119, tblHuaweiUnits[cv_2023]) + SUMIF(tblTencentUnits[Products],$A119, tblTencentUnits[cv_2023]) + SUMIF(tblBaiduUnits[Products],$A119, tblBaiduUnits[cv_2023]) + SUMIF(tblByteDanceUnits[Products],$A119, tblByteDanceUnits[cv_2023]) + SUMIF(tblCloudAOUnits[Products],$A119, tblCloudAOUnits[cv_2023]) + SUMIF(tblTelecomUnits[Products],$A119, tblTelecomUnits[cv_2023]) + SUMIF(tblEnterpriseUnits[Products],$A119, tblEnterpriseUnits[cv_2023])</f>
        <v>0</v>
      </c>
      <c r="H119" s="8">
        <f xml:space="preserve"> SUMIF(tblGoogleUnits[Products],$A119, tblGoogleUnits[cv_2024]) + SUMIF(tblMetaUnits[Products],$A119, tblMetaUnits[cv_2024]) + SUMIF(tblAmazonUnits[Products],$A119, tblAmazonUnits[cv_2024]) + SUMIF(tblMicrosoftUnits[Products],$A119, tblMicrosoftUnits[cv_2024]) + SUMIF(tblAppleUnits[Products],$A119, tblAppleUnits[cv_2024]) + SUMIF(tblAlibabaUnits[Products],$A119, tblAlibabaUnits[cv_2024]) + SUMIF(tblHuaweiUnits[Products],$A119, tblHuaweiUnits[cv_2024]) + SUMIF(tblTencentUnits[Products],$A119, tblTencentUnits[cv_2024]) + SUMIF(tblBaiduUnits[Products],$A119, tblBaiduUnits[cv_2024]) + SUMIF(tblByteDanceUnits[Products],$A119, tblByteDanceUnits[cv_2024]) + SUMIF(tblCloudAOUnits[Products],$A119, tblCloudAOUnits[cv_2024]) + SUMIF(tblTelecomUnits[Products],$A119, tblTelecomUnits[cv_2024]) + SUMIF(tblEnterpriseUnits[Products],$A119, tblEnterpriseUnits[cv_2024])</f>
        <v>0</v>
      </c>
      <c r="I119" s="8">
        <f xml:space="preserve"> SUMIF(tblGoogleUnits[Products],$A119, tblGoogleUnits[cv_2025]) + SUMIF(tblMetaUnits[Products],$A119, tblMetaUnits[cv_2025]) + SUMIF(tblAmazonUnits[Products],$A119, tblAmazonUnits[cv_2025]) + SUMIF(tblMicrosoftUnits[Products],$A119, tblMicrosoftUnits[cv_2025]) + SUMIF(tblAppleUnits[Products],$A119, tblAppleUnits[cv_2025]) + SUMIF(tblAlibabaUnits[Products],$A119, tblAlibabaUnits[cv_2025]) + SUMIF(tblHuaweiUnits[Products],$A119, tblHuaweiUnits[cv_2025]) + SUMIF(tblTencentUnits[Products],$A119, tblTencentUnits[cv_2025]) + SUMIF(tblBaiduUnits[Products],$A119, tblBaiduUnits[cv_2025]) + SUMIF(tblByteDanceUnits[Products],$A119, tblByteDanceUnits[cv_2025]) + SUMIF(tblCloudAOUnits[Products],$A119, tblCloudAOUnits[cv_2025]) + SUMIF(tblTelecomUnits[Products],$A119, tblTelecomUnits[cv_2025]) + SUMIF(tblEnterpriseUnits[Products],$A119, tblEnterpriseUnits[cv_2025])</f>
        <v>0</v>
      </c>
      <c r="J119" s="8">
        <f xml:space="preserve"> SUMIF(tblGoogleUnits[Products],$A119, tblGoogleUnits[cv_2026]) + SUMIF(tblMetaUnits[Products],$A119, tblMetaUnits[cv_2026]) + SUMIF(tblAmazonUnits[Products],$A119, tblAmazonUnits[cv_2026]) + SUMIF(tblMicrosoftUnits[Products],$A119, tblMicrosoftUnits[cv_2026]) + SUMIF(tblAppleUnits[Products],$A119, tblAppleUnits[cv_2026]) + SUMIF(tblAlibabaUnits[Products],$A119, tblAlibabaUnits[cv_2026]) + SUMIF(tblHuaweiUnits[Products],$A119, tblHuaweiUnits[cv_2026]) + SUMIF(tblTencentUnits[Products],$A119, tblTencentUnits[cv_2026]) + SUMIF(tblBaiduUnits[Products],$A119, tblBaiduUnits[cv_2026]) + SUMIF(tblByteDanceUnits[Products],$A119, tblByteDanceUnits[cv_2026]) + SUMIF(tblCloudAOUnits[Products],$A119, tblCloudAOUnits[cv_2026]) + SUMIF(tblTelecomUnits[Products],$A119, tblTelecomUnits[cv_2026]) + SUMIF(tblEnterpriseUnits[Products],$A119, tblEnterpriseUnits[cv_2026])</f>
        <v>0</v>
      </c>
      <c r="K119" s="8">
        <f xml:space="preserve"> SUMIF(tblGoogleUnits[Products],$A119, tblGoogleUnits[cv_2027]) + SUMIF(tblMetaUnits[Products],$A119, tblMetaUnits[cv_2027]) + SUMIF(tblAmazonUnits[Products],$A119, tblAmazonUnits[cv_2027]) + SUMIF(tblMicrosoftUnits[Products],$A119, tblMicrosoftUnits[cv_2027]) + SUMIF(tblAppleUnits[Products],$A119, tblAppleUnits[cv_2027]) + SUMIF(tblAlibabaUnits[Products],$A119, tblAlibabaUnits[cv_2027]) + SUMIF(tblHuaweiUnits[Products],$A119, tblHuaweiUnits[cv_2027]) + SUMIF(tblTencentUnits[Products],$A119, tblTencentUnits[cv_2027]) + SUMIF(tblBaiduUnits[Products],$A119, tblBaiduUnits[cv_2027]) + SUMIF(tblByteDanceUnits[Products],$A119, tblByteDanceUnits[cv_2027]) + SUMIF(tblCloudAOUnits[Products],$A119, tblCloudAOUnits[cv_2027]) + SUMIF(tblTelecomUnits[Products],$A119, tblTelecomUnits[cv_2027]) + SUMIF(tblEnterpriseUnits[Products],$A119, tblEnterpriseUnits[cv_2027])</f>
        <v>0</v>
      </c>
      <c r="L119" s="8">
        <f xml:space="preserve"> SUMIF(tblGoogleUnits[Products],$A119, tblGoogleUnits[cv_2028]) + SUMIF(tblMetaUnits[Products],$A119, tblMetaUnits[cv_2028]) + SUMIF(tblAmazonUnits[Products],$A119, tblAmazonUnits[cv_2028]) + SUMIF(tblMicrosoftUnits[Products],$A119, tblMicrosoftUnits[cv_2028]) + SUMIF(tblAppleUnits[Products],$A119, tblAppleUnits[cv_2028]) + SUMIF(tblAlibabaUnits[Products],$A119, tblAlibabaUnits[cv_2028]) + SUMIF(tblHuaweiUnits[Products],$A119, tblHuaweiUnits[cv_2028]) + SUMIF(tblTencentUnits[Products],$A119, tblTencentUnits[cv_2028]) + SUMIF(tblBaiduUnits[Products],$A119, tblBaiduUnits[cv_2028]) + SUMIF(tblByteDanceUnits[Products],$A119, tblByteDanceUnits[cv_2028]) + SUMIF(tblCloudAOUnits[Products],$A119, tblCloudAOUnits[cv_2028]) + SUMIF(tblTelecomUnits[Products],$A119, tblTelecomUnits[cv_2028]) + SUMIF(tblEnterpriseUnits[Products],$A119, tblEnterpriseUnits[cv_2028])</f>
        <v>0</v>
      </c>
      <c r="M119" s="105" cm="1">
        <f t="array" ref="M119">INDEX(tblPrices[cv_2018], MATCH($A119,tblPrices[Products],0), 0)</f>
        <v>0</v>
      </c>
      <c r="N119" s="105" cm="1">
        <f t="array" ref="N119">INDEX(tblPrices[cv_2019], MATCH($A119,tblPrices[Products],0), 0)</f>
        <v>8200</v>
      </c>
      <c r="O119" s="105" cm="1">
        <f t="array" ref="O119">INDEX(tblPrices[cv_2020], MATCH($A119,tblPrices[Products],0), 0)</f>
        <v>0</v>
      </c>
      <c r="P119" s="105" cm="1">
        <f t="array" ref="P119">INDEX(tblPrices[cv_2021], MATCH($A119,tblPrices[Products],0), 0)</f>
        <v>0</v>
      </c>
      <c r="Q119" s="105" cm="1">
        <f t="array" ref="Q119">INDEX(tblPrices[cv_2022], MATCH($A119,tblPrices[Products],0), 0)</f>
        <v>0</v>
      </c>
      <c r="R119" s="105" cm="1">
        <f t="array" ref="R119">INDEX(tblPrices[cv_2023], MATCH($A119,tblPrices[Products],0), 0)</f>
        <v>0</v>
      </c>
      <c r="S119" s="105" cm="1">
        <f t="array" ref="S119">INDEX(tblPrices[cv_2024], MATCH($A119,tblPrices[Products],0), 0)</f>
        <v>0</v>
      </c>
      <c r="T119" s="105" cm="1">
        <f t="array" ref="T119">INDEX(tblPrices[cv_2025], MATCH($A119,tblPrices[Products],0), 0)</f>
        <v>0</v>
      </c>
      <c r="U119" s="105" cm="1">
        <f t="array" ref="U119">INDEX(tblPrices[cv_2026], MATCH($A119,tblPrices[Products],0), 0)</f>
        <v>0</v>
      </c>
      <c r="V119" s="105" cm="1">
        <f t="array" ref="V119">INDEX(tblPrices[cv_2027], MATCH($A119,tblPrices[Products],0), 0)</f>
        <v>0</v>
      </c>
      <c r="W119" s="105" cm="1">
        <f t="array" ref="W119">INDEX(tblPrices[cv_2028], MATCH($A119,tblPrices[Products],0), 0)</f>
        <v>0</v>
      </c>
      <c r="X119" s="106" cm="1">
        <f t="array" ref="X119">INDEX(tblPrices[cv_2018], MATCH($A119,tblPrices[Products],0), 0)* tblForecast[[#This Row],[un_2018]]/10^6</f>
        <v>0</v>
      </c>
      <c r="Y119" s="106" cm="1">
        <f t="array" ref="Y119">INDEX(tblPrices[cv_2019], MATCH($A119,tblPrices[Products],0), 0)* tblForecast[[#This Row],[un_2019]]/10^6</f>
        <v>0.82</v>
      </c>
      <c r="Z119" s="106" cm="1">
        <f t="array" ref="Z119">INDEX(tblPrices[cv_2020], MATCH($A119,tblPrices[Products],0), 0)* tblForecast[[#This Row],[un_2020]]/10^6</f>
        <v>0</v>
      </c>
      <c r="AA119" s="106" cm="1">
        <f t="array" ref="AA119">INDEX(tblPrices[cv_2021], MATCH($A119,tblPrices[Products],0), 0)* tblForecast[[#This Row],[un_2021]]/10^6</f>
        <v>0</v>
      </c>
      <c r="AB119" s="106" cm="1">
        <f t="array" ref="AB119">INDEX(tblPrices[cv_2022], MATCH($A119,tblPrices[Products],0), 0)* tblForecast[[#This Row],[un_2022]]/10^6</f>
        <v>0</v>
      </c>
      <c r="AC119" s="106" cm="1">
        <f t="array" ref="AC119">INDEX(tblPrices[cv_2023], MATCH($A119,tblPrices[Products],0), 0)* tblForecast[[#This Row],[un_2023]]/10^6</f>
        <v>0</v>
      </c>
      <c r="AD119" s="106" cm="1">
        <f t="array" ref="AD119">INDEX(tblPrices[cv_2024], MATCH($A119,tblPrices[Products],0), 0)* tblForecast[[#This Row],[un_2024]]/10^6</f>
        <v>0</v>
      </c>
      <c r="AE119" s="106" cm="1">
        <f t="array" ref="AE119">INDEX(tblPrices[cv_2025], MATCH($A119,tblPrices[Products],0), 0)* tblForecast[[#This Row],[un_2025]]/10^6</f>
        <v>0</v>
      </c>
      <c r="AF119" s="106" cm="1">
        <f t="array" ref="AF119">INDEX(tblPrices[cv_2026], MATCH($A119,tblPrices[Products],0), 0)* tblForecast[[#This Row],[un_2026]]/10^6</f>
        <v>0</v>
      </c>
      <c r="AG119" s="106" cm="1">
        <f t="array" ref="AG119">INDEX(tblPrices[cv_2027], MATCH($A119,tblPrices[Products],0), 0)* tblForecast[[#This Row],[un_2027]]/10^6</f>
        <v>0</v>
      </c>
      <c r="AH119" s="106" cm="1">
        <f t="array" ref="AH119">INDEX(tblPrices[cv_2028], MATCH($A119,tblPrices[Products],0), 0)* tblForecast[[#This Row],[un_2028]]/10^6</f>
        <v>0</v>
      </c>
      <c r="AI119" s="60">
        <f>VLOOKUP(A119,Products!$A$11:$F$110,6,FALSE)</f>
        <v>400</v>
      </c>
    </row>
    <row r="120" spans="1:35">
      <c r="A120" s="12" t="s">
        <v>34</v>
      </c>
      <c r="B120" s="8">
        <f xml:space="preserve"> SUMIF(tblGoogleUnits[Products],$A120, tblGoogleUnits[cv_2018]) + SUMIF(tblMetaUnits[Products],$A120, tblMetaUnits[cv_2018]) + SUMIF(tblAmazonUnits[Products],$A120, tblAmazonUnits[cv_2018]) + SUMIF(tblMicrosoftUnits[Products],$A120, tblMicrosoftUnits[cv_2018]) + SUMIF(tblAppleUnits[Products],$A120, tblAppleUnits[cv_2018]) + SUMIF(tblAlibabaUnits[Products],$A120, tblAlibabaUnits[cv_2018]) + SUMIF(tblHuaweiUnits[Products],$A120, tblHuaweiUnits[cv_2018]) + SUMIF(tblTencentUnits[Products],$A120, tblTencentUnits[cv_2018]) + SUMIF(tblBaiduUnits[Products],$A120, tblBaiduUnits[cv_2018]) + SUMIF(tblByteDanceUnits[Products],$A120, tblByteDanceUnits[cv_2018]) + SUMIF(tblCloudAOUnits[Products],$A120, tblCloudAOUnits[cv_2018]) + SUMIF(tblTelecomUnits[Products],$A120, tblTelecomUnits[cv_2018]) + SUMIF(tblEnterpriseUnits[Products],$A120, tblEnterpriseUnits[cv_2018])</f>
        <v>0</v>
      </c>
      <c r="C120" s="8">
        <f xml:space="preserve"> SUMIF(tblGoogleUnits[Products],$A120, tblGoogleUnits[cv_2019]) + SUMIF(tblMetaUnits[Products],$A120, tblMetaUnits[cv_2019]) + SUMIF(tblAmazonUnits[Products],$A120, tblAmazonUnits[cv_2019]) + SUMIF(tblMicrosoftUnits[Products],$A120, tblMicrosoftUnits[cv_2019]) + SUMIF(tblAppleUnits[Products],$A120, tblAppleUnits[cv_2019]) + SUMIF(tblAlibabaUnits[Products],$A120, tblAlibabaUnits[cv_2019]) + SUMIF(tblHuaweiUnits[Products],$A120, tblHuaweiUnits[cv_2019]) + SUMIF(tblTencentUnits[Products],$A120, tblTencentUnits[cv_2019]) + SUMIF(tblBaiduUnits[Products],$A120, tblBaiduUnits[cv_2019]) + SUMIF(tblByteDanceUnits[Products],$A120, tblByteDanceUnits[cv_2019]) + SUMIF(tblCloudAOUnits[Products],$A120, tblCloudAOUnits[cv_2019]) + SUMIF(tblTelecomUnits[Products],$A120, tblTelecomUnits[cv_2019]) + SUMIF(tblEnterpriseUnits[Products],$A120, tblEnterpriseUnits[cv_2019])</f>
        <v>0</v>
      </c>
      <c r="D120" s="8">
        <f xml:space="preserve"> SUMIF(tblGoogleUnits[Products],$A120, tblGoogleUnits[cv_2020]) + SUMIF(tblMetaUnits[Products],$A120, tblMetaUnits[cv_2020]) + SUMIF(tblAmazonUnits[Products],$A120, tblAmazonUnits[cv_2020]) + SUMIF(tblMicrosoftUnits[Products],$A120, tblMicrosoftUnits[cv_2020]) + SUMIF(tblAppleUnits[Products],$A120, tblAppleUnits[cv_2020]) + SUMIF(tblAlibabaUnits[Products],$A120, tblAlibabaUnits[cv_2020]) + SUMIF(tblHuaweiUnits[Products],$A120, tblHuaweiUnits[cv_2020]) + SUMIF(tblTencentUnits[Products],$A120, tblTencentUnits[cv_2020]) + SUMIF(tblBaiduUnits[Products],$A120, tblBaiduUnits[cv_2020]) + SUMIF(tblByteDanceUnits[Products],$A120, tblByteDanceUnits[cv_2020]) + SUMIF(tblCloudAOUnits[Products],$A120, tblCloudAOUnits[cv_2020]) + SUMIF(tblTelecomUnits[Products],$A120, tblTelecomUnits[cv_2020]) + SUMIF(tblEnterpriseUnits[Products],$A120, tblEnterpriseUnits[cv_2020])</f>
        <v>0</v>
      </c>
      <c r="E120" s="8">
        <f xml:space="preserve"> SUMIF(tblGoogleUnits[Products],$A120, tblGoogleUnits[cv_2021]) + SUMIF(tblMetaUnits[Products],$A120, tblMetaUnits[cv_2021]) + SUMIF(tblAmazonUnits[Products],$A120, tblAmazonUnits[cv_2021]) + SUMIF(tblMicrosoftUnits[Products],$A120, tblMicrosoftUnits[cv_2021]) + SUMIF(tblAppleUnits[Products],$A120, tblAppleUnits[cv_2021]) + SUMIF(tblAlibabaUnits[Products],$A120, tblAlibabaUnits[cv_2021]) + SUMIF(tblHuaweiUnits[Products],$A120, tblHuaweiUnits[cv_2021]) + SUMIF(tblTencentUnits[Products],$A120, tblTencentUnits[cv_2021]) + SUMIF(tblBaiduUnits[Products],$A120, tblBaiduUnits[cv_2021]) + SUMIF(tblByteDanceUnits[Products],$A120, tblByteDanceUnits[cv_2021]) + SUMIF(tblCloudAOUnits[Products],$A120, tblCloudAOUnits[cv_2021]) + SUMIF(tblTelecomUnits[Products],$A120, tblTelecomUnits[cv_2021]) + SUMIF(tblEnterpriseUnits[Products],$A120, tblEnterpriseUnits[cv_2021])</f>
        <v>0</v>
      </c>
      <c r="F120" s="8">
        <f xml:space="preserve"> SUMIF(tblGoogleUnits[Products],$A120, tblGoogleUnits[cv_2022]) + SUMIF(tblMetaUnits[Products],$A120, tblMetaUnits[cv_2022]) + SUMIF(tblAmazonUnits[Products],$A120, tblAmazonUnits[cv_2022]) + SUMIF(tblMicrosoftUnits[Products],$A120, tblMicrosoftUnits[cv_2022]) + SUMIF(tblAppleUnits[Products],$A120, tblAppleUnits[cv_2022]) + SUMIF(tblAlibabaUnits[Products],$A120, tblAlibabaUnits[cv_2022]) + SUMIF(tblHuaweiUnits[Products],$A120, tblHuaweiUnits[cv_2022]) + SUMIF(tblTencentUnits[Products],$A120, tblTencentUnits[cv_2022]) + SUMIF(tblBaiduUnits[Products],$A120, tblBaiduUnits[cv_2022]) + SUMIF(tblByteDanceUnits[Products],$A120, tblByteDanceUnits[cv_2022]) + SUMIF(tblCloudAOUnits[Products],$A120, tblCloudAOUnits[cv_2022]) + SUMIF(tblTelecomUnits[Products],$A120, tblTelecomUnits[cv_2022]) + SUMIF(tblEnterpriseUnits[Products],$A120, tblEnterpriseUnits[cv_2022])</f>
        <v>0</v>
      </c>
      <c r="G120" s="8">
        <f xml:space="preserve"> SUMIF(tblGoogleUnits[Products],$A120, tblGoogleUnits[cv_2023]) + SUMIF(tblMetaUnits[Products],$A120, tblMetaUnits[cv_2023]) + SUMIF(tblAmazonUnits[Products],$A120, tblAmazonUnits[cv_2023]) + SUMIF(tblMicrosoftUnits[Products],$A120, tblMicrosoftUnits[cv_2023]) + SUMIF(tblAppleUnits[Products],$A120, tblAppleUnits[cv_2023]) + SUMIF(tblAlibabaUnits[Products],$A120, tblAlibabaUnits[cv_2023]) + SUMIF(tblHuaweiUnits[Products],$A120, tblHuaweiUnits[cv_2023]) + SUMIF(tblTencentUnits[Products],$A120, tblTencentUnits[cv_2023]) + SUMIF(tblBaiduUnits[Products],$A120, tblBaiduUnits[cv_2023]) + SUMIF(tblByteDanceUnits[Products],$A120, tblByteDanceUnits[cv_2023]) + SUMIF(tblCloudAOUnits[Products],$A120, tblCloudAOUnits[cv_2023]) + SUMIF(tblTelecomUnits[Products],$A120, tblTelecomUnits[cv_2023]) + SUMIF(tblEnterpriseUnits[Products],$A120, tblEnterpriseUnits[cv_2023])</f>
        <v>0</v>
      </c>
      <c r="H120" s="8">
        <f xml:space="preserve"> SUMIF(tblGoogleUnits[Products],$A120, tblGoogleUnits[cv_2024]) + SUMIF(tblMetaUnits[Products],$A120, tblMetaUnits[cv_2024]) + SUMIF(tblAmazonUnits[Products],$A120, tblAmazonUnits[cv_2024]) + SUMIF(tblMicrosoftUnits[Products],$A120, tblMicrosoftUnits[cv_2024]) + SUMIF(tblAppleUnits[Products],$A120, tblAppleUnits[cv_2024]) + SUMIF(tblAlibabaUnits[Products],$A120, tblAlibabaUnits[cv_2024]) + SUMIF(tblHuaweiUnits[Products],$A120, tblHuaweiUnits[cv_2024]) + SUMIF(tblTencentUnits[Products],$A120, tblTencentUnits[cv_2024]) + SUMIF(tblBaiduUnits[Products],$A120, tblBaiduUnits[cv_2024]) + SUMIF(tblByteDanceUnits[Products],$A120, tblByteDanceUnits[cv_2024]) + SUMIF(tblCloudAOUnits[Products],$A120, tblCloudAOUnits[cv_2024]) + SUMIF(tblTelecomUnits[Products],$A120, tblTelecomUnits[cv_2024]) + SUMIF(tblEnterpriseUnits[Products],$A120, tblEnterpriseUnits[cv_2024])</f>
        <v>0</v>
      </c>
      <c r="I120" s="8">
        <f xml:space="preserve"> SUMIF(tblGoogleUnits[Products],$A120, tblGoogleUnits[cv_2025]) + SUMIF(tblMetaUnits[Products],$A120, tblMetaUnits[cv_2025]) + SUMIF(tblAmazonUnits[Products],$A120, tblAmazonUnits[cv_2025]) + SUMIF(tblMicrosoftUnits[Products],$A120, tblMicrosoftUnits[cv_2025]) + SUMIF(tblAppleUnits[Products],$A120, tblAppleUnits[cv_2025]) + SUMIF(tblAlibabaUnits[Products],$A120, tblAlibabaUnits[cv_2025]) + SUMIF(tblHuaweiUnits[Products],$A120, tblHuaweiUnits[cv_2025]) + SUMIF(tblTencentUnits[Products],$A120, tblTencentUnits[cv_2025]) + SUMIF(tblBaiduUnits[Products],$A120, tblBaiduUnits[cv_2025]) + SUMIF(tblByteDanceUnits[Products],$A120, tblByteDanceUnits[cv_2025]) + SUMIF(tblCloudAOUnits[Products],$A120, tblCloudAOUnits[cv_2025]) + SUMIF(tblTelecomUnits[Products],$A120, tblTelecomUnits[cv_2025]) + SUMIF(tblEnterpriseUnits[Products],$A120, tblEnterpriseUnits[cv_2025])</f>
        <v>0</v>
      </c>
      <c r="J120" s="8">
        <f xml:space="preserve"> SUMIF(tblGoogleUnits[Products],$A120, tblGoogleUnits[cv_2026]) + SUMIF(tblMetaUnits[Products],$A120, tblMetaUnits[cv_2026]) + SUMIF(tblAmazonUnits[Products],$A120, tblAmazonUnits[cv_2026]) + SUMIF(tblMicrosoftUnits[Products],$A120, tblMicrosoftUnits[cv_2026]) + SUMIF(tblAppleUnits[Products],$A120, tblAppleUnits[cv_2026]) + SUMIF(tblAlibabaUnits[Products],$A120, tblAlibabaUnits[cv_2026]) + SUMIF(tblHuaweiUnits[Products],$A120, tblHuaweiUnits[cv_2026]) + SUMIF(tblTencentUnits[Products],$A120, tblTencentUnits[cv_2026]) + SUMIF(tblBaiduUnits[Products],$A120, tblBaiduUnits[cv_2026]) + SUMIF(tblByteDanceUnits[Products],$A120, tblByteDanceUnits[cv_2026]) + SUMIF(tblCloudAOUnits[Products],$A120, tblCloudAOUnits[cv_2026]) + SUMIF(tblTelecomUnits[Products],$A120, tblTelecomUnits[cv_2026]) + SUMIF(tblEnterpriseUnits[Products],$A120, tblEnterpriseUnits[cv_2026])</f>
        <v>0</v>
      </c>
      <c r="K120" s="8">
        <f xml:space="preserve"> SUMIF(tblGoogleUnits[Products],$A120, tblGoogleUnits[cv_2027]) + SUMIF(tblMetaUnits[Products],$A120, tblMetaUnits[cv_2027]) + SUMIF(tblAmazonUnits[Products],$A120, tblAmazonUnits[cv_2027]) + SUMIF(tblMicrosoftUnits[Products],$A120, tblMicrosoftUnits[cv_2027]) + SUMIF(tblAppleUnits[Products],$A120, tblAppleUnits[cv_2027]) + SUMIF(tblAlibabaUnits[Products],$A120, tblAlibabaUnits[cv_2027]) + SUMIF(tblHuaweiUnits[Products],$A120, tblHuaweiUnits[cv_2027]) + SUMIF(tblTencentUnits[Products],$A120, tblTencentUnits[cv_2027]) + SUMIF(tblBaiduUnits[Products],$A120, tblBaiduUnits[cv_2027]) + SUMIF(tblByteDanceUnits[Products],$A120, tblByteDanceUnits[cv_2027]) + SUMIF(tblCloudAOUnits[Products],$A120, tblCloudAOUnits[cv_2027]) + SUMIF(tblTelecomUnits[Products],$A120, tblTelecomUnits[cv_2027]) + SUMIF(tblEnterpriseUnits[Products],$A120, tblEnterpriseUnits[cv_2027])</f>
        <v>0</v>
      </c>
      <c r="L120" s="8">
        <f xml:space="preserve"> SUMIF(tblGoogleUnits[Products],$A120, tblGoogleUnits[cv_2028]) + SUMIF(tblMetaUnits[Products],$A120, tblMetaUnits[cv_2028]) + SUMIF(tblAmazonUnits[Products],$A120, tblAmazonUnits[cv_2028]) + SUMIF(tblMicrosoftUnits[Products],$A120, tblMicrosoftUnits[cv_2028]) + SUMIF(tblAppleUnits[Products],$A120, tblAppleUnits[cv_2028]) + SUMIF(tblAlibabaUnits[Products],$A120, tblAlibabaUnits[cv_2028]) + SUMIF(tblHuaweiUnits[Products],$A120, tblHuaweiUnits[cv_2028]) + SUMIF(tblTencentUnits[Products],$A120, tblTencentUnits[cv_2028]) + SUMIF(tblBaiduUnits[Products],$A120, tblBaiduUnits[cv_2028]) + SUMIF(tblByteDanceUnits[Products],$A120, tblByteDanceUnits[cv_2028]) + SUMIF(tblCloudAOUnits[Products],$A120, tblCloudAOUnits[cv_2028]) + SUMIF(tblTelecomUnits[Products],$A120, tblTelecomUnits[cv_2028]) + SUMIF(tblEnterpriseUnits[Products],$A120, tblEnterpriseUnits[cv_2028])</f>
        <v>0</v>
      </c>
      <c r="M120" s="105" cm="1">
        <f t="array" ref="M120">INDEX(tblPrices[cv_2018], MATCH($A120,tblPrices[Products],0), 0)</f>
        <v>0</v>
      </c>
      <c r="N120" s="105" cm="1">
        <f t="array" ref="N120">INDEX(tblPrices[cv_2019], MATCH($A120,tblPrices[Products],0), 0)</f>
        <v>0</v>
      </c>
      <c r="O120" s="105" cm="1">
        <f t="array" ref="O120">INDEX(tblPrices[cv_2020], MATCH($A120,tblPrices[Products],0), 0)</f>
        <v>0</v>
      </c>
      <c r="P120" s="105" cm="1">
        <f t="array" ref="P120">INDEX(tblPrices[cv_2021], MATCH($A120,tblPrices[Products],0), 0)</f>
        <v>0</v>
      </c>
      <c r="Q120" s="105" cm="1">
        <f t="array" ref="Q120">INDEX(tblPrices[cv_2022], MATCH($A120,tblPrices[Products],0), 0)</f>
        <v>0</v>
      </c>
      <c r="R120" s="105" cm="1">
        <f t="array" ref="R120">INDEX(tblPrices[cv_2023], MATCH($A120,tblPrices[Products],0), 0)</f>
        <v>0</v>
      </c>
      <c r="S120" s="105" cm="1">
        <f t="array" ref="S120">INDEX(tblPrices[cv_2024], MATCH($A120,tblPrices[Products],0), 0)</f>
        <v>0</v>
      </c>
      <c r="T120" s="105" cm="1">
        <f t="array" ref="T120">INDEX(tblPrices[cv_2025], MATCH($A120,tblPrices[Products],0), 0)</f>
        <v>0</v>
      </c>
      <c r="U120" s="105" cm="1">
        <f t="array" ref="U120">INDEX(tblPrices[cv_2026], MATCH($A120,tblPrices[Products],0), 0)</f>
        <v>0</v>
      </c>
      <c r="V120" s="105" cm="1">
        <f t="array" ref="V120">INDEX(tblPrices[cv_2027], MATCH($A120,tblPrices[Products],0), 0)</f>
        <v>0</v>
      </c>
      <c r="W120" s="105" cm="1">
        <f t="array" ref="W120">INDEX(tblPrices[cv_2028], MATCH($A120,tblPrices[Products],0), 0)</f>
        <v>0</v>
      </c>
      <c r="X120" s="106" cm="1">
        <f t="array" ref="X120">INDEX(tblPrices[cv_2018], MATCH($A120,tblPrices[Products],0), 0)* tblForecast[[#This Row],[un_2018]]/10^6</f>
        <v>0</v>
      </c>
      <c r="Y120" s="106" cm="1">
        <f t="array" ref="Y120">INDEX(tblPrices[cv_2019], MATCH($A120,tblPrices[Products],0), 0)* tblForecast[[#This Row],[un_2019]]/10^6</f>
        <v>0</v>
      </c>
      <c r="Z120" s="106" cm="1">
        <f t="array" ref="Z120">INDEX(tblPrices[cv_2020], MATCH($A120,tblPrices[Products],0), 0)* tblForecast[[#This Row],[un_2020]]/10^6</f>
        <v>0</v>
      </c>
      <c r="AA120" s="106" cm="1">
        <f t="array" ref="AA120">INDEX(tblPrices[cv_2021], MATCH($A120,tblPrices[Products],0), 0)* tblForecast[[#This Row],[un_2021]]/10^6</f>
        <v>0</v>
      </c>
      <c r="AB120" s="106" cm="1">
        <f t="array" ref="AB120">INDEX(tblPrices[cv_2022], MATCH($A120,tblPrices[Products],0), 0)* tblForecast[[#This Row],[un_2022]]/10^6</f>
        <v>0</v>
      </c>
      <c r="AC120" s="106" cm="1">
        <f t="array" ref="AC120">INDEX(tblPrices[cv_2023], MATCH($A120,tblPrices[Products],0), 0)* tblForecast[[#This Row],[un_2023]]/10^6</f>
        <v>0</v>
      </c>
      <c r="AD120" s="106" cm="1">
        <f t="array" ref="AD120">INDEX(tblPrices[cv_2024], MATCH($A120,tblPrices[Products],0), 0)* tblForecast[[#This Row],[un_2024]]/10^6</f>
        <v>0</v>
      </c>
      <c r="AE120" s="106" cm="1">
        <f t="array" ref="AE120">INDEX(tblPrices[cv_2025], MATCH($A120,tblPrices[Products],0), 0)* tblForecast[[#This Row],[un_2025]]/10^6</f>
        <v>0</v>
      </c>
      <c r="AF120" s="106" cm="1">
        <f t="array" ref="AF120">INDEX(tblPrices[cv_2026], MATCH($A120,tblPrices[Products],0), 0)* tblForecast[[#This Row],[un_2026]]/10^6</f>
        <v>0</v>
      </c>
      <c r="AG120" s="106" cm="1">
        <f t="array" ref="AG120">INDEX(tblPrices[cv_2027], MATCH($A120,tblPrices[Products],0), 0)* tblForecast[[#This Row],[un_2027]]/10^6</f>
        <v>0</v>
      </c>
      <c r="AH120" s="106" cm="1">
        <f t="array" ref="AH120">INDEX(tblPrices[cv_2028], MATCH($A120,tblPrices[Products],0), 0)* tblForecast[[#This Row],[un_2028]]/10^6</f>
        <v>0</v>
      </c>
      <c r="AI120" s="60">
        <f>VLOOKUP(A120,Products!$A$11:$F$110,6,FALSE)</f>
        <v>400</v>
      </c>
    </row>
    <row r="121" spans="1:35">
      <c r="A121" s="12" t="s">
        <v>35</v>
      </c>
      <c r="B121" s="8">
        <f xml:space="preserve"> SUMIF(tblGoogleUnits[Products],$A121, tblGoogleUnits[cv_2018]) + SUMIF(tblMetaUnits[Products],$A121, tblMetaUnits[cv_2018]) + SUMIF(tblAmazonUnits[Products],$A121, tblAmazonUnits[cv_2018]) + SUMIF(tblMicrosoftUnits[Products],$A121, tblMicrosoftUnits[cv_2018]) + SUMIF(tblAppleUnits[Products],$A121, tblAppleUnits[cv_2018]) + SUMIF(tblAlibabaUnits[Products],$A121, tblAlibabaUnits[cv_2018]) + SUMIF(tblHuaweiUnits[Products],$A121, tblHuaweiUnits[cv_2018]) + SUMIF(tblTencentUnits[Products],$A121, tblTencentUnits[cv_2018]) + SUMIF(tblBaiduUnits[Products],$A121, tblBaiduUnits[cv_2018]) + SUMIF(tblByteDanceUnits[Products],$A121, tblByteDanceUnits[cv_2018]) + SUMIF(tblCloudAOUnits[Products],$A121, tblCloudAOUnits[cv_2018]) + SUMIF(tblTelecomUnits[Products],$A121, tblTelecomUnits[cv_2018]) + SUMIF(tblEnterpriseUnits[Products],$A121, tblEnterpriseUnits[cv_2018])</f>
        <v>0</v>
      </c>
      <c r="C121" s="8">
        <f xml:space="preserve"> SUMIF(tblGoogleUnits[Products],$A121, tblGoogleUnits[cv_2019]) + SUMIF(tblMetaUnits[Products],$A121, tblMetaUnits[cv_2019]) + SUMIF(tblAmazonUnits[Products],$A121, tblAmazonUnits[cv_2019]) + SUMIF(tblMicrosoftUnits[Products],$A121, tblMicrosoftUnits[cv_2019]) + SUMIF(tblAppleUnits[Products],$A121, tblAppleUnits[cv_2019]) + SUMIF(tblAlibabaUnits[Products],$A121, tblAlibabaUnits[cv_2019]) + SUMIF(tblHuaweiUnits[Products],$A121, tblHuaweiUnits[cv_2019]) + SUMIF(tblTencentUnits[Products],$A121, tblTencentUnits[cv_2019]) + SUMIF(tblBaiduUnits[Products],$A121, tblBaiduUnits[cv_2019]) + SUMIF(tblByteDanceUnits[Products],$A121, tblByteDanceUnits[cv_2019]) + SUMIF(tblCloudAOUnits[Products],$A121, tblCloudAOUnits[cv_2019]) + SUMIF(tblTelecomUnits[Products],$A121, tblTelecomUnits[cv_2019]) + SUMIF(tblEnterpriseUnits[Products],$A121, tblEnterpriseUnits[cv_2019])</f>
        <v>82</v>
      </c>
      <c r="D121" s="8">
        <f xml:space="preserve"> SUMIF(tblGoogleUnits[Products],$A121, tblGoogleUnits[cv_2020]) + SUMIF(tblMetaUnits[Products],$A121, tblMetaUnits[cv_2020]) + SUMIF(tblAmazonUnits[Products],$A121, tblAmazonUnits[cv_2020]) + SUMIF(tblMicrosoftUnits[Products],$A121, tblMicrosoftUnits[cv_2020]) + SUMIF(tblAppleUnits[Products],$A121, tblAppleUnits[cv_2020]) + SUMIF(tblAlibabaUnits[Products],$A121, tblAlibabaUnits[cv_2020]) + SUMIF(tblHuaweiUnits[Products],$A121, tblHuaweiUnits[cv_2020]) + SUMIF(tblTencentUnits[Products],$A121, tblTencentUnits[cv_2020]) + SUMIF(tblBaiduUnits[Products],$A121, tblBaiduUnits[cv_2020]) + SUMIF(tblByteDanceUnits[Products],$A121, tblByteDanceUnits[cv_2020]) + SUMIF(tblCloudAOUnits[Products],$A121, tblCloudAOUnits[cv_2020]) + SUMIF(tblTelecomUnits[Products],$A121, tblTelecomUnits[cv_2020]) + SUMIF(tblEnterpriseUnits[Products],$A121, tblEnterpriseUnits[cv_2020])</f>
        <v>0</v>
      </c>
      <c r="E121" s="8">
        <f xml:space="preserve"> SUMIF(tblGoogleUnits[Products],$A121, tblGoogleUnits[cv_2021]) + SUMIF(tblMetaUnits[Products],$A121, tblMetaUnits[cv_2021]) + SUMIF(tblAmazonUnits[Products],$A121, tblAmazonUnits[cv_2021]) + SUMIF(tblMicrosoftUnits[Products],$A121, tblMicrosoftUnits[cv_2021]) + SUMIF(tblAppleUnits[Products],$A121, tblAppleUnits[cv_2021]) + SUMIF(tblAlibabaUnits[Products],$A121, tblAlibabaUnits[cv_2021]) + SUMIF(tblHuaweiUnits[Products],$A121, tblHuaweiUnits[cv_2021]) + SUMIF(tblTencentUnits[Products],$A121, tblTencentUnits[cv_2021]) + SUMIF(tblBaiduUnits[Products],$A121, tblBaiduUnits[cv_2021]) + SUMIF(tblByteDanceUnits[Products],$A121, tblByteDanceUnits[cv_2021]) + SUMIF(tblCloudAOUnits[Products],$A121, tblCloudAOUnits[cv_2021]) + SUMIF(tblTelecomUnits[Products],$A121, tblTelecomUnits[cv_2021]) + SUMIF(tblEnterpriseUnits[Products],$A121, tblEnterpriseUnits[cv_2021])</f>
        <v>0</v>
      </c>
      <c r="F121" s="8">
        <f xml:space="preserve"> SUMIF(tblGoogleUnits[Products],$A121, tblGoogleUnits[cv_2022]) + SUMIF(tblMetaUnits[Products],$A121, tblMetaUnits[cv_2022]) + SUMIF(tblAmazonUnits[Products],$A121, tblAmazonUnits[cv_2022]) + SUMIF(tblMicrosoftUnits[Products],$A121, tblMicrosoftUnits[cv_2022]) + SUMIF(tblAppleUnits[Products],$A121, tblAppleUnits[cv_2022]) + SUMIF(tblAlibabaUnits[Products],$A121, tblAlibabaUnits[cv_2022]) + SUMIF(tblHuaweiUnits[Products],$A121, tblHuaweiUnits[cv_2022]) + SUMIF(tblTencentUnits[Products],$A121, tblTencentUnits[cv_2022]) + SUMIF(tblBaiduUnits[Products],$A121, tblBaiduUnits[cv_2022]) + SUMIF(tblByteDanceUnits[Products],$A121, tblByteDanceUnits[cv_2022]) + SUMIF(tblCloudAOUnits[Products],$A121, tblCloudAOUnits[cv_2022]) + SUMIF(tblTelecomUnits[Products],$A121, tblTelecomUnits[cv_2022]) + SUMIF(tblEnterpriseUnits[Products],$A121, tblEnterpriseUnits[cv_2022])</f>
        <v>0</v>
      </c>
      <c r="G121" s="8">
        <f xml:space="preserve"> SUMIF(tblGoogleUnits[Products],$A121, tblGoogleUnits[cv_2023]) + SUMIF(tblMetaUnits[Products],$A121, tblMetaUnits[cv_2023]) + SUMIF(tblAmazonUnits[Products],$A121, tblAmazonUnits[cv_2023]) + SUMIF(tblMicrosoftUnits[Products],$A121, tblMicrosoftUnits[cv_2023]) + SUMIF(tblAppleUnits[Products],$A121, tblAppleUnits[cv_2023]) + SUMIF(tblAlibabaUnits[Products],$A121, tblAlibabaUnits[cv_2023]) + SUMIF(tblHuaweiUnits[Products],$A121, tblHuaweiUnits[cv_2023]) + SUMIF(tblTencentUnits[Products],$A121, tblTencentUnits[cv_2023]) + SUMIF(tblBaiduUnits[Products],$A121, tblBaiduUnits[cv_2023]) + SUMIF(tblByteDanceUnits[Products],$A121, tblByteDanceUnits[cv_2023]) + SUMIF(tblCloudAOUnits[Products],$A121, tblCloudAOUnits[cv_2023]) + SUMIF(tblTelecomUnits[Products],$A121, tblTelecomUnits[cv_2023]) + SUMIF(tblEnterpriseUnits[Products],$A121, tblEnterpriseUnits[cv_2023])</f>
        <v>0</v>
      </c>
      <c r="H121" s="8">
        <f xml:space="preserve"> SUMIF(tblGoogleUnits[Products],$A121, tblGoogleUnits[cv_2024]) + SUMIF(tblMetaUnits[Products],$A121, tblMetaUnits[cv_2024]) + SUMIF(tblAmazonUnits[Products],$A121, tblAmazonUnits[cv_2024]) + SUMIF(tblMicrosoftUnits[Products],$A121, tblMicrosoftUnits[cv_2024]) + SUMIF(tblAppleUnits[Products],$A121, tblAppleUnits[cv_2024]) + SUMIF(tblAlibabaUnits[Products],$A121, tblAlibabaUnits[cv_2024]) + SUMIF(tblHuaweiUnits[Products],$A121, tblHuaweiUnits[cv_2024]) + SUMIF(tblTencentUnits[Products],$A121, tblTencentUnits[cv_2024]) + SUMIF(tblBaiduUnits[Products],$A121, tblBaiduUnits[cv_2024]) + SUMIF(tblByteDanceUnits[Products],$A121, tblByteDanceUnits[cv_2024]) + SUMIF(tblCloudAOUnits[Products],$A121, tblCloudAOUnits[cv_2024]) + SUMIF(tblTelecomUnits[Products],$A121, tblTelecomUnits[cv_2024]) + SUMIF(tblEnterpriseUnits[Products],$A121, tblEnterpriseUnits[cv_2024])</f>
        <v>0</v>
      </c>
      <c r="I121" s="8">
        <f xml:space="preserve"> SUMIF(tblGoogleUnits[Products],$A121, tblGoogleUnits[cv_2025]) + SUMIF(tblMetaUnits[Products],$A121, tblMetaUnits[cv_2025]) + SUMIF(tblAmazonUnits[Products],$A121, tblAmazonUnits[cv_2025]) + SUMIF(tblMicrosoftUnits[Products],$A121, tblMicrosoftUnits[cv_2025]) + SUMIF(tblAppleUnits[Products],$A121, tblAppleUnits[cv_2025]) + SUMIF(tblAlibabaUnits[Products],$A121, tblAlibabaUnits[cv_2025]) + SUMIF(tblHuaweiUnits[Products],$A121, tblHuaweiUnits[cv_2025]) + SUMIF(tblTencentUnits[Products],$A121, tblTencentUnits[cv_2025]) + SUMIF(tblBaiduUnits[Products],$A121, tblBaiduUnits[cv_2025]) + SUMIF(tblByteDanceUnits[Products],$A121, tblByteDanceUnits[cv_2025]) + SUMIF(tblCloudAOUnits[Products],$A121, tblCloudAOUnits[cv_2025]) + SUMIF(tblTelecomUnits[Products],$A121, tblTelecomUnits[cv_2025]) + SUMIF(tblEnterpriseUnits[Products],$A121, tblEnterpriseUnits[cv_2025])</f>
        <v>0</v>
      </c>
      <c r="J121" s="8">
        <f xml:space="preserve"> SUMIF(tblGoogleUnits[Products],$A121, tblGoogleUnits[cv_2026]) + SUMIF(tblMetaUnits[Products],$A121, tblMetaUnits[cv_2026]) + SUMIF(tblAmazonUnits[Products],$A121, tblAmazonUnits[cv_2026]) + SUMIF(tblMicrosoftUnits[Products],$A121, tblMicrosoftUnits[cv_2026]) + SUMIF(tblAppleUnits[Products],$A121, tblAppleUnits[cv_2026]) + SUMIF(tblAlibabaUnits[Products],$A121, tblAlibabaUnits[cv_2026]) + SUMIF(tblHuaweiUnits[Products],$A121, tblHuaweiUnits[cv_2026]) + SUMIF(tblTencentUnits[Products],$A121, tblTencentUnits[cv_2026]) + SUMIF(tblBaiduUnits[Products],$A121, tblBaiduUnits[cv_2026]) + SUMIF(tblByteDanceUnits[Products],$A121, tblByteDanceUnits[cv_2026]) + SUMIF(tblCloudAOUnits[Products],$A121, tblCloudAOUnits[cv_2026]) + SUMIF(tblTelecomUnits[Products],$A121, tblTelecomUnits[cv_2026]) + SUMIF(tblEnterpriseUnits[Products],$A121, tblEnterpriseUnits[cv_2026])</f>
        <v>0</v>
      </c>
      <c r="K121" s="8">
        <f xml:space="preserve"> SUMIF(tblGoogleUnits[Products],$A121, tblGoogleUnits[cv_2027]) + SUMIF(tblMetaUnits[Products],$A121, tblMetaUnits[cv_2027]) + SUMIF(tblAmazonUnits[Products],$A121, tblAmazonUnits[cv_2027]) + SUMIF(tblMicrosoftUnits[Products],$A121, tblMicrosoftUnits[cv_2027]) + SUMIF(tblAppleUnits[Products],$A121, tblAppleUnits[cv_2027]) + SUMIF(tblAlibabaUnits[Products],$A121, tblAlibabaUnits[cv_2027]) + SUMIF(tblHuaweiUnits[Products],$A121, tblHuaweiUnits[cv_2027]) + SUMIF(tblTencentUnits[Products],$A121, tblTencentUnits[cv_2027]) + SUMIF(tblBaiduUnits[Products],$A121, tblBaiduUnits[cv_2027]) + SUMIF(tblByteDanceUnits[Products],$A121, tblByteDanceUnits[cv_2027]) + SUMIF(tblCloudAOUnits[Products],$A121, tblCloudAOUnits[cv_2027]) + SUMIF(tblTelecomUnits[Products],$A121, tblTelecomUnits[cv_2027]) + SUMIF(tblEnterpriseUnits[Products],$A121, tblEnterpriseUnits[cv_2027])</f>
        <v>0</v>
      </c>
      <c r="L121" s="8">
        <f xml:space="preserve"> SUMIF(tblGoogleUnits[Products],$A121, tblGoogleUnits[cv_2028]) + SUMIF(tblMetaUnits[Products],$A121, tblMetaUnits[cv_2028]) + SUMIF(tblAmazonUnits[Products],$A121, tblAmazonUnits[cv_2028]) + SUMIF(tblMicrosoftUnits[Products],$A121, tblMicrosoftUnits[cv_2028]) + SUMIF(tblAppleUnits[Products],$A121, tblAppleUnits[cv_2028]) + SUMIF(tblAlibabaUnits[Products],$A121, tblAlibabaUnits[cv_2028]) + SUMIF(tblHuaweiUnits[Products],$A121, tblHuaweiUnits[cv_2028]) + SUMIF(tblTencentUnits[Products],$A121, tblTencentUnits[cv_2028]) + SUMIF(tblBaiduUnits[Products],$A121, tblBaiduUnits[cv_2028]) + SUMIF(tblByteDanceUnits[Products],$A121, tblByteDanceUnits[cv_2028]) + SUMIF(tblCloudAOUnits[Products],$A121, tblCloudAOUnits[cv_2028]) + SUMIF(tblTelecomUnits[Products],$A121, tblTelecomUnits[cv_2028]) + SUMIF(tblEnterpriseUnits[Products],$A121, tblEnterpriseUnits[cv_2028])</f>
        <v>0</v>
      </c>
      <c r="M121" s="105" cm="1">
        <f t="array" ref="M121">INDEX(tblPrices[cv_2018], MATCH($A121,tblPrices[Products],0), 0)</f>
        <v>16000</v>
      </c>
      <c r="N121" s="105" cm="1">
        <f t="array" ref="N121">INDEX(tblPrices[cv_2019], MATCH($A121,tblPrices[Products],0), 0)</f>
        <v>10000</v>
      </c>
      <c r="O121" s="105" cm="1">
        <f t="array" ref="O121">INDEX(tblPrices[cv_2020], MATCH($A121,tblPrices[Products],0), 0)</f>
        <v>0</v>
      </c>
      <c r="P121" s="105" cm="1">
        <f t="array" ref="P121">INDEX(tblPrices[cv_2021], MATCH($A121,tblPrices[Products],0), 0)</f>
        <v>0</v>
      </c>
      <c r="Q121" s="105" cm="1">
        <f t="array" ref="Q121">INDEX(tblPrices[cv_2022], MATCH($A121,tblPrices[Products],0), 0)</f>
        <v>0</v>
      </c>
      <c r="R121" s="105" cm="1">
        <f t="array" ref="R121">INDEX(tblPrices[cv_2023], MATCH($A121,tblPrices[Products],0), 0)</f>
        <v>0</v>
      </c>
      <c r="S121" s="105" cm="1">
        <f t="array" ref="S121">INDEX(tblPrices[cv_2024], MATCH($A121,tblPrices[Products],0), 0)</f>
        <v>0</v>
      </c>
      <c r="T121" s="105" cm="1">
        <f t="array" ref="T121">INDEX(tblPrices[cv_2025], MATCH($A121,tblPrices[Products],0), 0)</f>
        <v>0</v>
      </c>
      <c r="U121" s="105" cm="1">
        <f t="array" ref="U121">INDEX(tblPrices[cv_2026], MATCH($A121,tblPrices[Products],0), 0)</f>
        <v>0</v>
      </c>
      <c r="V121" s="105" cm="1">
        <f t="array" ref="V121">INDEX(tblPrices[cv_2027], MATCH($A121,tblPrices[Products],0), 0)</f>
        <v>0</v>
      </c>
      <c r="W121" s="105" cm="1">
        <f t="array" ref="W121">INDEX(tblPrices[cv_2028], MATCH($A121,tblPrices[Products],0), 0)</f>
        <v>0</v>
      </c>
      <c r="X121" s="106" cm="1">
        <f t="array" ref="X121">INDEX(tblPrices[cv_2018], MATCH($A121,tblPrices[Products],0), 0)* tblForecast[[#This Row],[un_2018]]/10^6</f>
        <v>0</v>
      </c>
      <c r="Y121" s="106" cm="1">
        <f t="array" ref="Y121">INDEX(tblPrices[cv_2019], MATCH($A121,tblPrices[Products],0), 0)* tblForecast[[#This Row],[un_2019]]/10^6</f>
        <v>0.82</v>
      </c>
      <c r="Z121" s="106" cm="1">
        <f t="array" ref="Z121">INDEX(tblPrices[cv_2020], MATCH($A121,tblPrices[Products],0), 0)* tblForecast[[#This Row],[un_2020]]/10^6</f>
        <v>0</v>
      </c>
      <c r="AA121" s="106" cm="1">
        <f t="array" ref="AA121">INDEX(tblPrices[cv_2021], MATCH($A121,tblPrices[Products],0), 0)* tblForecast[[#This Row],[un_2021]]/10^6</f>
        <v>0</v>
      </c>
      <c r="AB121" s="106" cm="1">
        <f t="array" ref="AB121">INDEX(tblPrices[cv_2022], MATCH($A121,tblPrices[Products],0), 0)* tblForecast[[#This Row],[un_2022]]/10^6</f>
        <v>0</v>
      </c>
      <c r="AC121" s="106" cm="1">
        <f t="array" ref="AC121">INDEX(tblPrices[cv_2023], MATCH($A121,tblPrices[Products],0), 0)* tblForecast[[#This Row],[un_2023]]/10^6</f>
        <v>0</v>
      </c>
      <c r="AD121" s="106" cm="1">
        <f t="array" ref="AD121">INDEX(tblPrices[cv_2024], MATCH($A121,tblPrices[Products],0), 0)* tblForecast[[#This Row],[un_2024]]/10^6</f>
        <v>0</v>
      </c>
      <c r="AE121" s="106" cm="1">
        <f t="array" ref="AE121">INDEX(tblPrices[cv_2025], MATCH($A121,tblPrices[Products],0), 0)* tblForecast[[#This Row],[un_2025]]/10^6</f>
        <v>0</v>
      </c>
      <c r="AF121" s="106" cm="1">
        <f t="array" ref="AF121">INDEX(tblPrices[cv_2026], MATCH($A121,tblPrices[Products],0), 0)* tblForecast[[#This Row],[un_2026]]/10^6</f>
        <v>0</v>
      </c>
      <c r="AG121" s="106" cm="1">
        <f t="array" ref="AG121">INDEX(tblPrices[cv_2027], MATCH($A121,tblPrices[Products],0), 0)* tblForecast[[#This Row],[un_2027]]/10^6</f>
        <v>0</v>
      </c>
      <c r="AH121" s="106" cm="1">
        <f t="array" ref="AH121">INDEX(tblPrices[cv_2028], MATCH($A121,tblPrices[Products],0), 0)* tblForecast[[#This Row],[un_2028]]/10^6</f>
        <v>0</v>
      </c>
      <c r="AI121" s="60">
        <f>VLOOKUP(A121,Products!$A$11:$F$110,6,FALSE)</f>
        <v>600</v>
      </c>
    </row>
    <row r="122" spans="1:35">
      <c r="A122" s="12" t="s">
        <v>36</v>
      </c>
      <c r="B122" s="8">
        <f xml:space="preserve"> SUMIF(tblGoogleUnits[Products],$A122, tblGoogleUnits[cv_2018]) + SUMIF(tblMetaUnits[Products],$A122, tblMetaUnits[cv_2018]) + SUMIF(tblAmazonUnits[Products],$A122, tblAmazonUnits[cv_2018]) + SUMIF(tblMicrosoftUnits[Products],$A122, tblMicrosoftUnits[cv_2018]) + SUMIF(tblAppleUnits[Products],$A122, tblAppleUnits[cv_2018]) + SUMIF(tblAlibabaUnits[Products],$A122, tblAlibabaUnits[cv_2018]) + SUMIF(tblHuaweiUnits[Products],$A122, tblHuaweiUnits[cv_2018]) + SUMIF(tblTencentUnits[Products],$A122, tblTencentUnits[cv_2018]) + SUMIF(tblBaiduUnits[Products],$A122, tblBaiduUnits[cv_2018]) + SUMIF(tblByteDanceUnits[Products],$A122, tblByteDanceUnits[cv_2018]) + SUMIF(tblCloudAOUnits[Products],$A122, tblCloudAOUnits[cv_2018]) + SUMIF(tblTelecomUnits[Products],$A122, tblTelecomUnits[cv_2018]) + SUMIF(tblEnterpriseUnits[Products],$A122, tblEnterpriseUnits[cv_2018])</f>
        <v>0</v>
      </c>
      <c r="C122" s="8">
        <f xml:space="preserve"> SUMIF(tblGoogleUnits[Products],$A122, tblGoogleUnits[cv_2019]) + SUMIF(tblMetaUnits[Products],$A122, tblMetaUnits[cv_2019]) + SUMIF(tblAmazonUnits[Products],$A122, tblAmazonUnits[cv_2019]) + SUMIF(tblMicrosoftUnits[Products],$A122, tblMicrosoftUnits[cv_2019]) + SUMIF(tblAppleUnits[Products],$A122, tblAppleUnits[cv_2019]) + SUMIF(tblAlibabaUnits[Products],$A122, tblAlibabaUnits[cv_2019]) + SUMIF(tblHuaweiUnits[Products],$A122, tblHuaweiUnits[cv_2019]) + SUMIF(tblTencentUnits[Products],$A122, tblTencentUnits[cv_2019]) + SUMIF(tblBaiduUnits[Products],$A122, tblBaiduUnits[cv_2019]) + SUMIF(tblByteDanceUnits[Products],$A122, tblByteDanceUnits[cv_2019]) + SUMIF(tblCloudAOUnits[Products],$A122, tblCloudAOUnits[cv_2019]) + SUMIF(tblTelecomUnits[Products],$A122, tblTelecomUnits[cv_2019]) + SUMIF(tblEnterpriseUnits[Products],$A122, tblEnterpriseUnits[cv_2019])</f>
        <v>0</v>
      </c>
      <c r="D122" s="8">
        <f xml:space="preserve"> SUMIF(tblGoogleUnits[Products],$A122, tblGoogleUnits[cv_2020]) + SUMIF(tblMetaUnits[Products],$A122, tblMetaUnits[cv_2020]) + SUMIF(tblAmazonUnits[Products],$A122, tblAmazonUnits[cv_2020]) + SUMIF(tblMicrosoftUnits[Products],$A122, tblMicrosoftUnits[cv_2020]) + SUMIF(tblAppleUnits[Products],$A122, tblAppleUnits[cv_2020]) + SUMIF(tblAlibabaUnits[Products],$A122, tblAlibabaUnits[cv_2020]) + SUMIF(tblHuaweiUnits[Products],$A122, tblHuaweiUnits[cv_2020]) + SUMIF(tblTencentUnits[Products],$A122, tblTencentUnits[cv_2020]) + SUMIF(tblBaiduUnits[Products],$A122, tblBaiduUnits[cv_2020]) + SUMIF(tblByteDanceUnits[Products],$A122, tblByteDanceUnits[cv_2020]) + SUMIF(tblCloudAOUnits[Products],$A122, tblCloudAOUnits[cv_2020]) + SUMIF(tblTelecomUnits[Products],$A122, tblTelecomUnits[cv_2020]) + SUMIF(tblEnterpriseUnits[Products],$A122, tblEnterpriseUnits[cv_2020])</f>
        <v>0</v>
      </c>
      <c r="E122" s="8">
        <f xml:space="preserve"> SUMIF(tblGoogleUnits[Products],$A122, tblGoogleUnits[cv_2021]) + SUMIF(tblMetaUnits[Products],$A122, tblMetaUnits[cv_2021]) + SUMIF(tblAmazonUnits[Products],$A122, tblAmazonUnits[cv_2021]) + SUMIF(tblMicrosoftUnits[Products],$A122, tblMicrosoftUnits[cv_2021]) + SUMIF(tblAppleUnits[Products],$A122, tblAppleUnits[cv_2021]) + SUMIF(tblAlibabaUnits[Products],$A122, tblAlibabaUnits[cv_2021]) + SUMIF(tblHuaweiUnits[Products],$A122, tblHuaweiUnits[cv_2021]) + SUMIF(tblTencentUnits[Products],$A122, tblTencentUnits[cv_2021]) + SUMIF(tblBaiduUnits[Products],$A122, tblBaiduUnits[cv_2021]) + SUMIF(tblByteDanceUnits[Products],$A122, tblByteDanceUnits[cv_2021]) + SUMIF(tblCloudAOUnits[Products],$A122, tblCloudAOUnits[cv_2021]) + SUMIF(tblTelecomUnits[Products],$A122, tblTelecomUnits[cv_2021]) + SUMIF(tblEnterpriseUnits[Products],$A122, tblEnterpriseUnits[cv_2021])</f>
        <v>0</v>
      </c>
      <c r="F122" s="8">
        <f xml:space="preserve"> SUMIF(tblGoogleUnits[Products],$A122, tblGoogleUnits[cv_2022]) + SUMIF(tblMetaUnits[Products],$A122, tblMetaUnits[cv_2022]) + SUMIF(tblAmazonUnits[Products],$A122, tblAmazonUnits[cv_2022]) + SUMIF(tblMicrosoftUnits[Products],$A122, tblMicrosoftUnits[cv_2022]) + SUMIF(tblAppleUnits[Products],$A122, tblAppleUnits[cv_2022]) + SUMIF(tblAlibabaUnits[Products],$A122, tblAlibabaUnits[cv_2022]) + SUMIF(tblHuaweiUnits[Products],$A122, tblHuaweiUnits[cv_2022]) + SUMIF(tblTencentUnits[Products],$A122, tblTencentUnits[cv_2022]) + SUMIF(tblBaiduUnits[Products],$A122, tblBaiduUnits[cv_2022]) + SUMIF(tblByteDanceUnits[Products],$A122, tblByteDanceUnits[cv_2022]) + SUMIF(tblCloudAOUnits[Products],$A122, tblCloudAOUnits[cv_2022]) + SUMIF(tblTelecomUnits[Products],$A122, tblTelecomUnits[cv_2022]) + SUMIF(tblEnterpriseUnits[Products],$A122, tblEnterpriseUnits[cv_2022])</f>
        <v>0</v>
      </c>
      <c r="G122" s="8">
        <f xml:space="preserve"> SUMIF(tblGoogleUnits[Products],$A122, tblGoogleUnits[cv_2023]) + SUMIF(tblMetaUnits[Products],$A122, tblMetaUnits[cv_2023]) + SUMIF(tblAmazonUnits[Products],$A122, tblAmazonUnits[cv_2023]) + SUMIF(tblMicrosoftUnits[Products],$A122, tblMicrosoftUnits[cv_2023]) + SUMIF(tblAppleUnits[Products],$A122, tblAppleUnits[cv_2023]) + SUMIF(tblAlibabaUnits[Products],$A122, tblAlibabaUnits[cv_2023]) + SUMIF(tblHuaweiUnits[Products],$A122, tblHuaweiUnits[cv_2023]) + SUMIF(tblTencentUnits[Products],$A122, tblTencentUnits[cv_2023]) + SUMIF(tblBaiduUnits[Products],$A122, tblBaiduUnits[cv_2023]) + SUMIF(tblByteDanceUnits[Products],$A122, tblByteDanceUnits[cv_2023]) + SUMIF(tblCloudAOUnits[Products],$A122, tblCloudAOUnits[cv_2023]) + SUMIF(tblTelecomUnits[Products],$A122, tblTelecomUnits[cv_2023]) + SUMIF(tblEnterpriseUnits[Products],$A122, tblEnterpriseUnits[cv_2023])</f>
        <v>0</v>
      </c>
      <c r="H122" s="8">
        <f xml:space="preserve"> SUMIF(tblGoogleUnits[Products],$A122, tblGoogleUnits[cv_2024]) + SUMIF(tblMetaUnits[Products],$A122, tblMetaUnits[cv_2024]) + SUMIF(tblAmazonUnits[Products],$A122, tblAmazonUnits[cv_2024]) + SUMIF(tblMicrosoftUnits[Products],$A122, tblMicrosoftUnits[cv_2024]) + SUMIF(tblAppleUnits[Products],$A122, tblAppleUnits[cv_2024]) + SUMIF(tblAlibabaUnits[Products],$A122, tblAlibabaUnits[cv_2024]) + SUMIF(tblHuaweiUnits[Products],$A122, tblHuaweiUnits[cv_2024]) + SUMIF(tblTencentUnits[Products],$A122, tblTencentUnits[cv_2024]) + SUMIF(tblBaiduUnits[Products],$A122, tblBaiduUnits[cv_2024]) + SUMIF(tblByteDanceUnits[Products],$A122, tblByteDanceUnits[cv_2024]) + SUMIF(tblCloudAOUnits[Products],$A122, tblCloudAOUnits[cv_2024]) + SUMIF(tblTelecomUnits[Products],$A122, tblTelecomUnits[cv_2024]) + SUMIF(tblEnterpriseUnits[Products],$A122, tblEnterpriseUnits[cv_2024])</f>
        <v>0</v>
      </c>
      <c r="I122" s="8">
        <f xml:space="preserve"> SUMIF(tblGoogleUnits[Products],$A122, tblGoogleUnits[cv_2025]) + SUMIF(tblMetaUnits[Products],$A122, tblMetaUnits[cv_2025]) + SUMIF(tblAmazonUnits[Products],$A122, tblAmazonUnits[cv_2025]) + SUMIF(tblMicrosoftUnits[Products],$A122, tblMicrosoftUnits[cv_2025]) + SUMIF(tblAppleUnits[Products],$A122, tblAppleUnits[cv_2025]) + SUMIF(tblAlibabaUnits[Products],$A122, tblAlibabaUnits[cv_2025]) + SUMIF(tblHuaweiUnits[Products],$A122, tblHuaweiUnits[cv_2025]) + SUMIF(tblTencentUnits[Products],$A122, tblTencentUnits[cv_2025]) + SUMIF(tblBaiduUnits[Products],$A122, tblBaiduUnits[cv_2025]) + SUMIF(tblByteDanceUnits[Products],$A122, tblByteDanceUnits[cv_2025]) + SUMIF(tblCloudAOUnits[Products],$A122, tblCloudAOUnits[cv_2025]) + SUMIF(tblTelecomUnits[Products],$A122, tblTelecomUnits[cv_2025]) + SUMIF(tblEnterpriseUnits[Products],$A122, tblEnterpriseUnits[cv_2025])</f>
        <v>0</v>
      </c>
      <c r="J122" s="8">
        <f xml:space="preserve"> SUMIF(tblGoogleUnits[Products],$A122, tblGoogleUnits[cv_2026]) + SUMIF(tblMetaUnits[Products],$A122, tblMetaUnits[cv_2026]) + SUMIF(tblAmazonUnits[Products],$A122, tblAmazonUnits[cv_2026]) + SUMIF(tblMicrosoftUnits[Products],$A122, tblMicrosoftUnits[cv_2026]) + SUMIF(tblAppleUnits[Products],$A122, tblAppleUnits[cv_2026]) + SUMIF(tblAlibabaUnits[Products],$A122, tblAlibabaUnits[cv_2026]) + SUMIF(tblHuaweiUnits[Products],$A122, tblHuaweiUnits[cv_2026]) + SUMIF(tblTencentUnits[Products],$A122, tblTencentUnits[cv_2026]) + SUMIF(tblBaiduUnits[Products],$A122, tblBaiduUnits[cv_2026]) + SUMIF(tblByteDanceUnits[Products],$A122, tblByteDanceUnits[cv_2026]) + SUMIF(tblCloudAOUnits[Products],$A122, tblCloudAOUnits[cv_2026]) + SUMIF(tblTelecomUnits[Products],$A122, tblTelecomUnits[cv_2026]) + SUMIF(tblEnterpriseUnits[Products],$A122, tblEnterpriseUnits[cv_2026])</f>
        <v>0</v>
      </c>
      <c r="K122" s="8">
        <f xml:space="preserve"> SUMIF(tblGoogleUnits[Products],$A122, tblGoogleUnits[cv_2027]) + SUMIF(tblMetaUnits[Products],$A122, tblMetaUnits[cv_2027]) + SUMIF(tblAmazonUnits[Products],$A122, tblAmazonUnits[cv_2027]) + SUMIF(tblMicrosoftUnits[Products],$A122, tblMicrosoftUnits[cv_2027]) + SUMIF(tblAppleUnits[Products],$A122, tblAppleUnits[cv_2027]) + SUMIF(tblAlibabaUnits[Products],$A122, tblAlibabaUnits[cv_2027]) + SUMIF(tblHuaweiUnits[Products],$A122, tblHuaweiUnits[cv_2027]) + SUMIF(tblTencentUnits[Products],$A122, tblTencentUnits[cv_2027]) + SUMIF(tblBaiduUnits[Products],$A122, tblBaiduUnits[cv_2027]) + SUMIF(tblByteDanceUnits[Products],$A122, tblByteDanceUnits[cv_2027]) + SUMIF(tblCloudAOUnits[Products],$A122, tblCloudAOUnits[cv_2027]) + SUMIF(tblTelecomUnits[Products],$A122, tblTelecomUnits[cv_2027]) + SUMIF(tblEnterpriseUnits[Products],$A122, tblEnterpriseUnits[cv_2027])</f>
        <v>0</v>
      </c>
      <c r="L122" s="8">
        <f xml:space="preserve"> SUMIF(tblGoogleUnits[Products],$A122, tblGoogleUnits[cv_2028]) + SUMIF(tblMetaUnits[Products],$A122, tblMetaUnits[cv_2028]) + SUMIF(tblAmazonUnits[Products],$A122, tblAmazonUnits[cv_2028]) + SUMIF(tblMicrosoftUnits[Products],$A122, tblMicrosoftUnits[cv_2028]) + SUMIF(tblAppleUnits[Products],$A122, tblAppleUnits[cv_2028]) + SUMIF(tblAlibabaUnits[Products],$A122, tblAlibabaUnits[cv_2028]) + SUMIF(tblHuaweiUnits[Products],$A122, tblHuaweiUnits[cv_2028]) + SUMIF(tblTencentUnits[Products],$A122, tblTencentUnits[cv_2028]) + SUMIF(tblBaiduUnits[Products],$A122, tblBaiduUnits[cv_2028]) + SUMIF(tblByteDanceUnits[Products],$A122, tblByteDanceUnits[cv_2028]) + SUMIF(tblCloudAOUnits[Products],$A122, tblCloudAOUnits[cv_2028]) + SUMIF(tblTelecomUnits[Products],$A122, tblTelecomUnits[cv_2028]) + SUMIF(tblEnterpriseUnits[Products],$A122, tblEnterpriseUnits[cv_2028])</f>
        <v>0</v>
      </c>
      <c r="M122" s="105" cm="1">
        <f t="array" ref="M122">INDEX(tblPrices[cv_2018], MATCH($A122,tblPrices[Products],0), 0)</f>
        <v>0</v>
      </c>
      <c r="N122" s="105" cm="1">
        <f t="array" ref="N122">INDEX(tblPrices[cv_2019], MATCH($A122,tblPrices[Products],0), 0)</f>
        <v>0</v>
      </c>
      <c r="O122" s="105" cm="1">
        <f t="array" ref="O122">INDEX(tblPrices[cv_2020], MATCH($A122,tblPrices[Products],0), 0)</f>
        <v>0</v>
      </c>
      <c r="P122" s="105" cm="1">
        <f t="array" ref="P122">INDEX(tblPrices[cv_2021], MATCH($A122,tblPrices[Products],0), 0)</f>
        <v>0</v>
      </c>
      <c r="Q122" s="105" cm="1">
        <f t="array" ref="Q122">INDEX(tblPrices[cv_2022], MATCH($A122,tblPrices[Products],0), 0)</f>
        <v>0</v>
      </c>
      <c r="R122" s="105" cm="1">
        <f t="array" ref="R122">INDEX(tblPrices[cv_2023], MATCH($A122,tblPrices[Products],0), 0)</f>
        <v>0</v>
      </c>
      <c r="S122" s="105" cm="1">
        <f t="array" ref="S122">INDEX(tblPrices[cv_2024], MATCH($A122,tblPrices[Products],0), 0)</f>
        <v>0</v>
      </c>
      <c r="T122" s="105" cm="1">
        <f t="array" ref="T122">INDEX(tblPrices[cv_2025], MATCH($A122,tblPrices[Products],0), 0)</f>
        <v>0</v>
      </c>
      <c r="U122" s="105" cm="1">
        <f t="array" ref="U122">INDEX(tblPrices[cv_2026], MATCH($A122,tblPrices[Products],0), 0)</f>
        <v>0</v>
      </c>
      <c r="V122" s="105" cm="1">
        <f t="array" ref="V122">INDEX(tblPrices[cv_2027], MATCH($A122,tblPrices[Products],0), 0)</f>
        <v>0</v>
      </c>
      <c r="W122" s="105" cm="1">
        <f t="array" ref="W122">INDEX(tblPrices[cv_2028], MATCH($A122,tblPrices[Products],0), 0)</f>
        <v>0</v>
      </c>
      <c r="X122" s="106" cm="1">
        <f t="array" ref="X122">INDEX(tblPrices[cv_2018], MATCH($A122,tblPrices[Products],0), 0)* tblForecast[[#This Row],[un_2018]]/10^6</f>
        <v>0</v>
      </c>
      <c r="Y122" s="106" cm="1">
        <f t="array" ref="Y122">INDEX(tblPrices[cv_2019], MATCH($A122,tblPrices[Products],0), 0)* tblForecast[[#This Row],[un_2019]]/10^6</f>
        <v>0</v>
      </c>
      <c r="Z122" s="106" cm="1">
        <f t="array" ref="Z122">INDEX(tblPrices[cv_2020], MATCH($A122,tblPrices[Products],0), 0)* tblForecast[[#This Row],[un_2020]]/10^6</f>
        <v>0</v>
      </c>
      <c r="AA122" s="106" cm="1">
        <f t="array" ref="AA122">INDEX(tblPrices[cv_2021], MATCH($A122,tblPrices[Products],0), 0)* tblForecast[[#This Row],[un_2021]]/10^6</f>
        <v>0</v>
      </c>
      <c r="AB122" s="106" cm="1">
        <f t="array" ref="AB122">INDEX(tblPrices[cv_2022], MATCH($A122,tblPrices[Products],0), 0)* tblForecast[[#This Row],[un_2022]]/10^6</f>
        <v>0</v>
      </c>
      <c r="AC122" s="106" cm="1">
        <f t="array" ref="AC122">INDEX(tblPrices[cv_2023], MATCH($A122,tblPrices[Products],0), 0)* tblForecast[[#This Row],[un_2023]]/10^6</f>
        <v>0</v>
      </c>
      <c r="AD122" s="106" cm="1">
        <f t="array" ref="AD122">INDEX(tblPrices[cv_2024], MATCH($A122,tblPrices[Products],0), 0)* tblForecast[[#This Row],[un_2024]]/10^6</f>
        <v>0</v>
      </c>
      <c r="AE122" s="106" cm="1">
        <f t="array" ref="AE122">INDEX(tblPrices[cv_2025], MATCH($A122,tblPrices[Products],0), 0)* tblForecast[[#This Row],[un_2025]]/10^6</f>
        <v>0</v>
      </c>
      <c r="AF122" s="106" cm="1">
        <f t="array" ref="AF122">INDEX(tblPrices[cv_2026], MATCH($A122,tblPrices[Products],0), 0)* tblForecast[[#This Row],[un_2026]]/10^6</f>
        <v>0</v>
      </c>
      <c r="AG122" s="106" cm="1">
        <f t="array" ref="AG122">INDEX(tblPrices[cv_2027], MATCH($A122,tblPrices[Products],0), 0)* tblForecast[[#This Row],[un_2027]]/10^6</f>
        <v>0</v>
      </c>
      <c r="AH122" s="106" cm="1">
        <f t="array" ref="AH122">INDEX(tblPrices[cv_2028], MATCH($A122,tblPrices[Products],0), 0)* tblForecast[[#This Row],[un_2028]]/10^6</f>
        <v>0</v>
      </c>
      <c r="AI122" s="60">
        <f>VLOOKUP(A122,Products!$A$11:$F$110,6,FALSE)</f>
        <v>800</v>
      </c>
    </row>
    <row r="123" spans="1:35">
      <c r="A123" s="12" t="s">
        <v>37</v>
      </c>
      <c r="B123" s="8">
        <f xml:space="preserve"> SUMIF(tblGoogleUnits[Products],$A123, tblGoogleUnits[cv_2018]) + SUMIF(tblMetaUnits[Products],$A123, tblMetaUnits[cv_2018]) + SUMIF(tblAmazonUnits[Products],$A123, tblAmazonUnits[cv_2018]) + SUMIF(tblMicrosoftUnits[Products],$A123, tblMicrosoftUnits[cv_2018]) + SUMIF(tblAppleUnits[Products],$A123, tblAppleUnits[cv_2018]) + SUMIF(tblAlibabaUnits[Products],$A123, tblAlibabaUnits[cv_2018]) + SUMIF(tblHuaweiUnits[Products],$A123, tblHuaweiUnits[cv_2018]) + SUMIF(tblTencentUnits[Products],$A123, tblTencentUnits[cv_2018]) + SUMIF(tblBaiduUnits[Products],$A123, tblBaiduUnits[cv_2018]) + SUMIF(tblByteDanceUnits[Products],$A123, tblByteDanceUnits[cv_2018]) + SUMIF(tblCloudAOUnits[Products],$A123, tblCloudAOUnits[cv_2018]) + SUMIF(tblTelecomUnits[Products],$A123, tblTelecomUnits[cv_2018]) + SUMIF(tblEnterpriseUnits[Products],$A123, tblEnterpriseUnits[cv_2018])</f>
        <v>0</v>
      </c>
      <c r="C123" s="8">
        <f xml:space="preserve"> SUMIF(tblGoogleUnits[Products],$A123, tblGoogleUnits[cv_2019]) + SUMIF(tblMetaUnits[Products],$A123, tblMetaUnits[cv_2019]) + SUMIF(tblAmazonUnits[Products],$A123, tblAmazonUnits[cv_2019]) + SUMIF(tblMicrosoftUnits[Products],$A123, tblMicrosoftUnits[cv_2019]) + SUMIF(tblAppleUnits[Products],$A123, tblAppleUnits[cv_2019]) + SUMIF(tblAlibabaUnits[Products],$A123, tblAlibabaUnits[cv_2019]) + SUMIF(tblHuaweiUnits[Products],$A123, tblHuaweiUnits[cv_2019]) + SUMIF(tblTencentUnits[Products],$A123, tblTencentUnits[cv_2019]) + SUMIF(tblBaiduUnits[Products],$A123, tblBaiduUnits[cv_2019]) + SUMIF(tblByteDanceUnits[Products],$A123, tblByteDanceUnits[cv_2019]) + SUMIF(tblCloudAOUnits[Products],$A123, tblCloudAOUnits[cv_2019]) + SUMIF(tblTelecomUnits[Products],$A123, tblTelecomUnits[cv_2019]) + SUMIF(tblEnterpriseUnits[Products],$A123, tblEnterpriseUnits[cv_2019])</f>
        <v>0</v>
      </c>
      <c r="D123" s="8">
        <f xml:space="preserve"> SUMIF(tblGoogleUnits[Products],$A123, tblGoogleUnits[cv_2020]) + SUMIF(tblMetaUnits[Products],$A123, tblMetaUnits[cv_2020]) + SUMIF(tblAmazonUnits[Products],$A123, tblAmazonUnits[cv_2020]) + SUMIF(tblMicrosoftUnits[Products],$A123, tblMicrosoftUnits[cv_2020]) + SUMIF(tblAppleUnits[Products],$A123, tblAppleUnits[cv_2020]) + SUMIF(tblAlibabaUnits[Products],$A123, tblAlibabaUnits[cv_2020]) + SUMIF(tblHuaweiUnits[Products],$A123, tblHuaweiUnits[cv_2020]) + SUMIF(tblTencentUnits[Products],$A123, tblTencentUnits[cv_2020]) + SUMIF(tblBaiduUnits[Products],$A123, tblBaiduUnits[cv_2020]) + SUMIF(tblByteDanceUnits[Products],$A123, tblByteDanceUnits[cv_2020]) + SUMIF(tblCloudAOUnits[Products],$A123, tblCloudAOUnits[cv_2020]) + SUMIF(tblTelecomUnits[Products],$A123, tblTelecomUnits[cv_2020]) + SUMIF(tblEnterpriseUnits[Products],$A123, tblEnterpriseUnits[cv_2020])</f>
        <v>0</v>
      </c>
      <c r="E123" s="8">
        <f xml:space="preserve"> SUMIF(tblGoogleUnits[Products],$A123, tblGoogleUnits[cv_2021]) + SUMIF(tblMetaUnits[Products],$A123, tblMetaUnits[cv_2021]) + SUMIF(tblAmazonUnits[Products],$A123, tblAmazonUnits[cv_2021]) + SUMIF(tblMicrosoftUnits[Products],$A123, tblMicrosoftUnits[cv_2021]) + SUMIF(tblAppleUnits[Products],$A123, tblAppleUnits[cv_2021]) + SUMIF(tblAlibabaUnits[Products],$A123, tblAlibabaUnits[cv_2021]) + SUMIF(tblHuaweiUnits[Products],$A123, tblHuaweiUnits[cv_2021]) + SUMIF(tblTencentUnits[Products],$A123, tblTencentUnits[cv_2021]) + SUMIF(tblBaiduUnits[Products],$A123, tblBaiduUnits[cv_2021]) + SUMIF(tblByteDanceUnits[Products],$A123, tblByteDanceUnits[cv_2021]) + SUMIF(tblCloudAOUnits[Products],$A123, tblCloudAOUnits[cv_2021]) + SUMIF(tblTelecomUnits[Products],$A123, tblTelecomUnits[cv_2021]) + SUMIF(tblEnterpriseUnits[Products],$A123, tblEnterpriseUnits[cv_2021])</f>
        <v>0</v>
      </c>
      <c r="F123" s="8">
        <f xml:space="preserve"> SUMIF(tblGoogleUnits[Products],$A123, tblGoogleUnits[cv_2022]) + SUMIF(tblMetaUnits[Products],$A123, tblMetaUnits[cv_2022]) + SUMIF(tblAmazonUnits[Products],$A123, tblAmazonUnits[cv_2022]) + SUMIF(tblMicrosoftUnits[Products],$A123, tblMicrosoftUnits[cv_2022]) + SUMIF(tblAppleUnits[Products],$A123, tblAppleUnits[cv_2022]) + SUMIF(tblAlibabaUnits[Products],$A123, tblAlibabaUnits[cv_2022]) + SUMIF(tblHuaweiUnits[Products],$A123, tblHuaweiUnits[cv_2022]) + SUMIF(tblTencentUnits[Products],$A123, tblTencentUnits[cv_2022]) + SUMIF(tblBaiduUnits[Products],$A123, tblBaiduUnits[cv_2022]) + SUMIF(tblByteDanceUnits[Products],$A123, tblByteDanceUnits[cv_2022]) + SUMIF(tblCloudAOUnits[Products],$A123, tblCloudAOUnits[cv_2022]) + SUMIF(tblTelecomUnits[Products],$A123, tblTelecomUnits[cv_2022]) + SUMIF(tblEnterpriseUnits[Products],$A123, tblEnterpriseUnits[cv_2022])</f>
        <v>0</v>
      </c>
      <c r="G123" s="8">
        <f xml:space="preserve"> SUMIF(tblGoogleUnits[Products],$A123, tblGoogleUnits[cv_2023]) + SUMIF(tblMetaUnits[Products],$A123, tblMetaUnits[cv_2023]) + SUMIF(tblAmazonUnits[Products],$A123, tblAmazonUnits[cv_2023]) + SUMIF(tblMicrosoftUnits[Products],$A123, tblMicrosoftUnits[cv_2023]) + SUMIF(tblAppleUnits[Products],$A123, tblAppleUnits[cv_2023]) + SUMIF(tblAlibabaUnits[Products],$A123, tblAlibabaUnits[cv_2023]) + SUMIF(tblHuaweiUnits[Products],$A123, tblHuaweiUnits[cv_2023]) + SUMIF(tblTencentUnits[Products],$A123, tblTencentUnits[cv_2023]) + SUMIF(tblBaiduUnits[Products],$A123, tblBaiduUnits[cv_2023]) + SUMIF(tblByteDanceUnits[Products],$A123, tblByteDanceUnits[cv_2023]) + SUMIF(tblCloudAOUnits[Products],$A123, tblCloudAOUnits[cv_2023]) + SUMIF(tblTelecomUnits[Products],$A123, tblTelecomUnits[cv_2023]) + SUMIF(tblEnterpriseUnits[Products],$A123, tblEnterpriseUnits[cv_2023])</f>
        <v>0</v>
      </c>
      <c r="H123" s="8">
        <f xml:space="preserve"> SUMIF(tblGoogleUnits[Products],$A123, tblGoogleUnits[cv_2024]) + SUMIF(tblMetaUnits[Products],$A123, tblMetaUnits[cv_2024]) + SUMIF(tblAmazonUnits[Products],$A123, tblAmazonUnits[cv_2024]) + SUMIF(tblMicrosoftUnits[Products],$A123, tblMicrosoftUnits[cv_2024]) + SUMIF(tblAppleUnits[Products],$A123, tblAppleUnits[cv_2024]) + SUMIF(tblAlibabaUnits[Products],$A123, tblAlibabaUnits[cv_2024]) + SUMIF(tblHuaweiUnits[Products],$A123, tblHuaweiUnits[cv_2024]) + SUMIF(tblTencentUnits[Products],$A123, tblTencentUnits[cv_2024]) + SUMIF(tblBaiduUnits[Products],$A123, tblBaiduUnits[cv_2024]) + SUMIF(tblByteDanceUnits[Products],$A123, tblByteDanceUnits[cv_2024]) + SUMIF(tblCloudAOUnits[Products],$A123, tblCloudAOUnits[cv_2024]) + SUMIF(tblTelecomUnits[Products],$A123, tblTelecomUnits[cv_2024]) + SUMIF(tblEnterpriseUnits[Products],$A123, tblEnterpriseUnits[cv_2024])</f>
        <v>0</v>
      </c>
      <c r="I123" s="8">
        <f xml:space="preserve"> SUMIF(tblGoogleUnits[Products],$A123, tblGoogleUnits[cv_2025]) + SUMIF(tblMetaUnits[Products],$A123, tblMetaUnits[cv_2025]) + SUMIF(tblAmazonUnits[Products],$A123, tblAmazonUnits[cv_2025]) + SUMIF(tblMicrosoftUnits[Products],$A123, tblMicrosoftUnits[cv_2025]) + SUMIF(tblAppleUnits[Products],$A123, tblAppleUnits[cv_2025]) + SUMIF(tblAlibabaUnits[Products],$A123, tblAlibabaUnits[cv_2025]) + SUMIF(tblHuaweiUnits[Products],$A123, tblHuaweiUnits[cv_2025]) + SUMIF(tblTencentUnits[Products],$A123, tblTencentUnits[cv_2025]) + SUMIF(tblBaiduUnits[Products],$A123, tblBaiduUnits[cv_2025]) + SUMIF(tblByteDanceUnits[Products],$A123, tblByteDanceUnits[cv_2025]) + SUMIF(tblCloudAOUnits[Products],$A123, tblCloudAOUnits[cv_2025]) + SUMIF(tblTelecomUnits[Products],$A123, tblTelecomUnits[cv_2025]) + SUMIF(tblEnterpriseUnits[Products],$A123, tblEnterpriseUnits[cv_2025])</f>
        <v>0</v>
      </c>
      <c r="J123" s="8">
        <f xml:space="preserve"> SUMIF(tblGoogleUnits[Products],$A123, tblGoogleUnits[cv_2026]) + SUMIF(tblMetaUnits[Products],$A123, tblMetaUnits[cv_2026]) + SUMIF(tblAmazonUnits[Products],$A123, tblAmazonUnits[cv_2026]) + SUMIF(tblMicrosoftUnits[Products],$A123, tblMicrosoftUnits[cv_2026]) + SUMIF(tblAppleUnits[Products],$A123, tblAppleUnits[cv_2026]) + SUMIF(tblAlibabaUnits[Products],$A123, tblAlibabaUnits[cv_2026]) + SUMIF(tblHuaweiUnits[Products],$A123, tblHuaweiUnits[cv_2026]) + SUMIF(tblTencentUnits[Products],$A123, tblTencentUnits[cv_2026]) + SUMIF(tblBaiduUnits[Products],$A123, tblBaiduUnits[cv_2026]) + SUMIF(tblByteDanceUnits[Products],$A123, tblByteDanceUnits[cv_2026]) + SUMIF(tblCloudAOUnits[Products],$A123, tblCloudAOUnits[cv_2026]) + SUMIF(tblTelecomUnits[Products],$A123, tblTelecomUnits[cv_2026]) + SUMIF(tblEnterpriseUnits[Products],$A123, tblEnterpriseUnits[cv_2026])</f>
        <v>0</v>
      </c>
      <c r="K123" s="8">
        <f xml:space="preserve"> SUMIF(tblGoogleUnits[Products],$A123, tblGoogleUnits[cv_2027]) + SUMIF(tblMetaUnits[Products],$A123, tblMetaUnits[cv_2027]) + SUMIF(tblAmazonUnits[Products],$A123, tblAmazonUnits[cv_2027]) + SUMIF(tblMicrosoftUnits[Products],$A123, tblMicrosoftUnits[cv_2027]) + SUMIF(tblAppleUnits[Products],$A123, tblAppleUnits[cv_2027]) + SUMIF(tblAlibabaUnits[Products],$A123, tblAlibabaUnits[cv_2027]) + SUMIF(tblHuaweiUnits[Products],$A123, tblHuaweiUnits[cv_2027]) + SUMIF(tblTencentUnits[Products],$A123, tblTencentUnits[cv_2027]) + SUMIF(tblBaiduUnits[Products],$A123, tblBaiduUnits[cv_2027]) + SUMIF(tblByteDanceUnits[Products],$A123, tblByteDanceUnits[cv_2027]) + SUMIF(tblCloudAOUnits[Products],$A123, tblCloudAOUnits[cv_2027]) + SUMIF(tblTelecomUnits[Products],$A123, tblTelecomUnits[cv_2027]) + SUMIF(tblEnterpriseUnits[Products],$A123, tblEnterpriseUnits[cv_2027])</f>
        <v>0</v>
      </c>
      <c r="L123" s="8">
        <f xml:space="preserve"> SUMIF(tblGoogleUnits[Products],$A123, tblGoogleUnits[cv_2028]) + SUMIF(tblMetaUnits[Products],$A123, tblMetaUnits[cv_2028]) + SUMIF(tblAmazonUnits[Products],$A123, tblAmazonUnits[cv_2028]) + SUMIF(tblMicrosoftUnits[Products],$A123, tblMicrosoftUnits[cv_2028]) + SUMIF(tblAppleUnits[Products],$A123, tblAppleUnits[cv_2028]) + SUMIF(tblAlibabaUnits[Products],$A123, tblAlibabaUnits[cv_2028]) + SUMIF(tblHuaweiUnits[Products],$A123, tblHuaweiUnits[cv_2028]) + SUMIF(tblTencentUnits[Products],$A123, tblTencentUnits[cv_2028]) + SUMIF(tblBaiduUnits[Products],$A123, tblBaiduUnits[cv_2028]) + SUMIF(tblByteDanceUnits[Products],$A123, tblByteDanceUnits[cv_2028]) + SUMIF(tblCloudAOUnits[Products],$A123, tblCloudAOUnits[cv_2028]) + SUMIF(tblTelecomUnits[Products],$A123, tblTelecomUnits[cv_2028]) + SUMIF(tblEnterpriseUnits[Products],$A123, tblEnterpriseUnits[cv_2028])</f>
        <v>0</v>
      </c>
      <c r="M123" s="105" cm="1">
        <f t="array" ref="M123">INDEX(tblPrices[cv_2018], MATCH($A123,tblPrices[Products],0), 0)</f>
        <v>0</v>
      </c>
      <c r="N123" s="105" cm="1">
        <f t="array" ref="N123">INDEX(tblPrices[cv_2019], MATCH($A123,tblPrices[Products],0), 0)</f>
        <v>0</v>
      </c>
      <c r="O123" s="105" cm="1">
        <f t="array" ref="O123">INDEX(tblPrices[cv_2020], MATCH($A123,tblPrices[Products],0), 0)</f>
        <v>0</v>
      </c>
      <c r="P123" s="105" cm="1">
        <f t="array" ref="P123">INDEX(tblPrices[cv_2021], MATCH($A123,tblPrices[Products],0), 0)</f>
        <v>0</v>
      </c>
      <c r="Q123" s="105" cm="1">
        <f t="array" ref="Q123">INDEX(tblPrices[cv_2022], MATCH($A123,tblPrices[Products],0), 0)</f>
        <v>0</v>
      </c>
      <c r="R123" s="105" cm="1">
        <f t="array" ref="R123">INDEX(tblPrices[cv_2023], MATCH($A123,tblPrices[Products],0), 0)</f>
        <v>0</v>
      </c>
      <c r="S123" s="105" cm="1">
        <f t="array" ref="S123">INDEX(tblPrices[cv_2024], MATCH($A123,tblPrices[Products],0), 0)</f>
        <v>0</v>
      </c>
      <c r="T123" s="105" cm="1">
        <f t="array" ref="T123">INDEX(tblPrices[cv_2025], MATCH($A123,tblPrices[Products],0), 0)</f>
        <v>0</v>
      </c>
      <c r="U123" s="105" cm="1">
        <f t="array" ref="U123">INDEX(tblPrices[cv_2026], MATCH($A123,tblPrices[Products],0), 0)</f>
        <v>0</v>
      </c>
      <c r="V123" s="105" cm="1">
        <f t="array" ref="V123">INDEX(tblPrices[cv_2027], MATCH($A123,tblPrices[Products],0), 0)</f>
        <v>0</v>
      </c>
      <c r="W123" s="105" cm="1">
        <f t="array" ref="W123">INDEX(tblPrices[cv_2028], MATCH($A123,tblPrices[Products],0), 0)</f>
        <v>0</v>
      </c>
      <c r="X123" s="106" cm="1">
        <f t="array" ref="X123">INDEX(tblPrices[cv_2018], MATCH($A123,tblPrices[Products],0), 0)* tblForecast[[#This Row],[un_2018]]/10^6</f>
        <v>0</v>
      </c>
      <c r="Y123" s="106" cm="1">
        <f t="array" ref="Y123">INDEX(tblPrices[cv_2019], MATCH($A123,tblPrices[Products],0), 0)* tblForecast[[#This Row],[un_2019]]/10^6</f>
        <v>0</v>
      </c>
      <c r="Z123" s="106" cm="1">
        <f t="array" ref="Z123">INDEX(tblPrices[cv_2020], MATCH($A123,tblPrices[Products],0), 0)* tblForecast[[#This Row],[un_2020]]/10^6</f>
        <v>0</v>
      </c>
      <c r="AA123" s="106" cm="1">
        <f t="array" ref="AA123">INDEX(tblPrices[cv_2021], MATCH($A123,tblPrices[Products],0), 0)* tblForecast[[#This Row],[un_2021]]/10^6</f>
        <v>0</v>
      </c>
      <c r="AB123" s="106" cm="1">
        <f t="array" ref="AB123">INDEX(tblPrices[cv_2022], MATCH($A123,tblPrices[Products],0), 0)* tblForecast[[#This Row],[un_2022]]/10^6</f>
        <v>0</v>
      </c>
      <c r="AC123" s="106" cm="1">
        <f t="array" ref="AC123">INDEX(tblPrices[cv_2023], MATCH($A123,tblPrices[Products],0), 0)* tblForecast[[#This Row],[un_2023]]/10^6</f>
        <v>0</v>
      </c>
      <c r="AD123" s="106" cm="1">
        <f t="array" ref="AD123">INDEX(tblPrices[cv_2024], MATCH($A123,tblPrices[Products],0), 0)* tblForecast[[#This Row],[un_2024]]/10^6</f>
        <v>0</v>
      </c>
      <c r="AE123" s="106" cm="1">
        <f t="array" ref="AE123">INDEX(tblPrices[cv_2025], MATCH($A123,tblPrices[Products],0), 0)* tblForecast[[#This Row],[un_2025]]/10^6</f>
        <v>0</v>
      </c>
      <c r="AF123" s="106" cm="1">
        <f t="array" ref="AF123">INDEX(tblPrices[cv_2026], MATCH($A123,tblPrices[Products],0), 0)* tblForecast[[#This Row],[un_2026]]/10^6</f>
        <v>0</v>
      </c>
      <c r="AG123" s="106" cm="1">
        <f t="array" ref="AG123">INDEX(tblPrices[cv_2027], MATCH($A123,tblPrices[Products],0), 0)* tblForecast[[#This Row],[un_2027]]/10^6</f>
        <v>0</v>
      </c>
      <c r="AH123" s="106" cm="1">
        <f t="array" ref="AH123">INDEX(tblPrices[cv_2028], MATCH($A123,tblPrices[Products],0), 0)* tblForecast[[#This Row],[un_2028]]/10^6</f>
        <v>0</v>
      </c>
      <c r="AI123" s="60">
        <f>VLOOKUP(A123,Products!$A$11:$F$110,6,FALSE)</f>
        <v>800</v>
      </c>
    </row>
    <row r="124" spans="1:35">
      <c r="A124" s="12" t="s">
        <v>38</v>
      </c>
      <c r="B124" s="8">
        <f xml:space="preserve"> SUMIF(tblGoogleUnits[Products],$A124, tblGoogleUnits[cv_2018]) + SUMIF(tblMetaUnits[Products],$A124, tblMetaUnits[cv_2018]) + SUMIF(tblAmazonUnits[Products],$A124, tblAmazonUnits[cv_2018]) + SUMIF(tblMicrosoftUnits[Products],$A124, tblMicrosoftUnits[cv_2018]) + SUMIF(tblAppleUnits[Products],$A124, tblAppleUnits[cv_2018]) + SUMIF(tblAlibabaUnits[Products],$A124, tblAlibabaUnits[cv_2018]) + SUMIF(tblHuaweiUnits[Products],$A124, tblHuaweiUnits[cv_2018]) + SUMIF(tblTencentUnits[Products],$A124, tblTencentUnits[cv_2018]) + SUMIF(tblBaiduUnits[Products],$A124, tblBaiduUnits[cv_2018]) + SUMIF(tblByteDanceUnits[Products],$A124, tblByteDanceUnits[cv_2018]) + SUMIF(tblCloudAOUnits[Products],$A124, tblCloudAOUnits[cv_2018]) + SUMIF(tblTelecomUnits[Products],$A124, tblTelecomUnits[cv_2018]) + SUMIF(tblEnterpriseUnits[Products],$A124, tblEnterpriseUnits[cv_2018])</f>
        <v>0</v>
      </c>
      <c r="C124" s="8">
        <f xml:space="preserve"> SUMIF(tblGoogleUnits[Products],$A124, tblGoogleUnits[cv_2019]) + SUMIF(tblMetaUnits[Products],$A124, tblMetaUnits[cv_2019]) + SUMIF(tblAmazonUnits[Products],$A124, tblAmazonUnits[cv_2019]) + SUMIF(tblMicrosoftUnits[Products],$A124, tblMicrosoftUnits[cv_2019]) + SUMIF(tblAppleUnits[Products],$A124, tblAppleUnits[cv_2019]) + SUMIF(tblAlibabaUnits[Products],$A124, tblAlibabaUnits[cv_2019]) + SUMIF(tblHuaweiUnits[Products],$A124, tblHuaweiUnits[cv_2019]) + SUMIF(tblTencentUnits[Products],$A124, tblTencentUnits[cv_2019]) + SUMIF(tblBaiduUnits[Products],$A124, tblBaiduUnits[cv_2019]) + SUMIF(tblByteDanceUnits[Products],$A124, tblByteDanceUnits[cv_2019]) + SUMIF(tblCloudAOUnits[Products],$A124, tblCloudAOUnits[cv_2019]) + SUMIF(tblTelecomUnits[Products],$A124, tblTelecomUnits[cv_2019]) + SUMIF(tblEnterpriseUnits[Products],$A124, tblEnterpriseUnits[cv_2019])</f>
        <v>0</v>
      </c>
      <c r="D124" s="8">
        <f xml:space="preserve"> SUMIF(tblGoogleUnits[Products],$A124, tblGoogleUnits[cv_2020]) + SUMIF(tblMetaUnits[Products],$A124, tblMetaUnits[cv_2020]) + SUMIF(tblAmazonUnits[Products],$A124, tblAmazonUnits[cv_2020]) + SUMIF(tblMicrosoftUnits[Products],$A124, tblMicrosoftUnits[cv_2020]) + SUMIF(tblAppleUnits[Products],$A124, tblAppleUnits[cv_2020]) + SUMIF(tblAlibabaUnits[Products],$A124, tblAlibabaUnits[cv_2020]) + SUMIF(tblHuaweiUnits[Products],$A124, tblHuaweiUnits[cv_2020]) + SUMIF(tblTencentUnits[Products],$A124, tblTencentUnits[cv_2020]) + SUMIF(tblBaiduUnits[Products],$A124, tblBaiduUnits[cv_2020]) + SUMIF(tblByteDanceUnits[Products],$A124, tblByteDanceUnits[cv_2020]) + SUMIF(tblCloudAOUnits[Products],$A124, tblCloudAOUnits[cv_2020]) + SUMIF(tblTelecomUnits[Products],$A124, tblTelecomUnits[cv_2020]) + SUMIF(tblEnterpriseUnits[Products],$A124, tblEnterpriseUnits[cv_2020])</f>
        <v>0</v>
      </c>
      <c r="E124" s="8">
        <f xml:space="preserve"> SUMIF(tblGoogleUnits[Products],$A124, tblGoogleUnits[cv_2021]) + SUMIF(tblMetaUnits[Products],$A124, tblMetaUnits[cv_2021]) + SUMIF(tblAmazonUnits[Products],$A124, tblAmazonUnits[cv_2021]) + SUMIF(tblMicrosoftUnits[Products],$A124, tblMicrosoftUnits[cv_2021]) + SUMIF(tblAppleUnits[Products],$A124, tblAppleUnits[cv_2021]) + SUMIF(tblAlibabaUnits[Products],$A124, tblAlibabaUnits[cv_2021]) + SUMIF(tblHuaweiUnits[Products],$A124, tblHuaweiUnits[cv_2021]) + SUMIF(tblTencentUnits[Products],$A124, tblTencentUnits[cv_2021]) + SUMIF(tblBaiduUnits[Products],$A124, tblBaiduUnits[cv_2021]) + SUMIF(tblByteDanceUnits[Products],$A124, tblByteDanceUnits[cv_2021]) + SUMIF(tblCloudAOUnits[Products],$A124, tblCloudAOUnits[cv_2021]) + SUMIF(tblTelecomUnits[Products],$A124, tblTelecomUnits[cv_2021]) + SUMIF(tblEnterpriseUnits[Products],$A124, tblEnterpriseUnits[cv_2021])</f>
        <v>0</v>
      </c>
      <c r="F124" s="8">
        <f xml:space="preserve"> SUMIF(tblGoogleUnits[Products],$A124, tblGoogleUnits[cv_2022]) + SUMIF(tblMetaUnits[Products],$A124, tblMetaUnits[cv_2022]) + SUMIF(tblAmazonUnits[Products],$A124, tblAmazonUnits[cv_2022]) + SUMIF(tblMicrosoftUnits[Products],$A124, tblMicrosoftUnits[cv_2022]) + SUMIF(tblAppleUnits[Products],$A124, tblAppleUnits[cv_2022]) + SUMIF(tblAlibabaUnits[Products],$A124, tblAlibabaUnits[cv_2022]) + SUMIF(tblHuaweiUnits[Products],$A124, tblHuaweiUnits[cv_2022]) + SUMIF(tblTencentUnits[Products],$A124, tblTencentUnits[cv_2022]) + SUMIF(tblBaiduUnits[Products],$A124, tblBaiduUnits[cv_2022]) + SUMIF(tblByteDanceUnits[Products],$A124, tblByteDanceUnits[cv_2022]) + SUMIF(tblCloudAOUnits[Products],$A124, tblCloudAOUnits[cv_2022]) + SUMIF(tblTelecomUnits[Products],$A124, tblTelecomUnits[cv_2022]) + SUMIF(tblEnterpriseUnits[Products],$A124, tblEnterpriseUnits[cv_2022])</f>
        <v>0</v>
      </c>
      <c r="G124" s="8">
        <f xml:space="preserve"> SUMIF(tblGoogleUnits[Products],$A124, tblGoogleUnits[cv_2023]) + SUMIF(tblMetaUnits[Products],$A124, tblMetaUnits[cv_2023]) + SUMIF(tblAmazonUnits[Products],$A124, tblAmazonUnits[cv_2023]) + SUMIF(tblMicrosoftUnits[Products],$A124, tblMicrosoftUnits[cv_2023]) + SUMIF(tblAppleUnits[Products],$A124, tblAppleUnits[cv_2023]) + SUMIF(tblAlibabaUnits[Products],$A124, tblAlibabaUnits[cv_2023]) + SUMIF(tblHuaweiUnits[Products],$A124, tblHuaweiUnits[cv_2023]) + SUMIF(tblTencentUnits[Products],$A124, tblTencentUnits[cv_2023]) + SUMIF(tblBaiduUnits[Products],$A124, tblBaiduUnits[cv_2023]) + SUMIF(tblByteDanceUnits[Products],$A124, tblByteDanceUnits[cv_2023]) + SUMIF(tblCloudAOUnits[Products],$A124, tblCloudAOUnits[cv_2023]) + SUMIF(tblTelecomUnits[Products],$A124, tblTelecomUnits[cv_2023]) + SUMIF(tblEnterpriseUnits[Products],$A124, tblEnterpriseUnits[cv_2023])</f>
        <v>0</v>
      </c>
      <c r="H124" s="8">
        <f xml:space="preserve"> SUMIF(tblGoogleUnits[Products],$A124, tblGoogleUnits[cv_2024]) + SUMIF(tblMetaUnits[Products],$A124, tblMetaUnits[cv_2024]) + SUMIF(tblAmazonUnits[Products],$A124, tblAmazonUnits[cv_2024]) + SUMIF(tblMicrosoftUnits[Products],$A124, tblMicrosoftUnits[cv_2024]) + SUMIF(tblAppleUnits[Products],$A124, tblAppleUnits[cv_2024]) + SUMIF(tblAlibabaUnits[Products],$A124, tblAlibabaUnits[cv_2024]) + SUMIF(tblHuaweiUnits[Products],$A124, tblHuaweiUnits[cv_2024]) + SUMIF(tblTencentUnits[Products],$A124, tblTencentUnits[cv_2024]) + SUMIF(tblBaiduUnits[Products],$A124, tblBaiduUnits[cv_2024]) + SUMIF(tblByteDanceUnits[Products],$A124, tblByteDanceUnits[cv_2024]) + SUMIF(tblCloudAOUnits[Products],$A124, tblCloudAOUnits[cv_2024]) + SUMIF(tblTelecomUnits[Products],$A124, tblTelecomUnits[cv_2024]) + SUMIF(tblEnterpriseUnits[Products],$A124, tblEnterpriseUnits[cv_2024])</f>
        <v>0</v>
      </c>
      <c r="I124" s="8">
        <f xml:space="preserve"> SUMIF(tblGoogleUnits[Products],$A124, tblGoogleUnits[cv_2025]) + SUMIF(tblMetaUnits[Products],$A124, tblMetaUnits[cv_2025]) + SUMIF(tblAmazonUnits[Products],$A124, tblAmazonUnits[cv_2025]) + SUMIF(tblMicrosoftUnits[Products],$A124, tblMicrosoftUnits[cv_2025]) + SUMIF(tblAppleUnits[Products],$A124, tblAppleUnits[cv_2025]) + SUMIF(tblAlibabaUnits[Products],$A124, tblAlibabaUnits[cv_2025]) + SUMIF(tblHuaweiUnits[Products],$A124, tblHuaweiUnits[cv_2025]) + SUMIF(tblTencentUnits[Products],$A124, tblTencentUnits[cv_2025]) + SUMIF(tblBaiduUnits[Products],$A124, tblBaiduUnits[cv_2025]) + SUMIF(tblByteDanceUnits[Products],$A124, tblByteDanceUnits[cv_2025]) + SUMIF(tblCloudAOUnits[Products],$A124, tblCloudAOUnits[cv_2025]) + SUMIF(tblTelecomUnits[Products],$A124, tblTelecomUnits[cv_2025]) + SUMIF(tblEnterpriseUnits[Products],$A124, tblEnterpriseUnits[cv_2025])</f>
        <v>0</v>
      </c>
      <c r="J124" s="8">
        <f xml:space="preserve"> SUMIF(tblGoogleUnits[Products],$A124, tblGoogleUnits[cv_2026]) + SUMIF(tblMetaUnits[Products],$A124, tblMetaUnits[cv_2026]) + SUMIF(tblAmazonUnits[Products],$A124, tblAmazonUnits[cv_2026]) + SUMIF(tblMicrosoftUnits[Products],$A124, tblMicrosoftUnits[cv_2026]) + SUMIF(tblAppleUnits[Products],$A124, tblAppleUnits[cv_2026]) + SUMIF(tblAlibabaUnits[Products],$A124, tblAlibabaUnits[cv_2026]) + SUMIF(tblHuaweiUnits[Products],$A124, tblHuaweiUnits[cv_2026]) + SUMIF(tblTencentUnits[Products],$A124, tblTencentUnits[cv_2026]) + SUMIF(tblBaiduUnits[Products],$A124, tblBaiduUnits[cv_2026]) + SUMIF(tblByteDanceUnits[Products],$A124, tblByteDanceUnits[cv_2026]) + SUMIF(tblCloudAOUnits[Products],$A124, tblCloudAOUnits[cv_2026]) + SUMIF(tblTelecomUnits[Products],$A124, tblTelecomUnits[cv_2026]) + SUMIF(tblEnterpriseUnits[Products],$A124, tblEnterpriseUnits[cv_2026])</f>
        <v>0</v>
      </c>
      <c r="K124" s="8">
        <f xml:space="preserve"> SUMIF(tblGoogleUnits[Products],$A124, tblGoogleUnits[cv_2027]) + SUMIF(tblMetaUnits[Products],$A124, tblMetaUnits[cv_2027]) + SUMIF(tblAmazonUnits[Products],$A124, tblAmazonUnits[cv_2027]) + SUMIF(tblMicrosoftUnits[Products],$A124, tblMicrosoftUnits[cv_2027]) + SUMIF(tblAppleUnits[Products],$A124, tblAppleUnits[cv_2027]) + SUMIF(tblAlibabaUnits[Products],$A124, tblAlibabaUnits[cv_2027]) + SUMIF(tblHuaweiUnits[Products],$A124, tblHuaweiUnits[cv_2027]) + SUMIF(tblTencentUnits[Products],$A124, tblTencentUnits[cv_2027]) + SUMIF(tblBaiduUnits[Products],$A124, tblBaiduUnits[cv_2027]) + SUMIF(tblByteDanceUnits[Products],$A124, tblByteDanceUnits[cv_2027]) + SUMIF(tblCloudAOUnits[Products],$A124, tblCloudAOUnits[cv_2027]) + SUMIF(tblTelecomUnits[Products],$A124, tblTelecomUnits[cv_2027]) + SUMIF(tblEnterpriseUnits[Products],$A124, tblEnterpriseUnits[cv_2027])</f>
        <v>0</v>
      </c>
      <c r="L124" s="8">
        <f xml:space="preserve"> SUMIF(tblGoogleUnits[Products],$A124, tblGoogleUnits[cv_2028]) + SUMIF(tblMetaUnits[Products],$A124, tblMetaUnits[cv_2028]) + SUMIF(tblAmazonUnits[Products],$A124, tblAmazonUnits[cv_2028]) + SUMIF(tblMicrosoftUnits[Products],$A124, tblMicrosoftUnits[cv_2028]) + SUMIF(tblAppleUnits[Products],$A124, tblAppleUnits[cv_2028]) + SUMIF(tblAlibabaUnits[Products],$A124, tblAlibabaUnits[cv_2028]) + SUMIF(tblHuaweiUnits[Products],$A124, tblHuaweiUnits[cv_2028]) + SUMIF(tblTencentUnits[Products],$A124, tblTencentUnits[cv_2028]) + SUMIF(tblBaiduUnits[Products],$A124, tblBaiduUnits[cv_2028]) + SUMIF(tblByteDanceUnits[Products],$A124, tblByteDanceUnits[cv_2028]) + SUMIF(tblCloudAOUnits[Products],$A124, tblCloudAOUnits[cv_2028]) + SUMIF(tblTelecomUnits[Products],$A124, tblTelecomUnits[cv_2028]) + SUMIF(tblEnterpriseUnits[Products],$A124, tblEnterpriseUnits[cv_2028])</f>
        <v>0</v>
      </c>
      <c r="M124" s="105" cm="1">
        <f t="array" ref="M124">INDEX(tblPrices[cv_2018], MATCH($A124,tblPrices[Products],0), 0)</f>
        <v>0</v>
      </c>
      <c r="N124" s="105" cm="1">
        <f t="array" ref="N124">INDEX(tblPrices[cv_2019], MATCH($A124,tblPrices[Products],0), 0)</f>
        <v>0</v>
      </c>
      <c r="O124" s="105" cm="1">
        <f t="array" ref="O124">INDEX(tblPrices[cv_2020], MATCH($A124,tblPrices[Products],0), 0)</f>
        <v>0</v>
      </c>
      <c r="P124" s="105" cm="1">
        <f t="array" ref="P124">INDEX(tblPrices[cv_2021], MATCH($A124,tblPrices[Products],0), 0)</f>
        <v>0</v>
      </c>
      <c r="Q124" s="105" cm="1">
        <f t="array" ref="Q124">INDEX(tblPrices[cv_2022], MATCH($A124,tblPrices[Products],0), 0)</f>
        <v>0</v>
      </c>
      <c r="R124" s="105" cm="1">
        <f t="array" ref="R124">INDEX(tblPrices[cv_2023], MATCH($A124,tblPrices[Products],0), 0)</f>
        <v>0</v>
      </c>
      <c r="S124" s="105" cm="1">
        <f t="array" ref="S124">INDEX(tblPrices[cv_2024], MATCH($A124,tblPrices[Products],0), 0)</f>
        <v>0</v>
      </c>
      <c r="T124" s="105" cm="1">
        <f t="array" ref="T124">INDEX(tblPrices[cv_2025], MATCH($A124,tblPrices[Products],0), 0)</f>
        <v>0</v>
      </c>
      <c r="U124" s="105" cm="1">
        <f t="array" ref="U124">INDEX(tblPrices[cv_2026], MATCH($A124,tblPrices[Products],0), 0)</f>
        <v>0</v>
      </c>
      <c r="V124" s="105" cm="1">
        <f t="array" ref="V124">INDEX(tblPrices[cv_2027], MATCH($A124,tblPrices[Products],0), 0)</f>
        <v>0</v>
      </c>
      <c r="W124" s="105" cm="1">
        <f t="array" ref="W124">INDEX(tblPrices[cv_2028], MATCH($A124,tblPrices[Products],0), 0)</f>
        <v>0</v>
      </c>
      <c r="X124" s="106" cm="1">
        <f t="array" ref="X124">INDEX(tblPrices[cv_2018], MATCH($A124,tblPrices[Products],0), 0)* tblForecast[[#This Row],[un_2018]]/10^6</f>
        <v>0</v>
      </c>
      <c r="Y124" s="106" cm="1">
        <f t="array" ref="Y124">INDEX(tblPrices[cv_2019], MATCH($A124,tblPrices[Products],0), 0)* tblForecast[[#This Row],[un_2019]]/10^6</f>
        <v>0</v>
      </c>
      <c r="Z124" s="106" cm="1">
        <f t="array" ref="Z124">INDEX(tblPrices[cv_2020], MATCH($A124,tblPrices[Products],0), 0)* tblForecast[[#This Row],[un_2020]]/10^6</f>
        <v>0</v>
      </c>
      <c r="AA124" s="106" cm="1">
        <f t="array" ref="AA124">INDEX(tblPrices[cv_2021], MATCH($A124,tblPrices[Products],0), 0)* tblForecast[[#This Row],[un_2021]]/10^6</f>
        <v>0</v>
      </c>
      <c r="AB124" s="106" cm="1">
        <f t="array" ref="AB124">INDEX(tblPrices[cv_2022], MATCH($A124,tblPrices[Products],0), 0)* tblForecast[[#This Row],[un_2022]]/10^6</f>
        <v>0</v>
      </c>
      <c r="AC124" s="106" cm="1">
        <f t="array" ref="AC124">INDEX(tblPrices[cv_2023], MATCH($A124,tblPrices[Products],0), 0)* tblForecast[[#This Row],[un_2023]]/10^6</f>
        <v>0</v>
      </c>
      <c r="AD124" s="106" cm="1">
        <f t="array" ref="AD124">INDEX(tblPrices[cv_2024], MATCH($A124,tblPrices[Products],0), 0)* tblForecast[[#This Row],[un_2024]]/10^6</f>
        <v>0</v>
      </c>
      <c r="AE124" s="106" cm="1">
        <f t="array" ref="AE124">INDEX(tblPrices[cv_2025], MATCH($A124,tblPrices[Products],0), 0)* tblForecast[[#This Row],[un_2025]]/10^6</f>
        <v>0</v>
      </c>
      <c r="AF124" s="106" cm="1">
        <f t="array" ref="AF124">INDEX(tblPrices[cv_2026], MATCH($A124,tblPrices[Products],0), 0)* tblForecast[[#This Row],[un_2026]]/10^6</f>
        <v>0</v>
      </c>
      <c r="AG124" s="106" cm="1">
        <f t="array" ref="AG124">INDEX(tblPrices[cv_2027], MATCH($A124,tblPrices[Products],0), 0)* tblForecast[[#This Row],[un_2027]]/10^6</f>
        <v>0</v>
      </c>
      <c r="AH124" s="106" cm="1">
        <f t="array" ref="AH124">INDEX(tblPrices[cv_2028], MATCH($A124,tblPrices[Products],0), 0)* tblForecast[[#This Row],[un_2028]]/10^6</f>
        <v>0</v>
      </c>
      <c r="AI124" s="60">
        <f>VLOOKUP(A124,Products!$A$11:$F$110,6,FALSE)</f>
        <v>1200</v>
      </c>
    </row>
    <row r="125" spans="1:35">
      <c r="A125" s="12" t="s">
        <v>39</v>
      </c>
      <c r="B125" s="8">
        <f xml:space="preserve"> SUMIF(tblGoogleUnits[Products],$A125, tblGoogleUnits[cv_2018]) + SUMIF(tblMetaUnits[Products],$A125, tblMetaUnits[cv_2018]) + SUMIF(tblAmazonUnits[Products],$A125, tblAmazonUnits[cv_2018]) + SUMIF(tblMicrosoftUnits[Products],$A125, tblMicrosoftUnits[cv_2018]) + SUMIF(tblAppleUnits[Products],$A125, tblAppleUnits[cv_2018]) + SUMIF(tblAlibabaUnits[Products],$A125, tblAlibabaUnits[cv_2018]) + SUMIF(tblHuaweiUnits[Products],$A125, tblHuaweiUnits[cv_2018]) + SUMIF(tblTencentUnits[Products],$A125, tblTencentUnits[cv_2018]) + SUMIF(tblBaiduUnits[Products],$A125, tblBaiduUnits[cv_2018]) + SUMIF(tblByteDanceUnits[Products],$A125, tblByteDanceUnits[cv_2018]) + SUMIF(tblCloudAOUnits[Products],$A125, tblCloudAOUnits[cv_2018]) + SUMIF(tblTelecomUnits[Products],$A125, tblTelecomUnits[cv_2018]) + SUMIF(tblEnterpriseUnits[Products],$A125, tblEnterpriseUnits[cv_2018])</f>
        <v>0</v>
      </c>
      <c r="C125" s="8">
        <f xml:space="preserve"> SUMIF(tblGoogleUnits[Products],$A125, tblGoogleUnits[cv_2019]) + SUMIF(tblMetaUnits[Products],$A125, tblMetaUnits[cv_2019]) + SUMIF(tblAmazonUnits[Products],$A125, tblAmazonUnits[cv_2019]) + SUMIF(tblMicrosoftUnits[Products],$A125, tblMicrosoftUnits[cv_2019]) + SUMIF(tblAppleUnits[Products],$A125, tblAppleUnits[cv_2019]) + SUMIF(tblAlibabaUnits[Products],$A125, tblAlibabaUnits[cv_2019]) + SUMIF(tblHuaweiUnits[Products],$A125, tblHuaweiUnits[cv_2019]) + SUMIF(tblTencentUnits[Products],$A125, tblTencentUnits[cv_2019]) + SUMIF(tblBaiduUnits[Products],$A125, tblBaiduUnits[cv_2019]) + SUMIF(tblByteDanceUnits[Products],$A125, tblByteDanceUnits[cv_2019]) + SUMIF(tblCloudAOUnits[Products],$A125, tblCloudAOUnits[cv_2019]) + SUMIF(tblTelecomUnits[Products],$A125, tblTelecomUnits[cv_2019]) + SUMIF(tblEnterpriseUnits[Products],$A125, tblEnterpriseUnits[cv_2019])</f>
        <v>0</v>
      </c>
      <c r="D125" s="8">
        <f xml:space="preserve"> SUMIF(tblGoogleUnits[Products],$A125, tblGoogleUnits[cv_2020]) + SUMIF(tblMetaUnits[Products],$A125, tblMetaUnits[cv_2020]) + SUMIF(tblAmazonUnits[Products],$A125, tblAmazonUnits[cv_2020]) + SUMIF(tblMicrosoftUnits[Products],$A125, tblMicrosoftUnits[cv_2020]) + SUMIF(tblAppleUnits[Products],$A125, tblAppleUnits[cv_2020]) + SUMIF(tblAlibabaUnits[Products],$A125, tblAlibabaUnits[cv_2020]) + SUMIF(tblHuaweiUnits[Products],$A125, tblHuaweiUnits[cv_2020]) + SUMIF(tblTencentUnits[Products],$A125, tblTencentUnits[cv_2020]) + SUMIF(tblBaiduUnits[Products],$A125, tblBaiduUnits[cv_2020]) + SUMIF(tblByteDanceUnits[Products],$A125, tblByteDanceUnits[cv_2020]) + SUMIF(tblCloudAOUnits[Products],$A125, tblCloudAOUnits[cv_2020]) + SUMIF(tblTelecomUnits[Products],$A125, tblTelecomUnits[cv_2020]) + SUMIF(tblEnterpriseUnits[Products],$A125, tblEnterpriseUnits[cv_2020])</f>
        <v>0</v>
      </c>
      <c r="E125" s="8">
        <f xml:space="preserve"> SUMIF(tblGoogleUnits[Products],$A125, tblGoogleUnits[cv_2021]) + SUMIF(tblMetaUnits[Products],$A125, tblMetaUnits[cv_2021]) + SUMIF(tblAmazonUnits[Products],$A125, tblAmazonUnits[cv_2021]) + SUMIF(tblMicrosoftUnits[Products],$A125, tblMicrosoftUnits[cv_2021]) + SUMIF(tblAppleUnits[Products],$A125, tblAppleUnits[cv_2021]) + SUMIF(tblAlibabaUnits[Products],$A125, tblAlibabaUnits[cv_2021]) + SUMIF(tblHuaweiUnits[Products],$A125, tblHuaweiUnits[cv_2021]) + SUMIF(tblTencentUnits[Products],$A125, tblTencentUnits[cv_2021]) + SUMIF(tblBaiduUnits[Products],$A125, tblBaiduUnits[cv_2021]) + SUMIF(tblByteDanceUnits[Products],$A125, tblByteDanceUnits[cv_2021]) + SUMIF(tblCloudAOUnits[Products],$A125, tblCloudAOUnits[cv_2021]) + SUMIF(tblTelecomUnits[Products],$A125, tblTelecomUnits[cv_2021]) + SUMIF(tblEnterpriseUnits[Products],$A125, tblEnterpriseUnits[cv_2021])</f>
        <v>0</v>
      </c>
      <c r="F125" s="8">
        <f xml:space="preserve"> SUMIF(tblGoogleUnits[Products],$A125, tblGoogleUnits[cv_2022]) + SUMIF(tblMetaUnits[Products],$A125, tblMetaUnits[cv_2022]) + SUMIF(tblAmazonUnits[Products],$A125, tblAmazonUnits[cv_2022]) + SUMIF(tblMicrosoftUnits[Products],$A125, tblMicrosoftUnits[cv_2022]) + SUMIF(tblAppleUnits[Products],$A125, tblAppleUnits[cv_2022]) + SUMIF(tblAlibabaUnits[Products],$A125, tblAlibabaUnits[cv_2022]) + SUMIF(tblHuaweiUnits[Products],$A125, tblHuaweiUnits[cv_2022]) + SUMIF(tblTencentUnits[Products],$A125, tblTencentUnits[cv_2022]) + SUMIF(tblBaiduUnits[Products],$A125, tblBaiduUnits[cv_2022]) + SUMIF(tblByteDanceUnits[Products],$A125, tblByteDanceUnits[cv_2022]) + SUMIF(tblCloudAOUnits[Products],$A125, tblCloudAOUnits[cv_2022]) + SUMIF(tblTelecomUnits[Products],$A125, tblTelecomUnits[cv_2022]) + SUMIF(tblEnterpriseUnits[Products],$A125, tblEnterpriseUnits[cv_2022])</f>
        <v>0</v>
      </c>
      <c r="G125" s="8">
        <f xml:space="preserve"> SUMIF(tblGoogleUnits[Products],$A125, tblGoogleUnits[cv_2023]) + SUMIF(tblMetaUnits[Products],$A125, tblMetaUnits[cv_2023]) + SUMIF(tblAmazonUnits[Products],$A125, tblAmazonUnits[cv_2023]) + SUMIF(tblMicrosoftUnits[Products],$A125, tblMicrosoftUnits[cv_2023]) + SUMIF(tblAppleUnits[Products],$A125, tblAppleUnits[cv_2023]) + SUMIF(tblAlibabaUnits[Products],$A125, tblAlibabaUnits[cv_2023]) + SUMIF(tblHuaweiUnits[Products],$A125, tblHuaweiUnits[cv_2023]) + SUMIF(tblTencentUnits[Products],$A125, tblTencentUnits[cv_2023]) + SUMIF(tblBaiduUnits[Products],$A125, tblBaiduUnits[cv_2023]) + SUMIF(tblByteDanceUnits[Products],$A125, tblByteDanceUnits[cv_2023]) + SUMIF(tblCloudAOUnits[Products],$A125, tblCloudAOUnits[cv_2023]) + SUMIF(tblTelecomUnits[Products],$A125, tblTelecomUnits[cv_2023]) + SUMIF(tblEnterpriseUnits[Products],$A125, tblEnterpriseUnits[cv_2023])</f>
        <v>0</v>
      </c>
      <c r="H125" s="8">
        <f xml:space="preserve"> SUMIF(tblGoogleUnits[Products],$A125, tblGoogleUnits[cv_2024]) + SUMIF(tblMetaUnits[Products],$A125, tblMetaUnits[cv_2024]) + SUMIF(tblAmazonUnits[Products],$A125, tblAmazonUnits[cv_2024]) + SUMIF(tblMicrosoftUnits[Products],$A125, tblMicrosoftUnits[cv_2024]) + SUMIF(tblAppleUnits[Products],$A125, tblAppleUnits[cv_2024]) + SUMIF(tblAlibabaUnits[Products],$A125, tblAlibabaUnits[cv_2024]) + SUMIF(tblHuaweiUnits[Products],$A125, tblHuaweiUnits[cv_2024]) + SUMIF(tblTencentUnits[Products],$A125, tblTencentUnits[cv_2024]) + SUMIF(tblBaiduUnits[Products],$A125, tblBaiduUnits[cv_2024]) + SUMIF(tblByteDanceUnits[Products],$A125, tblByteDanceUnits[cv_2024]) + SUMIF(tblCloudAOUnits[Products],$A125, tblCloudAOUnits[cv_2024]) + SUMIF(tblTelecomUnits[Products],$A125, tblTelecomUnits[cv_2024]) + SUMIF(tblEnterpriseUnits[Products],$A125, tblEnterpriseUnits[cv_2024])</f>
        <v>0</v>
      </c>
      <c r="I125" s="8">
        <f xml:space="preserve"> SUMIF(tblGoogleUnits[Products],$A125, tblGoogleUnits[cv_2025]) + SUMIF(tblMetaUnits[Products],$A125, tblMetaUnits[cv_2025]) + SUMIF(tblAmazonUnits[Products],$A125, tblAmazonUnits[cv_2025]) + SUMIF(tblMicrosoftUnits[Products],$A125, tblMicrosoftUnits[cv_2025]) + SUMIF(tblAppleUnits[Products],$A125, tblAppleUnits[cv_2025]) + SUMIF(tblAlibabaUnits[Products],$A125, tblAlibabaUnits[cv_2025]) + SUMIF(tblHuaweiUnits[Products],$A125, tblHuaweiUnits[cv_2025]) + SUMIF(tblTencentUnits[Products],$A125, tblTencentUnits[cv_2025]) + SUMIF(tblBaiduUnits[Products],$A125, tblBaiduUnits[cv_2025]) + SUMIF(tblByteDanceUnits[Products],$A125, tblByteDanceUnits[cv_2025]) + SUMIF(tblCloudAOUnits[Products],$A125, tblCloudAOUnits[cv_2025]) + SUMIF(tblTelecomUnits[Products],$A125, tblTelecomUnits[cv_2025]) + SUMIF(tblEnterpriseUnits[Products],$A125, tblEnterpriseUnits[cv_2025])</f>
        <v>0</v>
      </c>
      <c r="J125" s="8">
        <f xml:space="preserve"> SUMIF(tblGoogleUnits[Products],$A125, tblGoogleUnits[cv_2026]) + SUMIF(tblMetaUnits[Products],$A125, tblMetaUnits[cv_2026]) + SUMIF(tblAmazonUnits[Products],$A125, tblAmazonUnits[cv_2026]) + SUMIF(tblMicrosoftUnits[Products],$A125, tblMicrosoftUnits[cv_2026]) + SUMIF(tblAppleUnits[Products],$A125, tblAppleUnits[cv_2026]) + SUMIF(tblAlibabaUnits[Products],$A125, tblAlibabaUnits[cv_2026]) + SUMIF(tblHuaweiUnits[Products],$A125, tblHuaweiUnits[cv_2026]) + SUMIF(tblTencentUnits[Products],$A125, tblTencentUnits[cv_2026]) + SUMIF(tblBaiduUnits[Products],$A125, tblBaiduUnits[cv_2026]) + SUMIF(tblByteDanceUnits[Products],$A125, tblByteDanceUnits[cv_2026]) + SUMIF(tblCloudAOUnits[Products],$A125, tblCloudAOUnits[cv_2026]) + SUMIF(tblTelecomUnits[Products],$A125, tblTelecomUnits[cv_2026]) + SUMIF(tblEnterpriseUnits[Products],$A125, tblEnterpriseUnits[cv_2026])</f>
        <v>0</v>
      </c>
      <c r="K125" s="8">
        <f xml:space="preserve"> SUMIF(tblGoogleUnits[Products],$A125, tblGoogleUnits[cv_2027]) + SUMIF(tblMetaUnits[Products],$A125, tblMetaUnits[cv_2027]) + SUMIF(tblAmazonUnits[Products],$A125, tblAmazonUnits[cv_2027]) + SUMIF(tblMicrosoftUnits[Products],$A125, tblMicrosoftUnits[cv_2027]) + SUMIF(tblAppleUnits[Products],$A125, tblAppleUnits[cv_2027]) + SUMIF(tblAlibabaUnits[Products],$A125, tblAlibabaUnits[cv_2027]) + SUMIF(tblHuaweiUnits[Products],$A125, tblHuaweiUnits[cv_2027]) + SUMIF(tblTencentUnits[Products],$A125, tblTencentUnits[cv_2027]) + SUMIF(tblBaiduUnits[Products],$A125, tblBaiduUnits[cv_2027]) + SUMIF(tblByteDanceUnits[Products],$A125, tblByteDanceUnits[cv_2027]) + SUMIF(tblCloudAOUnits[Products],$A125, tblCloudAOUnits[cv_2027]) + SUMIF(tblTelecomUnits[Products],$A125, tblTelecomUnits[cv_2027]) + SUMIF(tblEnterpriseUnits[Products],$A125, tblEnterpriseUnits[cv_2027])</f>
        <v>0</v>
      </c>
      <c r="L125" s="8">
        <f xml:space="preserve"> SUMIF(tblGoogleUnits[Products],$A125, tblGoogleUnits[cv_2028]) + SUMIF(tblMetaUnits[Products],$A125, tblMetaUnits[cv_2028]) + SUMIF(tblAmazonUnits[Products],$A125, tblAmazonUnits[cv_2028]) + SUMIF(tblMicrosoftUnits[Products],$A125, tblMicrosoftUnits[cv_2028]) + SUMIF(tblAppleUnits[Products],$A125, tblAppleUnits[cv_2028]) + SUMIF(tblAlibabaUnits[Products],$A125, tblAlibabaUnits[cv_2028]) + SUMIF(tblHuaweiUnits[Products],$A125, tblHuaweiUnits[cv_2028]) + SUMIF(tblTencentUnits[Products],$A125, tblTencentUnits[cv_2028]) + SUMIF(tblBaiduUnits[Products],$A125, tblBaiduUnits[cv_2028]) + SUMIF(tblByteDanceUnits[Products],$A125, tblByteDanceUnits[cv_2028]) + SUMIF(tblCloudAOUnits[Products],$A125, tblCloudAOUnits[cv_2028]) + SUMIF(tblTelecomUnits[Products],$A125, tblTelecomUnits[cv_2028]) + SUMIF(tblEnterpriseUnits[Products],$A125, tblEnterpriseUnits[cv_2028])</f>
        <v>0</v>
      </c>
      <c r="M125" s="105" cm="1">
        <f t="array" ref="M125">INDEX(tblPrices[cv_2018], MATCH($A125,tblPrices[Products],0), 0)</f>
        <v>0</v>
      </c>
      <c r="N125" s="105" cm="1">
        <f t="array" ref="N125">INDEX(tblPrices[cv_2019], MATCH($A125,tblPrices[Products],0), 0)</f>
        <v>0</v>
      </c>
      <c r="O125" s="105" cm="1">
        <f t="array" ref="O125">INDEX(tblPrices[cv_2020], MATCH($A125,tblPrices[Products],0), 0)</f>
        <v>0</v>
      </c>
      <c r="P125" s="105" cm="1">
        <f t="array" ref="P125">INDEX(tblPrices[cv_2021], MATCH($A125,tblPrices[Products],0), 0)</f>
        <v>0</v>
      </c>
      <c r="Q125" s="105" cm="1">
        <f t="array" ref="Q125">INDEX(tblPrices[cv_2022], MATCH($A125,tblPrices[Products],0), 0)</f>
        <v>0</v>
      </c>
      <c r="R125" s="105" cm="1">
        <f t="array" ref="R125">INDEX(tblPrices[cv_2023], MATCH($A125,tblPrices[Products],0), 0)</f>
        <v>0</v>
      </c>
      <c r="S125" s="105" cm="1">
        <f t="array" ref="S125">INDEX(tblPrices[cv_2024], MATCH($A125,tblPrices[Products],0), 0)</f>
        <v>0</v>
      </c>
      <c r="T125" s="105" cm="1">
        <f t="array" ref="T125">INDEX(tblPrices[cv_2025], MATCH($A125,tblPrices[Products],0), 0)</f>
        <v>0</v>
      </c>
      <c r="U125" s="105" cm="1">
        <f t="array" ref="U125">INDEX(tblPrices[cv_2026], MATCH($A125,tblPrices[Products],0), 0)</f>
        <v>0</v>
      </c>
      <c r="V125" s="105" cm="1">
        <f t="array" ref="V125">INDEX(tblPrices[cv_2027], MATCH($A125,tblPrices[Products],0), 0)</f>
        <v>0</v>
      </c>
      <c r="W125" s="105" cm="1">
        <f t="array" ref="W125">INDEX(tblPrices[cv_2028], MATCH($A125,tblPrices[Products],0), 0)</f>
        <v>0</v>
      </c>
      <c r="X125" s="106" cm="1">
        <f t="array" ref="X125">INDEX(tblPrices[cv_2018], MATCH($A125,tblPrices[Products],0), 0)* tblForecast[[#This Row],[un_2018]]/10^6</f>
        <v>0</v>
      </c>
      <c r="Y125" s="106" cm="1">
        <f t="array" ref="Y125">INDEX(tblPrices[cv_2019], MATCH($A125,tblPrices[Products],0), 0)* tblForecast[[#This Row],[un_2019]]/10^6</f>
        <v>0</v>
      </c>
      <c r="Z125" s="106" cm="1">
        <f t="array" ref="Z125">INDEX(tblPrices[cv_2020], MATCH($A125,tblPrices[Products],0), 0)* tblForecast[[#This Row],[un_2020]]/10^6</f>
        <v>0</v>
      </c>
      <c r="AA125" s="106" cm="1">
        <f t="array" ref="AA125">INDEX(tblPrices[cv_2021], MATCH($A125,tblPrices[Products],0), 0)* tblForecast[[#This Row],[un_2021]]/10^6</f>
        <v>0</v>
      </c>
      <c r="AB125" s="106" cm="1">
        <f t="array" ref="AB125">INDEX(tblPrices[cv_2022], MATCH($A125,tblPrices[Products],0), 0)* tblForecast[[#This Row],[un_2022]]/10^6</f>
        <v>0</v>
      </c>
      <c r="AC125" s="106" cm="1">
        <f t="array" ref="AC125">INDEX(tblPrices[cv_2023], MATCH($A125,tblPrices[Products],0), 0)* tblForecast[[#This Row],[un_2023]]/10^6</f>
        <v>0</v>
      </c>
      <c r="AD125" s="106" cm="1">
        <f t="array" ref="AD125">INDEX(tblPrices[cv_2024], MATCH($A125,tblPrices[Products],0), 0)* tblForecast[[#This Row],[un_2024]]/10^6</f>
        <v>0</v>
      </c>
      <c r="AE125" s="106" cm="1">
        <f t="array" ref="AE125">INDEX(tblPrices[cv_2025], MATCH($A125,tblPrices[Products],0), 0)* tblForecast[[#This Row],[un_2025]]/10^6</f>
        <v>0</v>
      </c>
      <c r="AF125" s="106" cm="1">
        <f t="array" ref="AF125">INDEX(tblPrices[cv_2026], MATCH($A125,tblPrices[Products],0), 0)* tblForecast[[#This Row],[un_2026]]/10^6</f>
        <v>0</v>
      </c>
      <c r="AG125" s="106" cm="1">
        <f t="array" ref="AG125">INDEX(tblPrices[cv_2027], MATCH($A125,tblPrices[Products],0), 0)* tblForecast[[#This Row],[un_2027]]/10^6</f>
        <v>0</v>
      </c>
      <c r="AH125" s="106" cm="1">
        <f t="array" ref="AH125">INDEX(tblPrices[cv_2028], MATCH($A125,tblPrices[Products],0), 0)* tblForecast[[#This Row],[un_2028]]/10^6</f>
        <v>0</v>
      </c>
      <c r="AI125" s="60">
        <f>VLOOKUP(A125,Products!$A$11:$F$110,6,FALSE)</f>
        <v>1600</v>
      </c>
    </row>
    <row r="126" spans="1:35">
      <c r="A126" s="46" t="s">
        <v>314</v>
      </c>
      <c r="B126" s="45">
        <f t="shared" ref="B126:L126" si="0">SUM(B26:B30)</f>
        <v>14338976</v>
      </c>
      <c r="C126" s="45">
        <f t="shared" si="0"/>
        <v>12104234</v>
      </c>
      <c r="D126" s="45">
        <f t="shared" si="0"/>
        <v>0</v>
      </c>
      <c r="E126" s="45">
        <f t="shared" si="0"/>
        <v>0</v>
      </c>
      <c r="F126" s="45">
        <f t="shared" si="0"/>
        <v>0</v>
      </c>
      <c r="G126" s="45">
        <f t="shared" si="0"/>
        <v>0</v>
      </c>
      <c r="H126" s="45">
        <f t="shared" si="0"/>
        <v>0</v>
      </c>
      <c r="I126" s="45">
        <f t="shared" si="0"/>
        <v>0</v>
      </c>
      <c r="J126" s="45">
        <f t="shared" si="0"/>
        <v>0</v>
      </c>
      <c r="K126" s="45">
        <f t="shared" si="0"/>
        <v>0</v>
      </c>
      <c r="L126" s="45">
        <f t="shared" si="0"/>
        <v>0</v>
      </c>
      <c r="M126" s="109">
        <f>IF(tblForecast[[#This Row],[un_2018]]=0,"", tblForecast[[#This Row],[sl_2018]]*10^6/tblForecast[[#This Row],[un_2018]])</f>
        <v>9.1996642661233263</v>
      </c>
      <c r="N126" s="109">
        <f>IF(tblForecast[[#This Row],[un_2019]]=0,"", tblForecast[[#This Row],[sl_2019]]*10^6/tblForecast[[#This Row],[un_2019]])</f>
        <v>7.6635049305225342</v>
      </c>
      <c r="O126" s="109" t="str">
        <f>IF(tblForecast[[#This Row],[un_2020]]=0,"", tblForecast[[#This Row],[sl_2020]]*10^6/tblForecast[[#This Row],[un_2020]])</f>
        <v/>
      </c>
      <c r="P126" s="109" t="str">
        <f>IF(tblForecast[[#This Row],[un_2021]]=0,"", tblForecast[[#This Row],[sl_2021]]*10^6/tblForecast[[#This Row],[un_2021]])</f>
        <v/>
      </c>
      <c r="Q126" s="109" t="str">
        <f>IF(tblForecast[[#This Row],[un_2022]]=0,"", tblForecast[[#This Row],[sl_2022]]*10^6/tblForecast[[#This Row],[un_2022]])</f>
        <v/>
      </c>
      <c r="R126" s="109" t="str">
        <f>IF(tblForecast[[#This Row],[un_2023]]=0,"", tblForecast[[#This Row],[sl_2023]]*10^6/tblForecast[[#This Row],[un_2023]])</f>
        <v/>
      </c>
      <c r="S126" s="109" t="str">
        <f>IF(tblForecast[[#This Row],[un_2024]]=0,"", tblForecast[[#This Row],[sl_2024]]*10^6/tblForecast[[#This Row],[un_2024]])</f>
        <v/>
      </c>
      <c r="T126" s="109" t="str">
        <f>IF(tblForecast[[#This Row],[un_2025]]=0,"", tblForecast[[#This Row],[sl_2025]]*10^6/tblForecast[[#This Row],[un_2025]])</f>
        <v/>
      </c>
      <c r="U126" s="109" t="str">
        <f>IF(tblForecast[[#This Row],[un_2026]]=0,"", tblForecast[[#This Row],[sl_2026]]*10^6/tblForecast[[#This Row],[un_2026]])</f>
        <v/>
      </c>
      <c r="V126" s="109" t="str">
        <f>IF(tblForecast[[#This Row],[un_2027]]=0,"", tblForecast[[#This Row],[sl_2027]]*10^6/tblForecast[[#This Row],[un_2027]])</f>
        <v/>
      </c>
      <c r="W126" s="109" t="str">
        <f>IF(tblForecast[[#This Row],[un_2028]]=0,"", tblForecast[[#This Row],[sl_2028]]*10^6/tblForecast[[#This Row],[un_2028]])</f>
        <v/>
      </c>
      <c r="X126" s="110">
        <f t="shared" ref="X126:AH126" si="1">SUM(X26:X30)</f>
        <v>131.91376511999999</v>
      </c>
      <c r="Y126" s="110">
        <f t="shared" si="1"/>
        <v>92.76085693919849</v>
      </c>
      <c r="Z126" s="110">
        <f t="shared" si="1"/>
        <v>0</v>
      </c>
      <c r="AA126" s="110">
        <f t="shared" si="1"/>
        <v>0</v>
      </c>
      <c r="AB126" s="110">
        <f t="shared" si="1"/>
        <v>0</v>
      </c>
      <c r="AC126" s="110">
        <f t="shared" si="1"/>
        <v>0</v>
      </c>
      <c r="AD126" s="110">
        <f t="shared" si="1"/>
        <v>0</v>
      </c>
      <c r="AE126" s="110">
        <f t="shared" si="1"/>
        <v>0</v>
      </c>
      <c r="AF126" s="110">
        <f t="shared" si="1"/>
        <v>0</v>
      </c>
      <c r="AG126" s="110">
        <f t="shared" si="1"/>
        <v>0</v>
      </c>
      <c r="AH126" s="110">
        <f t="shared" si="1"/>
        <v>0</v>
      </c>
      <c r="AI126" s="18">
        <v>1</v>
      </c>
    </row>
    <row r="127" spans="1:35">
      <c r="A127" s="46" t="s">
        <v>303</v>
      </c>
      <c r="B127" s="45">
        <f t="shared" ref="B127:L127" si="2">SUM(B31:B40)</f>
        <v>19020505.100000001</v>
      </c>
      <c r="C127" s="45">
        <f t="shared" si="2"/>
        <v>18620039</v>
      </c>
      <c r="D127" s="45">
        <f t="shared" si="2"/>
        <v>0</v>
      </c>
      <c r="E127" s="45">
        <f t="shared" si="2"/>
        <v>0</v>
      </c>
      <c r="F127" s="45">
        <f t="shared" si="2"/>
        <v>0</v>
      </c>
      <c r="G127" s="45">
        <f t="shared" si="2"/>
        <v>0</v>
      </c>
      <c r="H127" s="45">
        <f t="shared" si="2"/>
        <v>0</v>
      </c>
      <c r="I127" s="45">
        <f t="shared" si="2"/>
        <v>0</v>
      </c>
      <c r="J127" s="45">
        <f t="shared" si="2"/>
        <v>0</v>
      </c>
      <c r="K127" s="45">
        <f t="shared" si="2"/>
        <v>0</v>
      </c>
      <c r="L127" s="45">
        <f t="shared" si="2"/>
        <v>0</v>
      </c>
      <c r="M127" s="109">
        <f>IF(tblForecast[[#This Row],[un_2018]]=0,"", tblForecast[[#This Row],[sl_2018]]*10^6/tblForecast[[#This Row],[un_2018]])</f>
        <v>22.775445542303078</v>
      </c>
      <c r="N127" s="109">
        <f>IF(tblForecast[[#This Row],[un_2019]]=0,"", tblForecast[[#This Row],[sl_2019]]*10^6/tblForecast[[#This Row],[un_2019]])</f>
        <v>17.765333234809134</v>
      </c>
      <c r="O127" s="109" t="str">
        <f>IF(tblForecast[[#This Row],[un_2020]]=0,"", tblForecast[[#This Row],[sl_2020]]*10^6/tblForecast[[#This Row],[un_2020]])</f>
        <v/>
      </c>
      <c r="P127" s="109" t="str">
        <f>IF(tblForecast[[#This Row],[un_2021]]=0,"", tblForecast[[#This Row],[sl_2021]]*10^6/tblForecast[[#This Row],[un_2021]])</f>
        <v/>
      </c>
      <c r="Q127" s="109" t="str">
        <f>IF(tblForecast[[#This Row],[un_2022]]=0,"", tblForecast[[#This Row],[sl_2022]]*10^6/tblForecast[[#This Row],[un_2022]])</f>
        <v/>
      </c>
      <c r="R127" s="109" t="str">
        <f>IF(tblForecast[[#This Row],[un_2023]]=0,"", tblForecast[[#This Row],[sl_2023]]*10^6/tblForecast[[#This Row],[un_2023]])</f>
        <v/>
      </c>
      <c r="S127" s="109" t="str">
        <f>IF(tblForecast[[#This Row],[un_2024]]=0,"", tblForecast[[#This Row],[sl_2024]]*10^6/tblForecast[[#This Row],[un_2024]])</f>
        <v/>
      </c>
      <c r="T127" s="109" t="str">
        <f>IF(tblForecast[[#This Row],[un_2025]]=0,"", tblForecast[[#This Row],[sl_2025]]*10^6/tblForecast[[#This Row],[un_2025]])</f>
        <v/>
      </c>
      <c r="U127" s="109" t="str">
        <f>IF(tblForecast[[#This Row],[un_2026]]=0,"", tblForecast[[#This Row],[sl_2026]]*10^6/tblForecast[[#This Row],[un_2026]])</f>
        <v/>
      </c>
      <c r="V127" s="109" t="str">
        <f>IF(tblForecast[[#This Row],[un_2027]]=0,"", tblForecast[[#This Row],[sl_2027]]*10^6/tblForecast[[#This Row],[un_2027]])</f>
        <v/>
      </c>
      <c r="W127" s="109" t="str">
        <f>IF(tblForecast[[#This Row],[un_2028]]=0,"", tblForecast[[#This Row],[sl_2028]]*10^6/tblForecast[[#This Row],[un_2028]])</f>
        <v/>
      </c>
      <c r="X127" s="110">
        <f t="shared" ref="X127:AH127" si="3">SUM(X31:X40)</f>
        <v>433.20047809214799</v>
      </c>
      <c r="Y127" s="110">
        <f t="shared" si="3"/>
        <v>330.7911976801422</v>
      </c>
      <c r="Z127" s="110">
        <f t="shared" si="3"/>
        <v>0</v>
      </c>
      <c r="AA127" s="110">
        <f t="shared" si="3"/>
        <v>0</v>
      </c>
      <c r="AB127" s="110">
        <f t="shared" si="3"/>
        <v>0</v>
      </c>
      <c r="AC127" s="110">
        <f t="shared" si="3"/>
        <v>0</v>
      </c>
      <c r="AD127" s="110">
        <f t="shared" si="3"/>
        <v>0</v>
      </c>
      <c r="AE127" s="110">
        <f t="shared" si="3"/>
        <v>0</v>
      </c>
      <c r="AF127" s="110">
        <f t="shared" si="3"/>
        <v>0</v>
      </c>
      <c r="AG127" s="110">
        <f t="shared" si="3"/>
        <v>0</v>
      </c>
      <c r="AH127" s="110">
        <f t="shared" si="3"/>
        <v>0</v>
      </c>
      <c r="AI127" s="18">
        <v>10</v>
      </c>
    </row>
    <row r="128" spans="1:35">
      <c r="A128" s="46" t="s">
        <v>304</v>
      </c>
      <c r="B128" s="45">
        <f t="shared" ref="B128:L128" si="4">SUM(B41:B43)</f>
        <v>375687</v>
      </c>
      <c r="C128" s="45">
        <f t="shared" si="4"/>
        <v>728184</v>
      </c>
      <c r="D128" s="45">
        <f t="shared" si="4"/>
        <v>0</v>
      </c>
      <c r="E128" s="45">
        <f t="shared" si="4"/>
        <v>0</v>
      </c>
      <c r="F128" s="45">
        <f t="shared" si="4"/>
        <v>0</v>
      </c>
      <c r="G128" s="45">
        <f t="shared" si="4"/>
        <v>0</v>
      </c>
      <c r="H128" s="45">
        <f t="shared" si="4"/>
        <v>0</v>
      </c>
      <c r="I128" s="45">
        <f t="shared" si="4"/>
        <v>0</v>
      </c>
      <c r="J128" s="45">
        <f t="shared" si="4"/>
        <v>0</v>
      </c>
      <c r="K128" s="45">
        <f t="shared" si="4"/>
        <v>0</v>
      </c>
      <c r="L128" s="45">
        <f t="shared" si="4"/>
        <v>0</v>
      </c>
      <c r="M128" s="109">
        <f>IF(tblForecast[[#This Row],[un_2018]]=0,"", tblForecast[[#This Row],[sl_2018]]*10^6/tblForecast[[#This Row],[un_2018]])</f>
        <v>103.49761934802115</v>
      </c>
      <c r="N128" s="109">
        <f>IF(tblForecast[[#This Row],[un_2019]]=0,"", tblForecast[[#This Row],[sl_2019]]*10^6/tblForecast[[#This Row],[un_2019]])</f>
        <v>69.11600364742975</v>
      </c>
      <c r="O128" s="109" t="str">
        <f>IF(tblForecast[[#This Row],[un_2020]]=0,"", tblForecast[[#This Row],[sl_2020]]*10^6/tblForecast[[#This Row],[un_2020]])</f>
        <v/>
      </c>
      <c r="P128" s="109" t="str">
        <f>IF(tblForecast[[#This Row],[un_2021]]=0,"", tblForecast[[#This Row],[sl_2021]]*10^6/tblForecast[[#This Row],[un_2021]])</f>
        <v/>
      </c>
      <c r="Q128" s="109" t="str">
        <f>IF(tblForecast[[#This Row],[un_2022]]=0,"", tblForecast[[#This Row],[sl_2022]]*10^6/tblForecast[[#This Row],[un_2022]])</f>
        <v/>
      </c>
      <c r="R128" s="109" t="str">
        <f>IF(tblForecast[[#This Row],[un_2023]]=0,"", tblForecast[[#This Row],[sl_2023]]*10^6/tblForecast[[#This Row],[un_2023]])</f>
        <v/>
      </c>
      <c r="S128" s="109" t="str">
        <f>IF(tblForecast[[#This Row],[un_2024]]=0,"", tblForecast[[#This Row],[sl_2024]]*10^6/tblForecast[[#This Row],[un_2024]])</f>
        <v/>
      </c>
      <c r="T128" s="109" t="str">
        <f>IF(tblForecast[[#This Row],[un_2025]]=0,"", tblForecast[[#This Row],[sl_2025]]*10^6/tblForecast[[#This Row],[un_2025]])</f>
        <v/>
      </c>
      <c r="U128" s="109" t="str">
        <f>IF(tblForecast[[#This Row],[un_2026]]=0,"", tblForecast[[#This Row],[sl_2026]]*10^6/tblForecast[[#This Row],[un_2026]])</f>
        <v/>
      </c>
      <c r="V128" s="109" t="str">
        <f>IF(tblForecast[[#This Row],[un_2027]]=0,"", tblForecast[[#This Row],[sl_2027]]*10^6/tblForecast[[#This Row],[un_2027]])</f>
        <v/>
      </c>
      <c r="W128" s="109" t="str">
        <f>IF(tblForecast[[#This Row],[un_2028]]=0,"", tblForecast[[#This Row],[sl_2028]]*10^6/tblForecast[[#This Row],[un_2028]])</f>
        <v/>
      </c>
      <c r="X128" s="110">
        <f t="shared" ref="X128:AH128" si="5">SUM(X41:X43)</f>
        <v>38.88271012000002</v>
      </c>
      <c r="Y128" s="110">
        <f t="shared" si="5"/>
        <v>50.329167999999989</v>
      </c>
      <c r="Z128" s="110">
        <f t="shared" si="5"/>
        <v>0</v>
      </c>
      <c r="AA128" s="110">
        <f t="shared" si="5"/>
        <v>0</v>
      </c>
      <c r="AB128" s="110">
        <f t="shared" si="5"/>
        <v>0</v>
      </c>
      <c r="AC128" s="110">
        <f t="shared" si="5"/>
        <v>0</v>
      </c>
      <c r="AD128" s="110">
        <f t="shared" si="5"/>
        <v>0</v>
      </c>
      <c r="AE128" s="110">
        <f t="shared" si="5"/>
        <v>0</v>
      </c>
      <c r="AF128" s="110">
        <f t="shared" si="5"/>
        <v>0</v>
      </c>
      <c r="AG128" s="110">
        <f t="shared" si="5"/>
        <v>0</v>
      </c>
      <c r="AH128" s="110">
        <f t="shared" si="5"/>
        <v>0</v>
      </c>
      <c r="AI128" s="18">
        <v>25</v>
      </c>
    </row>
    <row r="129" spans="1:35">
      <c r="A129" s="46" t="s">
        <v>305</v>
      </c>
      <c r="B129" s="45">
        <f t="shared" ref="B129:L129" si="6">SUM(B44:B52)</f>
        <v>3027900.7525500003</v>
      </c>
      <c r="C129" s="45">
        <f t="shared" si="6"/>
        <v>2689780</v>
      </c>
      <c r="D129" s="45">
        <f t="shared" si="6"/>
        <v>0</v>
      </c>
      <c r="E129" s="45">
        <f t="shared" si="6"/>
        <v>0</v>
      </c>
      <c r="F129" s="45">
        <f t="shared" si="6"/>
        <v>0</v>
      </c>
      <c r="G129" s="45">
        <f t="shared" si="6"/>
        <v>0</v>
      </c>
      <c r="H129" s="45">
        <f t="shared" si="6"/>
        <v>0</v>
      </c>
      <c r="I129" s="45">
        <f t="shared" si="6"/>
        <v>0</v>
      </c>
      <c r="J129" s="45">
        <f t="shared" si="6"/>
        <v>0</v>
      </c>
      <c r="K129" s="45">
        <f t="shared" si="6"/>
        <v>0</v>
      </c>
      <c r="L129" s="45">
        <f t="shared" si="6"/>
        <v>0</v>
      </c>
      <c r="M129" s="109">
        <f>IF(tblForecast[[#This Row],[un_2018]]=0,"", tblForecast[[#This Row],[sl_2018]]*10^6/tblForecast[[#This Row],[un_2018]])</f>
        <v>176.81050593770306</v>
      </c>
      <c r="N129" s="109">
        <f>IF(tblForecast[[#This Row],[un_2019]]=0,"", tblForecast[[#This Row],[sl_2019]]*10^6/tblForecast[[#This Row],[un_2019]])</f>
        <v>171.10581957835581</v>
      </c>
      <c r="O129" s="109" t="str">
        <f>IF(tblForecast[[#This Row],[un_2020]]=0,"", tblForecast[[#This Row],[sl_2020]]*10^6/tblForecast[[#This Row],[un_2020]])</f>
        <v/>
      </c>
      <c r="P129" s="109" t="str">
        <f>IF(tblForecast[[#This Row],[un_2021]]=0,"", tblForecast[[#This Row],[sl_2021]]*10^6/tblForecast[[#This Row],[un_2021]])</f>
        <v/>
      </c>
      <c r="Q129" s="109" t="str">
        <f>IF(tblForecast[[#This Row],[un_2022]]=0,"", tblForecast[[#This Row],[sl_2022]]*10^6/tblForecast[[#This Row],[un_2022]])</f>
        <v/>
      </c>
      <c r="R129" s="109" t="str">
        <f>IF(tblForecast[[#This Row],[un_2023]]=0,"", tblForecast[[#This Row],[sl_2023]]*10^6/tblForecast[[#This Row],[un_2023]])</f>
        <v/>
      </c>
      <c r="S129" s="109" t="str">
        <f>IF(tblForecast[[#This Row],[un_2024]]=0,"", tblForecast[[#This Row],[sl_2024]]*10^6/tblForecast[[#This Row],[un_2024]])</f>
        <v/>
      </c>
      <c r="T129" s="109" t="str">
        <f>IF(tblForecast[[#This Row],[un_2025]]=0,"", tblForecast[[#This Row],[sl_2025]]*10^6/tblForecast[[#This Row],[un_2025]])</f>
        <v/>
      </c>
      <c r="U129" s="109" t="str">
        <f>IF(tblForecast[[#This Row],[un_2026]]=0,"", tblForecast[[#This Row],[sl_2026]]*10^6/tblForecast[[#This Row],[un_2026]])</f>
        <v/>
      </c>
      <c r="V129" s="109" t="str">
        <f>IF(tblForecast[[#This Row],[un_2027]]=0,"", tblForecast[[#This Row],[sl_2027]]*10^6/tblForecast[[#This Row],[un_2027]])</f>
        <v/>
      </c>
      <c r="W129" s="109" t="str">
        <f>IF(tblForecast[[#This Row],[un_2028]]=0,"", tblForecast[[#This Row],[sl_2028]]*10^6/tblForecast[[#This Row],[un_2028]])</f>
        <v/>
      </c>
      <c r="X129" s="110">
        <f t="shared" ref="X129:AH129" si="7">SUM(X44:X52)</f>
        <v>535.36466398751736</v>
      </c>
      <c r="Y129" s="110">
        <f t="shared" si="7"/>
        <v>460.23701138546988</v>
      </c>
      <c r="Z129" s="110">
        <f t="shared" si="7"/>
        <v>0</v>
      </c>
      <c r="AA129" s="110">
        <f t="shared" si="7"/>
        <v>0</v>
      </c>
      <c r="AB129" s="110">
        <f t="shared" si="7"/>
        <v>0</v>
      </c>
      <c r="AC129" s="110">
        <f t="shared" si="7"/>
        <v>0</v>
      </c>
      <c r="AD129" s="110">
        <f t="shared" si="7"/>
        <v>0</v>
      </c>
      <c r="AE129" s="110">
        <f t="shared" si="7"/>
        <v>0</v>
      </c>
      <c r="AF129" s="110">
        <f t="shared" si="7"/>
        <v>0</v>
      </c>
      <c r="AG129" s="110">
        <f t="shared" si="7"/>
        <v>0</v>
      </c>
      <c r="AH129" s="110">
        <f t="shared" si="7"/>
        <v>0</v>
      </c>
      <c r="AI129" s="18">
        <v>40</v>
      </c>
    </row>
    <row r="130" spans="1:35">
      <c r="A130" s="46" t="s">
        <v>306</v>
      </c>
      <c r="B130" s="45">
        <f t="shared" ref="B130:L130" si="8">SUM(B53:B57)</f>
        <v>0</v>
      </c>
      <c r="C130" s="45">
        <f t="shared" si="8"/>
        <v>0</v>
      </c>
      <c r="D130" s="45">
        <f t="shared" si="8"/>
        <v>0</v>
      </c>
      <c r="E130" s="45">
        <f t="shared" si="8"/>
        <v>0</v>
      </c>
      <c r="F130" s="45">
        <f t="shared" si="8"/>
        <v>0</v>
      </c>
      <c r="G130" s="45">
        <f t="shared" si="8"/>
        <v>0</v>
      </c>
      <c r="H130" s="45">
        <f t="shared" si="8"/>
        <v>0</v>
      </c>
      <c r="I130" s="45">
        <f t="shared" si="8"/>
        <v>0</v>
      </c>
      <c r="J130" s="45">
        <f t="shared" si="8"/>
        <v>0</v>
      </c>
      <c r="K130" s="45">
        <f t="shared" si="8"/>
        <v>0</v>
      </c>
      <c r="L130" s="45">
        <f t="shared" si="8"/>
        <v>0</v>
      </c>
      <c r="M130" s="109" t="str">
        <f>IF(tblForecast[[#This Row],[un_2018]]=0,"", tblForecast[[#This Row],[sl_2018]]*10^6/tblForecast[[#This Row],[un_2018]])</f>
        <v/>
      </c>
      <c r="N130" s="109" t="str">
        <f>IF(tblForecast[[#This Row],[un_2019]]=0,"", tblForecast[[#This Row],[sl_2019]]*10^6/tblForecast[[#This Row],[un_2019]])</f>
        <v/>
      </c>
      <c r="O130" s="109" t="str">
        <f>IF(tblForecast[[#This Row],[un_2020]]=0,"", tblForecast[[#This Row],[sl_2020]]*10^6/tblForecast[[#This Row],[un_2020]])</f>
        <v/>
      </c>
      <c r="P130" s="109" t="str">
        <f>IF(tblForecast[[#This Row],[un_2021]]=0,"", tblForecast[[#This Row],[sl_2021]]*10^6/tblForecast[[#This Row],[un_2021]])</f>
        <v/>
      </c>
      <c r="Q130" s="109" t="str">
        <f>IF(tblForecast[[#This Row],[un_2022]]=0,"", tblForecast[[#This Row],[sl_2022]]*10^6/tblForecast[[#This Row],[un_2022]])</f>
        <v/>
      </c>
      <c r="R130" s="109" t="str">
        <f>IF(tblForecast[[#This Row],[un_2023]]=0,"", tblForecast[[#This Row],[sl_2023]]*10^6/tblForecast[[#This Row],[un_2023]])</f>
        <v/>
      </c>
      <c r="S130" s="109" t="str">
        <f>IF(tblForecast[[#This Row],[un_2024]]=0,"", tblForecast[[#This Row],[sl_2024]]*10^6/tblForecast[[#This Row],[un_2024]])</f>
        <v/>
      </c>
      <c r="T130" s="109" t="str">
        <f>IF(tblForecast[[#This Row],[un_2025]]=0,"", tblForecast[[#This Row],[sl_2025]]*10^6/tblForecast[[#This Row],[un_2025]])</f>
        <v/>
      </c>
      <c r="U130" s="109" t="str">
        <f>IF(tblForecast[[#This Row],[un_2026]]=0,"", tblForecast[[#This Row],[sl_2026]]*10^6/tblForecast[[#This Row],[un_2026]])</f>
        <v/>
      </c>
      <c r="V130" s="109" t="str">
        <f>IF(tblForecast[[#This Row],[un_2027]]=0,"", tblForecast[[#This Row],[sl_2027]]*10^6/tblForecast[[#This Row],[un_2027]])</f>
        <v/>
      </c>
      <c r="W130" s="109" t="str">
        <f>IF(tblForecast[[#This Row],[un_2028]]=0,"", tblForecast[[#This Row],[sl_2028]]*10^6/tblForecast[[#This Row],[un_2028]])</f>
        <v/>
      </c>
      <c r="X130" s="110">
        <f t="shared" ref="X130:AH130" si="9">SUM(X53:X57)</f>
        <v>0</v>
      </c>
      <c r="Y130" s="110">
        <f t="shared" si="9"/>
        <v>0</v>
      </c>
      <c r="Z130" s="110">
        <f t="shared" si="9"/>
        <v>0</v>
      </c>
      <c r="AA130" s="110">
        <f t="shared" si="9"/>
        <v>0</v>
      </c>
      <c r="AB130" s="110">
        <f t="shared" si="9"/>
        <v>0</v>
      </c>
      <c r="AC130" s="110">
        <f t="shared" si="9"/>
        <v>0</v>
      </c>
      <c r="AD130" s="110">
        <f t="shared" si="9"/>
        <v>0</v>
      </c>
      <c r="AE130" s="110">
        <f t="shared" si="9"/>
        <v>0</v>
      </c>
      <c r="AF130" s="110">
        <f t="shared" si="9"/>
        <v>0</v>
      </c>
      <c r="AG130" s="110">
        <f t="shared" si="9"/>
        <v>0</v>
      </c>
      <c r="AH130" s="110">
        <f t="shared" si="9"/>
        <v>0</v>
      </c>
      <c r="AI130" s="18">
        <v>50</v>
      </c>
    </row>
    <row r="131" spans="1:35">
      <c r="A131" s="46" t="s">
        <v>307</v>
      </c>
      <c r="B131" s="45">
        <f t="shared" ref="B131:L131" si="10">SUM(B58:B76)</f>
        <v>6187018.7366946787</v>
      </c>
      <c r="C131" s="45">
        <f t="shared" si="10"/>
        <v>7908341.8911414724</v>
      </c>
      <c r="D131" s="45">
        <f t="shared" si="10"/>
        <v>0</v>
      </c>
      <c r="E131" s="45">
        <f t="shared" si="10"/>
        <v>0</v>
      </c>
      <c r="F131" s="45">
        <f t="shared" si="10"/>
        <v>0</v>
      </c>
      <c r="G131" s="45">
        <f t="shared" si="10"/>
        <v>0</v>
      </c>
      <c r="H131" s="45">
        <f t="shared" si="10"/>
        <v>0</v>
      </c>
      <c r="I131" s="45">
        <f t="shared" si="10"/>
        <v>0</v>
      </c>
      <c r="J131" s="45">
        <f t="shared" si="10"/>
        <v>0</v>
      </c>
      <c r="K131" s="45">
        <f t="shared" si="10"/>
        <v>0</v>
      </c>
      <c r="L131" s="45">
        <f t="shared" si="10"/>
        <v>0</v>
      </c>
      <c r="M131" s="109">
        <f>IF(tblForecast[[#This Row],[un_2018]]=0,"", tblForecast[[#This Row],[sl_2018]]*10^6/tblForecast[[#This Row],[un_2018]])</f>
        <v>348.40774835874726</v>
      </c>
      <c r="N131" s="109">
        <f>IF(tblForecast[[#This Row],[un_2019]]=0,"", tblForecast[[#This Row],[sl_2019]]*10^6/tblForecast[[#This Row],[un_2019]])</f>
        <v>217.27610146624414</v>
      </c>
      <c r="O131" s="109" t="str">
        <f>IF(tblForecast[[#This Row],[un_2020]]=0,"", tblForecast[[#This Row],[sl_2020]]*10^6/tblForecast[[#This Row],[un_2020]])</f>
        <v/>
      </c>
      <c r="P131" s="109" t="str">
        <f>IF(tblForecast[[#This Row],[un_2021]]=0,"", tblForecast[[#This Row],[sl_2021]]*10^6/tblForecast[[#This Row],[un_2021]])</f>
        <v/>
      </c>
      <c r="Q131" s="109" t="str">
        <f>IF(tblForecast[[#This Row],[un_2022]]=0,"", tblForecast[[#This Row],[sl_2022]]*10^6/tblForecast[[#This Row],[un_2022]])</f>
        <v/>
      </c>
      <c r="R131" s="109" t="str">
        <f>IF(tblForecast[[#This Row],[un_2023]]=0,"", tblForecast[[#This Row],[sl_2023]]*10^6/tblForecast[[#This Row],[un_2023]])</f>
        <v/>
      </c>
      <c r="S131" s="109" t="str">
        <f>IF(tblForecast[[#This Row],[un_2024]]=0,"", tblForecast[[#This Row],[sl_2024]]*10^6/tblForecast[[#This Row],[un_2024]])</f>
        <v/>
      </c>
      <c r="T131" s="109" t="str">
        <f>IF(tblForecast[[#This Row],[un_2025]]=0,"", tblForecast[[#This Row],[sl_2025]]*10^6/tblForecast[[#This Row],[un_2025]])</f>
        <v/>
      </c>
      <c r="U131" s="109" t="str">
        <f>IF(tblForecast[[#This Row],[un_2026]]=0,"", tblForecast[[#This Row],[sl_2026]]*10^6/tblForecast[[#This Row],[un_2026]])</f>
        <v/>
      </c>
      <c r="V131" s="109" t="str">
        <f>IF(tblForecast[[#This Row],[un_2027]]=0,"", tblForecast[[#This Row],[sl_2027]]*10^6/tblForecast[[#This Row],[un_2027]])</f>
        <v/>
      </c>
      <c r="W131" s="109" t="str">
        <f>IF(tblForecast[[#This Row],[un_2028]]=0,"", tblForecast[[#This Row],[sl_2028]]*10^6/tblForecast[[#This Row],[un_2028]])</f>
        <v/>
      </c>
      <c r="X131" s="110">
        <f t="shared" ref="X131:AH131" si="11">SUM(X58:X76)</f>
        <v>2155.6052671051739</v>
      </c>
      <c r="Y131" s="110">
        <f t="shared" si="11"/>
        <v>1718.2936951694035</v>
      </c>
      <c r="Z131" s="110">
        <f t="shared" si="11"/>
        <v>0</v>
      </c>
      <c r="AA131" s="110">
        <f t="shared" si="11"/>
        <v>0</v>
      </c>
      <c r="AB131" s="110">
        <f t="shared" si="11"/>
        <v>0</v>
      </c>
      <c r="AC131" s="110">
        <f t="shared" si="11"/>
        <v>0</v>
      </c>
      <c r="AD131" s="110">
        <f t="shared" si="11"/>
        <v>0</v>
      </c>
      <c r="AE131" s="110">
        <f t="shared" si="11"/>
        <v>0</v>
      </c>
      <c r="AF131" s="110">
        <f t="shared" si="11"/>
        <v>0</v>
      </c>
      <c r="AG131" s="110">
        <f t="shared" si="11"/>
        <v>0</v>
      </c>
      <c r="AH131" s="110">
        <f t="shared" si="11"/>
        <v>0</v>
      </c>
      <c r="AI131" s="18">
        <v>100</v>
      </c>
    </row>
    <row r="132" spans="1:35">
      <c r="A132" s="46" t="s">
        <v>308</v>
      </c>
      <c r="B132" s="45">
        <f t="shared" ref="B132:L132" si="12">SUM(B77:B81)</f>
        <v>1000</v>
      </c>
      <c r="C132" s="45">
        <f t="shared" si="12"/>
        <v>11072</v>
      </c>
      <c r="D132" s="45">
        <f t="shared" si="12"/>
        <v>0</v>
      </c>
      <c r="E132" s="45">
        <f t="shared" si="12"/>
        <v>0</v>
      </c>
      <c r="F132" s="45">
        <f t="shared" si="12"/>
        <v>0</v>
      </c>
      <c r="G132" s="45">
        <f t="shared" si="12"/>
        <v>0</v>
      </c>
      <c r="H132" s="45">
        <f t="shared" si="12"/>
        <v>0</v>
      </c>
      <c r="I132" s="45">
        <f t="shared" si="12"/>
        <v>0</v>
      </c>
      <c r="J132" s="45">
        <f t="shared" si="12"/>
        <v>0</v>
      </c>
      <c r="K132" s="45">
        <f t="shared" si="12"/>
        <v>0</v>
      </c>
      <c r="L132" s="45">
        <f t="shared" si="12"/>
        <v>0</v>
      </c>
      <c r="M132" s="109">
        <f>IF(tblForecast[[#This Row],[un_2018]]=0,"", tblForecast[[#This Row],[sl_2018]]*10^6/tblForecast[[#This Row],[un_2018]])</f>
        <v>1100</v>
      </c>
      <c r="N132" s="109">
        <f>IF(tblForecast[[#This Row],[un_2019]]=0,"", tblForecast[[#This Row],[sl_2019]]*10^6/tblForecast[[#This Row],[un_2019]])</f>
        <v>550.44255780346816</v>
      </c>
      <c r="O132" s="109" t="str">
        <f>IF(tblForecast[[#This Row],[un_2020]]=0,"", tblForecast[[#This Row],[sl_2020]]*10^6/tblForecast[[#This Row],[un_2020]])</f>
        <v/>
      </c>
      <c r="P132" s="109" t="str">
        <f>IF(tblForecast[[#This Row],[un_2021]]=0,"", tblForecast[[#This Row],[sl_2021]]*10^6/tblForecast[[#This Row],[un_2021]])</f>
        <v/>
      </c>
      <c r="Q132" s="109" t="str">
        <f>IF(tblForecast[[#This Row],[un_2022]]=0,"", tblForecast[[#This Row],[sl_2022]]*10^6/tblForecast[[#This Row],[un_2022]])</f>
        <v/>
      </c>
      <c r="R132" s="109" t="str">
        <f>IF(tblForecast[[#This Row],[un_2023]]=0,"", tblForecast[[#This Row],[sl_2023]]*10^6/tblForecast[[#This Row],[un_2023]])</f>
        <v/>
      </c>
      <c r="S132" s="109" t="str">
        <f>IF(tblForecast[[#This Row],[un_2024]]=0,"", tblForecast[[#This Row],[sl_2024]]*10^6/tblForecast[[#This Row],[un_2024]])</f>
        <v/>
      </c>
      <c r="T132" s="109" t="str">
        <f>IF(tblForecast[[#This Row],[un_2025]]=0,"", tblForecast[[#This Row],[sl_2025]]*10^6/tblForecast[[#This Row],[un_2025]])</f>
        <v/>
      </c>
      <c r="U132" s="109" t="str">
        <f>IF(tblForecast[[#This Row],[un_2026]]=0,"", tblForecast[[#This Row],[sl_2026]]*10^6/tblForecast[[#This Row],[un_2026]])</f>
        <v/>
      </c>
      <c r="V132" s="109" t="str">
        <f>IF(tblForecast[[#This Row],[un_2027]]=0,"", tblForecast[[#This Row],[sl_2027]]*10^6/tblForecast[[#This Row],[un_2027]])</f>
        <v/>
      </c>
      <c r="W132" s="109" t="str">
        <f>IF(tblForecast[[#This Row],[un_2028]]=0,"", tblForecast[[#This Row],[sl_2028]]*10^6/tblForecast[[#This Row],[un_2028]])</f>
        <v/>
      </c>
      <c r="X132" s="110">
        <f>SUM(X77:X81)</f>
        <v>1.1000000000000001</v>
      </c>
      <c r="Y132" s="110">
        <f t="shared" ref="Y132:AH132" si="13">SUM(Y77:Y81)</f>
        <v>6.0945</v>
      </c>
      <c r="Z132" s="110">
        <f t="shared" si="13"/>
        <v>0</v>
      </c>
      <c r="AA132" s="110">
        <f t="shared" si="13"/>
        <v>0</v>
      </c>
      <c r="AB132" s="110">
        <f t="shared" si="13"/>
        <v>0</v>
      </c>
      <c r="AC132" s="110">
        <f t="shared" si="13"/>
        <v>0</v>
      </c>
      <c r="AD132" s="110">
        <f t="shared" si="13"/>
        <v>0</v>
      </c>
      <c r="AE132" s="110">
        <f t="shared" si="13"/>
        <v>0</v>
      </c>
      <c r="AF132" s="110">
        <f t="shared" si="13"/>
        <v>0</v>
      </c>
      <c r="AG132" s="110">
        <f t="shared" si="13"/>
        <v>0</v>
      </c>
      <c r="AH132" s="110">
        <f t="shared" si="13"/>
        <v>0</v>
      </c>
      <c r="AI132" s="18">
        <v>200</v>
      </c>
    </row>
    <row r="133" spans="1:35">
      <c r="A133" s="46" t="s">
        <v>309</v>
      </c>
      <c r="B133" s="45">
        <f t="shared" ref="B133:L133" si="14">SUM(B82:B88)</f>
        <v>39000</v>
      </c>
      <c r="C133" s="45">
        <f t="shared" si="14"/>
        <v>146655.62637362638</v>
      </c>
      <c r="D133" s="45">
        <f t="shared" si="14"/>
        <v>0</v>
      </c>
      <c r="E133" s="45">
        <f t="shared" si="14"/>
        <v>0</v>
      </c>
      <c r="F133" s="45">
        <f t="shared" si="14"/>
        <v>0</v>
      </c>
      <c r="G133" s="45">
        <f t="shared" si="14"/>
        <v>0</v>
      </c>
      <c r="H133" s="45">
        <f t="shared" si="14"/>
        <v>0</v>
      </c>
      <c r="I133" s="45">
        <f t="shared" si="14"/>
        <v>0</v>
      </c>
      <c r="J133" s="45">
        <f t="shared" si="14"/>
        <v>0</v>
      </c>
      <c r="K133" s="45">
        <f t="shared" si="14"/>
        <v>0</v>
      </c>
      <c r="L133" s="45">
        <f t="shared" si="14"/>
        <v>0</v>
      </c>
      <c r="M133" s="109">
        <f>IF(tblForecast[[#This Row],[un_2018]]=0,"", tblForecast[[#This Row],[sl_2018]]*10^6/tblForecast[[#This Row],[un_2018]])</f>
        <v>1261.8461538461538</v>
      </c>
      <c r="N133" s="109">
        <f>IF(tblForecast[[#This Row],[un_2019]]=0,"", tblForecast[[#This Row],[sl_2019]]*10^6/tblForecast[[#This Row],[un_2019]])</f>
        <v>845.272511955087</v>
      </c>
      <c r="O133" s="109" t="str">
        <f>IF(tblForecast[[#This Row],[un_2020]]=0,"", tblForecast[[#This Row],[sl_2020]]*10^6/tblForecast[[#This Row],[un_2020]])</f>
        <v/>
      </c>
      <c r="P133" s="109" t="str">
        <f>IF(tblForecast[[#This Row],[un_2021]]=0,"", tblForecast[[#This Row],[sl_2021]]*10^6/tblForecast[[#This Row],[un_2021]])</f>
        <v/>
      </c>
      <c r="Q133" s="109" t="str">
        <f>IF(tblForecast[[#This Row],[un_2022]]=0,"", tblForecast[[#This Row],[sl_2022]]*10^6/tblForecast[[#This Row],[un_2022]])</f>
        <v/>
      </c>
      <c r="R133" s="109" t="str">
        <f>IF(tblForecast[[#This Row],[un_2023]]=0,"", tblForecast[[#This Row],[sl_2023]]*10^6/tblForecast[[#This Row],[un_2023]])</f>
        <v/>
      </c>
      <c r="S133" s="109" t="str">
        <f>IF(tblForecast[[#This Row],[un_2024]]=0,"", tblForecast[[#This Row],[sl_2024]]*10^6/tblForecast[[#This Row],[un_2024]])</f>
        <v/>
      </c>
      <c r="T133" s="109" t="str">
        <f>IF(tblForecast[[#This Row],[un_2025]]=0,"", tblForecast[[#This Row],[sl_2025]]*10^6/tblForecast[[#This Row],[un_2025]])</f>
        <v/>
      </c>
      <c r="U133" s="109" t="str">
        <f>IF(tblForecast[[#This Row],[un_2026]]=0,"", tblForecast[[#This Row],[sl_2026]]*10^6/tblForecast[[#This Row],[un_2026]])</f>
        <v/>
      </c>
      <c r="V133" s="109" t="str">
        <f>IF(tblForecast[[#This Row],[un_2027]]=0,"", tblForecast[[#This Row],[sl_2027]]*10^6/tblForecast[[#This Row],[un_2027]])</f>
        <v/>
      </c>
      <c r="W133" s="109" t="str">
        <f>IF(tblForecast[[#This Row],[un_2028]]=0,"", tblForecast[[#This Row],[sl_2028]]*10^6/tblForecast[[#This Row],[un_2028]])</f>
        <v/>
      </c>
      <c r="X133" s="110">
        <f t="shared" ref="X133:AH133" si="15">SUM(X82:X88)</f>
        <v>49.212000000000003</v>
      </c>
      <c r="Y133" s="110">
        <f t="shared" si="15"/>
        <v>123.96396969718188</v>
      </c>
      <c r="Z133" s="110">
        <f t="shared" si="15"/>
        <v>0</v>
      </c>
      <c r="AA133" s="110">
        <f t="shared" si="15"/>
        <v>0</v>
      </c>
      <c r="AB133" s="110">
        <f t="shared" si="15"/>
        <v>0</v>
      </c>
      <c r="AC133" s="110">
        <f t="shared" si="15"/>
        <v>0</v>
      </c>
      <c r="AD133" s="110">
        <f t="shared" si="15"/>
        <v>0</v>
      </c>
      <c r="AE133" s="110">
        <f t="shared" si="15"/>
        <v>0</v>
      </c>
      <c r="AF133" s="110">
        <f t="shared" si="15"/>
        <v>0</v>
      </c>
      <c r="AG133" s="110">
        <f t="shared" si="15"/>
        <v>0</v>
      </c>
      <c r="AH133" s="110">
        <f t="shared" si="15"/>
        <v>0</v>
      </c>
      <c r="AI133" s="18">
        <v>400</v>
      </c>
    </row>
    <row r="134" spans="1:35">
      <c r="A134" s="46" t="s">
        <v>310</v>
      </c>
      <c r="B134" s="45">
        <f t="shared" ref="B134:L134" si="16">SUM(B89:B94)</f>
        <v>0</v>
      </c>
      <c r="C134" s="45">
        <f t="shared" si="16"/>
        <v>0</v>
      </c>
      <c r="D134" s="45">
        <f t="shared" si="16"/>
        <v>0</v>
      </c>
      <c r="E134" s="45">
        <f t="shared" si="16"/>
        <v>0</v>
      </c>
      <c r="F134" s="45">
        <f t="shared" si="16"/>
        <v>0</v>
      </c>
      <c r="G134" s="45">
        <f t="shared" si="16"/>
        <v>0</v>
      </c>
      <c r="H134" s="45">
        <f t="shared" si="16"/>
        <v>0</v>
      </c>
      <c r="I134" s="45">
        <f t="shared" si="16"/>
        <v>0</v>
      </c>
      <c r="J134" s="45">
        <f t="shared" si="16"/>
        <v>0</v>
      </c>
      <c r="K134" s="45">
        <f t="shared" si="16"/>
        <v>0</v>
      </c>
      <c r="L134" s="45">
        <f t="shared" si="16"/>
        <v>0</v>
      </c>
      <c r="M134" s="109" t="str">
        <f>IF(tblForecast[[#This Row],[un_2018]]=0,"", tblForecast[[#This Row],[sl_2018]]*10^6/tblForecast[[#This Row],[un_2018]])</f>
        <v/>
      </c>
      <c r="N134" s="109" t="str">
        <f>IF(tblForecast[[#This Row],[un_2019]]=0,"", tblForecast[[#This Row],[sl_2019]]*10^6/tblForecast[[#This Row],[un_2019]])</f>
        <v/>
      </c>
      <c r="O134" s="109" t="str">
        <f>IF(tblForecast[[#This Row],[un_2020]]=0,"", tblForecast[[#This Row],[sl_2020]]*10^6/tblForecast[[#This Row],[un_2020]])</f>
        <v/>
      </c>
      <c r="P134" s="109" t="str">
        <f>IF(tblForecast[[#This Row],[un_2021]]=0,"", tblForecast[[#This Row],[sl_2021]]*10^6/tblForecast[[#This Row],[un_2021]])</f>
        <v/>
      </c>
      <c r="Q134" s="109" t="str">
        <f>IF(tblForecast[[#This Row],[un_2022]]=0,"", tblForecast[[#This Row],[sl_2022]]*10^6/tblForecast[[#This Row],[un_2022]])</f>
        <v/>
      </c>
      <c r="R134" s="109" t="str">
        <f>IF(tblForecast[[#This Row],[un_2023]]=0,"", tblForecast[[#This Row],[sl_2023]]*10^6/tblForecast[[#This Row],[un_2023]])</f>
        <v/>
      </c>
      <c r="S134" s="109" t="str">
        <f>IF(tblForecast[[#This Row],[un_2024]]=0,"", tblForecast[[#This Row],[sl_2024]]*10^6/tblForecast[[#This Row],[un_2024]])</f>
        <v/>
      </c>
      <c r="T134" s="109" t="str">
        <f>IF(tblForecast[[#This Row],[un_2025]]=0,"", tblForecast[[#This Row],[sl_2025]]*10^6/tblForecast[[#This Row],[un_2025]])</f>
        <v/>
      </c>
      <c r="U134" s="109" t="str">
        <f>IF(tblForecast[[#This Row],[un_2026]]=0,"", tblForecast[[#This Row],[sl_2026]]*10^6/tblForecast[[#This Row],[un_2026]])</f>
        <v/>
      </c>
      <c r="V134" s="109" t="str">
        <f>IF(tblForecast[[#This Row],[un_2027]]=0,"", tblForecast[[#This Row],[sl_2027]]*10^6/tblForecast[[#This Row],[un_2027]])</f>
        <v/>
      </c>
      <c r="W134" s="109" t="str">
        <f>IF(tblForecast[[#This Row],[un_2028]]=0,"", tblForecast[[#This Row],[sl_2028]]*10^6/tblForecast[[#This Row],[un_2028]])</f>
        <v/>
      </c>
      <c r="X134" s="110">
        <f t="shared" ref="X134:AH134" si="17">SUM(X89:X94)</f>
        <v>0</v>
      </c>
      <c r="Y134" s="110">
        <f t="shared" si="17"/>
        <v>0</v>
      </c>
      <c r="Z134" s="110">
        <f t="shared" si="17"/>
        <v>0</v>
      </c>
      <c r="AA134" s="110">
        <f t="shared" si="17"/>
        <v>0</v>
      </c>
      <c r="AB134" s="110">
        <f t="shared" si="17"/>
        <v>0</v>
      </c>
      <c r="AC134" s="110">
        <f t="shared" si="17"/>
        <v>0</v>
      </c>
      <c r="AD134" s="110">
        <f t="shared" si="17"/>
        <v>0</v>
      </c>
      <c r="AE134" s="110">
        <f t="shared" si="17"/>
        <v>0</v>
      </c>
      <c r="AF134" s="110">
        <f t="shared" si="17"/>
        <v>0</v>
      </c>
      <c r="AG134" s="110">
        <f t="shared" si="17"/>
        <v>0</v>
      </c>
      <c r="AH134" s="110">
        <f t="shared" si="17"/>
        <v>0</v>
      </c>
      <c r="AI134" s="18">
        <v>800</v>
      </c>
    </row>
    <row r="135" spans="1:35">
      <c r="A135" s="46" t="s">
        <v>311</v>
      </c>
      <c r="B135" s="45">
        <f t="shared" ref="B135:L135" si="18">SUM(B95:B99)</f>
        <v>0</v>
      </c>
      <c r="C135" s="45">
        <f t="shared" si="18"/>
        <v>0</v>
      </c>
      <c r="D135" s="45">
        <f t="shared" si="18"/>
        <v>0</v>
      </c>
      <c r="E135" s="45">
        <f t="shared" si="18"/>
        <v>0</v>
      </c>
      <c r="F135" s="45">
        <f t="shared" si="18"/>
        <v>0</v>
      </c>
      <c r="G135" s="45">
        <f t="shared" si="18"/>
        <v>0</v>
      </c>
      <c r="H135" s="45">
        <f t="shared" si="18"/>
        <v>0</v>
      </c>
      <c r="I135" s="45">
        <f t="shared" si="18"/>
        <v>0</v>
      </c>
      <c r="J135" s="45">
        <f t="shared" si="18"/>
        <v>0</v>
      </c>
      <c r="K135" s="45">
        <f t="shared" si="18"/>
        <v>0</v>
      </c>
      <c r="L135" s="45">
        <f t="shared" si="18"/>
        <v>0</v>
      </c>
      <c r="M135" s="109" t="str">
        <f>IF(tblForecast[[#This Row],[un_2018]]=0,"", tblForecast[[#This Row],[sl_2018]]*10^6/tblForecast[[#This Row],[un_2018]])</f>
        <v/>
      </c>
      <c r="N135" s="109" t="str">
        <f>IF(tblForecast[[#This Row],[un_2019]]=0,"", tblForecast[[#This Row],[sl_2019]]*10^6/tblForecast[[#This Row],[un_2019]])</f>
        <v/>
      </c>
      <c r="O135" s="109" t="str">
        <f>IF(tblForecast[[#This Row],[un_2020]]=0,"", tblForecast[[#This Row],[sl_2020]]*10^6/tblForecast[[#This Row],[un_2020]])</f>
        <v/>
      </c>
      <c r="P135" s="109" t="str">
        <f>IF(tblForecast[[#This Row],[un_2021]]=0,"", tblForecast[[#This Row],[sl_2021]]*10^6/tblForecast[[#This Row],[un_2021]])</f>
        <v/>
      </c>
      <c r="Q135" s="109" t="str">
        <f>IF(tblForecast[[#This Row],[un_2022]]=0,"", tblForecast[[#This Row],[sl_2022]]*10^6/tblForecast[[#This Row],[un_2022]])</f>
        <v/>
      </c>
      <c r="R135" s="109" t="str">
        <f>IF(tblForecast[[#This Row],[un_2023]]=0,"", tblForecast[[#This Row],[sl_2023]]*10^6/tblForecast[[#This Row],[un_2023]])</f>
        <v/>
      </c>
      <c r="S135" s="109" t="str">
        <f>IF(tblForecast[[#This Row],[un_2024]]=0,"", tblForecast[[#This Row],[sl_2024]]*10^6/tblForecast[[#This Row],[un_2024]])</f>
        <v/>
      </c>
      <c r="T135" s="109" t="str">
        <f>IF(tblForecast[[#This Row],[un_2025]]=0,"", tblForecast[[#This Row],[sl_2025]]*10^6/tblForecast[[#This Row],[un_2025]])</f>
        <v/>
      </c>
      <c r="U135" s="109" t="str">
        <f>IF(tblForecast[[#This Row],[un_2026]]=0,"", tblForecast[[#This Row],[sl_2026]]*10^6/tblForecast[[#This Row],[un_2026]])</f>
        <v/>
      </c>
      <c r="V135" s="109" t="str">
        <f>IF(tblForecast[[#This Row],[un_2027]]=0,"", tblForecast[[#This Row],[sl_2027]]*10^6/tblForecast[[#This Row],[un_2027]])</f>
        <v/>
      </c>
      <c r="W135" s="109" t="str">
        <f>IF(tblForecast[[#This Row],[un_2028]]=0,"", tblForecast[[#This Row],[sl_2028]]*10^6/tblForecast[[#This Row],[un_2028]])</f>
        <v/>
      </c>
      <c r="X135" s="110">
        <f t="shared" ref="X135:AH135" si="19">SUM(X95:X99)</f>
        <v>0</v>
      </c>
      <c r="Y135" s="110">
        <f t="shared" si="19"/>
        <v>0</v>
      </c>
      <c r="Z135" s="110">
        <f t="shared" si="19"/>
        <v>0</v>
      </c>
      <c r="AA135" s="110">
        <f t="shared" si="19"/>
        <v>0</v>
      </c>
      <c r="AB135" s="110">
        <f t="shared" si="19"/>
        <v>0</v>
      </c>
      <c r="AC135" s="110">
        <f t="shared" si="19"/>
        <v>0</v>
      </c>
      <c r="AD135" s="110">
        <f t="shared" si="19"/>
        <v>0</v>
      </c>
      <c r="AE135" s="110">
        <f t="shared" si="19"/>
        <v>0</v>
      </c>
      <c r="AF135" s="110">
        <f t="shared" si="19"/>
        <v>0</v>
      </c>
      <c r="AG135" s="110">
        <f t="shared" si="19"/>
        <v>0</v>
      </c>
      <c r="AH135" s="110">
        <f t="shared" si="19"/>
        <v>0</v>
      </c>
      <c r="AI135" s="18">
        <v>1600</v>
      </c>
    </row>
    <row r="136" spans="1:35">
      <c r="A136" s="46" t="s">
        <v>312</v>
      </c>
      <c r="B136" s="45">
        <f t="shared" ref="B136:L136" si="20">SUM(B100:B104)</f>
        <v>0</v>
      </c>
      <c r="C136" s="45">
        <f t="shared" si="20"/>
        <v>0</v>
      </c>
      <c r="D136" s="45">
        <f t="shared" si="20"/>
        <v>0</v>
      </c>
      <c r="E136" s="45">
        <f t="shared" si="20"/>
        <v>0</v>
      </c>
      <c r="F136" s="45">
        <f t="shared" si="20"/>
        <v>0</v>
      </c>
      <c r="G136" s="45">
        <f t="shared" si="20"/>
        <v>0</v>
      </c>
      <c r="H136" s="45">
        <f t="shared" si="20"/>
        <v>0</v>
      </c>
      <c r="I136" s="45">
        <f t="shared" si="20"/>
        <v>0</v>
      </c>
      <c r="J136" s="45">
        <f t="shared" si="20"/>
        <v>0</v>
      </c>
      <c r="K136" s="45">
        <f t="shared" si="20"/>
        <v>0</v>
      </c>
      <c r="L136" s="45">
        <f t="shared" si="20"/>
        <v>0</v>
      </c>
      <c r="M136" s="109" t="str">
        <f>IF(tblForecast[[#This Row],[un_2018]]=0,"", tblForecast[[#This Row],[sl_2018]]*10^6/tblForecast[[#This Row],[un_2018]])</f>
        <v/>
      </c>
      <c r="N136" s="109" t="str">
        <f>IF(tblForecast[[#This Row],[un_2019]]=0,"", tblForecast[[#This Row],[sl_2019]]*10^6/tblForecast[[#This Row],[un_2019]])</f>
        <v/>
      </c>
      <c r="O136" s="109" t="str">
        <f>IF(tblForecast[[#This Row],[un_2020]]=0,"", tblForecast[[#This Row],[sl_2020]]*10^6/tblForecast[[#This Row],[un_2020]])</f>
        <v/>
      </c>
      <c r="P136" s="109" t="str">
        <f>IF(tblForecast[[#This Row],[un_2021]]=0,"", tblForecast[[#This Row],[sl_2021]]*10^6/tblForecast[[#This Row],[un_2021]])</f>
        <v/>
      </c>
      <c r="Q136" s="109" t="str">
        <f>IF(tblForecast[[#This Row],[un_2022]]=0,"", tblForecast[[#This Row],[sl_2022]]*10^6/tblForecast[[#This Row],[un_2022]])</f>
        <v/>
      </c>
      <c r="R136" s="109" t="str">
        <f>IF(tblForecast[[#This Row],[un_2023]]=0,"", tblForecast[[#This Row],[sl_2023]]*10^6/tblForecast[[#This Row],[un_2023]])</f>
        <v/>
      </c>
      <c r="S136" s="109" t="str">
        <f>IF(tblForecast[[#This Row],[un_2024]]=0,"", tblForecast[[#This Row],[sl_2024]]*10^6/tblForecast[[#This Row],[un_2024]])</f>
        <v/>
      </c>
      <c r="T136" s="109" t="str">
        <f>IF(tblForecast[[#This Row],[un_2025]]=0,"", tblForecast[[#This Row],[sl_2025]]*10^6/tblForecast[[#This Row],[un_2025]])</f>
        <v/>
      </c>
      <c r="U136" s="109" t="str">
        <f>IF(tblForecast[[#This Row],[un_2026]]=0,"", tblForecast[[#This Row],[sl_2026]]*10^6/tblForecast[[#This Row],[un_2026]])</f>
        <v/>
      </c>
      <c r="V136" s="109" t="str">
        <f>IF(tblForecast[[#This Row],[un_2027]]=0,"", tblForecast[[#This Row],[sl_2027]]*10^6/tblForecast[[#This Row],[un_2027]])</f>
        <v/>
      </c>
      <c r="W136" s="109" t="str">
        <f>IF(tblForecast[[#This Row],[un_2028]]=0,"", tblForecast[[#This Row],[sl_2028]]*10^6/tblForecast[[#This Row],[un_2028]])</f>
        <v/>
      </c>
      <c r="X136" s="110">
        <f t="shared" ref="X136:AH136" si="21">SUM(X100:X104)</f>
        <v>0</v>
      </c>
      <c r="Y136" s="110">
        <f t="shared" si="21"/>
        <v>0</v>
      </c>
      <c r="Z136" s="110">
        <f t="shared" si="21"/>
        <v>0</v>
      </c>
      <c r="AA136" s="110">
        <f t="shared" si="21"/>
        <v>0</v>
      </c>
      <c r="AB136" s="110">
        <f t="shared" si="21"/>
        <v>0</v>
      </c>
      <c r="AC136" s="110">
        <f t="shared" si="21"/>
        <v>0</v>
      </c>
      <c r="AD136" s="110">
        <f t="shared" si="21"/>
        <v>0</v>
      </c>
      <c r="AE136" s="110">
        <f t="shared" si="21"/>
        <v>0</v>
      </c>
      <c r="AF136" s="110">
        <f t="shared" si="21"/>
        <v>0</v>
      </c>
      <c r="AG136" s="110">
        <f t="shared" si="21"/>
        <v>0</v>
      </c>
      <c r="AH136" s="110">
        <f t="shared" si="21"/>
        <v>0</v>
      </c>
      <c r="AI136" s="18">
        <v>3200</v>
      </c>
    </row>
    <row r="137" spans="1:35">
      <c r="A137" s="46" t="s">
        <v>313</v>
      </c>
      <c r="B137" s="45">
        <f t="shared" ref="B137:L137" si="22">SUM(B26:B104)</f>
        <v>42990087.589244679</v>
      </c>
      <c r="C137" s="45">
        <f t="shared" si="22"/>
        <v>42208306.517515101</v>
      </c>
      <c r="D137" s="45">
        <f t="shared" si="22"/>
        <v>0</v>
      </c>
      <c r="E137" s="45">
        <f t="shared" si="22"/>
        <v>0</v>
      </c>
      <c r="F137" s="45">
        <f t="shared" si="22"/>
        <v>0</v>
      </c>
      <c r="G137" s="45">
        <f t="shared" si="22"/>
        <v>0</v>
      </c>
      <c r="H137" s="45">
        <f t="shared" si="22"/>
        <v>0</v>
      </c>
      <c r="I137" s="45">
        <f t="shared" si="22"/>
        <v>0</v>
      </c>
      <c r="J137" s="45">
        <f t="shared" si="22"/>
        <v>0</v>
      </c>
      <c r="K137" s="45">
        <f t="shared" si="22"/>
        <v>0</v>
      </c>
      <c r="L137" s="45">
        <f t="shared" si="22"/>
        <v>0</v>
      </c>
      <c r="M137" s="109">
        <f>IF(tblForecast[[#This Row],[un_2018]]=0,"", tblForecast[[#This Row],[sl_2018]]*10^6/tblForecast[[#This Row],[un_2018]])</f>
        <v>77.815121392350093</v>
      </c>
      <c r="N137" s="109">
        <f>IF(tblForecast[[#This Row],[un_2019]]=0,"", tblForecast[[#This Row],[sl_2019]]*10^6/tblForecast[[#This Row],[un_2019]])</f>
        <v>65.92234155892416</v>
      </c>
      <c r="O137" s="109" t="str">
        <f>IF(tblForecast[[#This Row],[un_2020]]=0,"", tblForecast[[#This Row],[sl_2020]]*10^6/tblForecast[[#This Row],[un_2020]])</f>
        <v/>
      </c>
      <c r="P137" s="109" t="str">
        <f>IF(tblForecast[[#This Row],[un_2021]]=0,"", tblForecast[[#This Row],[sl_2021]]*10^6/tblForecast[[#This Row],[un_2021]])</f>
        <v/>
      </c>
      <c r="Q137" s="109" t="str">
        <f>IF(tblForecast[[#This Row],[un_2022]]=0,"", tblForecast[[#This Row],[sl_2022]]*10^6/tblForecast[[#This Row],[un_2022]])</f>
        <v/>
      </c>
      <c r="R137" s="109" t="str">
        <f>IF(tblForecast[[#This Row],[un_2023]]=0,"", tblForecast[[#This Row],[sl_2023]]*10^6/tblForecast[[#This Row],[un_2023]])</f>
        <v/>
      </c>
      <c r="S137" s="109" t="str">
        <f>IF(tblForecast[[#This Row],[un_2024]]=0,"", tblForecast[[#This Row],[sl_2024]]*10^6/tblForecast[[#This Row],[un_2024]])</f>
        <v/>
      </c>
      <c r="T137" s="109" t="str">
        <f>IF(tblForecast[[#This Row],[un_2025]]=0,"", tblForecast[[#This Row],[sl_2025]]*10^6/tblForecast[[#This Row],[un_2025]])</f>
        <v/>
      </c>
      <c r="U137" s="109" t="str">
        <f>IF(tblForecast[[#This Row],[un_2026]]=0,"", tblForecast[[#This Row],[sl_2026]]*10^6/tblForecast[[#This Row],[un_2026]])</f>
        <v/>
      </c>
      <c r="V137" s="109" t="str">
        <f>IF(tblForecast[[#This Row],[un_2027]]=0,"", tblForecast[[#This Row],[sl_2027]]*10^6/tblForecast[[#This Row],[un_2027]])</f>
        <v/>
      </c>
      <c r="W137" s="109" t="str">
        <f>IF(tblForecast[[#This Row],[un_2028]]=0,"", tblForecast[[#This Row],[sl_2028]]*10^6/tblForecast[[#This Row],[un_2028]])</f>
        <v/>
      </c>
      <c r="X137" s="110">
        <f t="shared" ref="X137:AH137" si="23">SUM(X26:X104)</f>
        <v>3345.278884424838</v>
      </c>
      <c r="Y137" s="110">
        <f t="shared" si="23"/>
        <v>2782.470398871395</v>
      </c>
      <c r="Z137" s="110">
        <f t="shared" si="23"/>
        <v>0</v>
      </c>
      <c r="AA137" s="110">
        <f t="shared" si="23"/>
        <v>0</v>
      </c>
      <c r="AB137" s="110">
        <f t="shared" si="23"/>
        <v>0</v>
      </c>
      <c r="AC137" s="110">
        <f t="shared" si="23"/>
        <v>0</v>
      </c>
      <c r="AD137" s="110">
        <f t="shared" si="23"/>
        <v>0</v>
      </c>
      <c r="AE137" s="110">
        <f t="shared" si="23"/>
        <v>0</v>
      </c>
      <c r="AF137" s="110">
        <f t="shared" si="23"/>
        <v>0</v>
      </c>
      <c r="AG137" s="110">
        <f t="shared" si="23"/>
        <v>0</v>
      </c>
      <c r="AH137" s="110">
        <f t="shared" si="23"/>
        <v>0</v>
      </c>
    </row>
    <row r="138" spans="1:35">
      <c r="M138" s="92"/>
      <c r="N138" s="92"/>
      <c r="O138" s="92"/>
      <c r="P138" s="92"/>
      <c r="Q138" s="92"/>
      <c r="R138" s="92"/>
      <c r="S138" s="92"/>
      <c r="T138" s="92"/>
      <c r="U138" s="92"/>
      <c r="V138" s="92"/>
      <c r="W138" s="92"/>
      <c r="X138" s="92"/>
      <c r="Y138" s="92"/>
      <c r="Z138" s="92"/>
      <c r="AA138" s="92"/>
      <c r="AB138" s="92"/>
      <c r="AC138" s="92"/>
      <c r="AD138" s="92"/>
      <c r="AE138" s="92"/>
      <c r="AF138" s="92"/>
      <c r="AG138" s="92"/>
      <c r="AH138" s="92"/>
    </row>
    <row r="139" spans="1:35">
      <c r="A139" s="46" t="s">
        <v>337</v>
      </c>
      <c r="B139" s="45">
        <f t="shared" ref="B139:L139" si="24">SUM(B105:B108)</f>
        <v>784697</v>
      </c>
      <c r="C139" s="45">
        <f t="shared" si="24"/>
        <v>939775</v>
      </c>
      <c r="D139" s="45">
        <f t="shared" si="24"/>
        <v>0</v>
      </c>
      <c r="E139" s="45">
        <f t="shared" si="24"/>
        <v>0</v>
      </c>
      <c r="F139" s="45">
        <f t="shared" si="24"/>
        <v>0</v>
      </c>
      <c r="G139" s="45">
        <f t="shared" si="24"/>
        <v>0</v>
      </c>
      <c r="H139" s="45">
        <f t="shared" si="24"/>
        <v>0</v>
      </c>
      <c r="I139" s="45">
        <f t="shared" si="24"/>
        <v>0</v>
      </c>
      <c r="J139" s="45">
        <f t="shared" si="24"/>
        <v>0</v>
      </c>
      <c r="K139" s="45">
        <f t="shared" si="24"/>
        <v>0</v>
      </c>
      <c r="L139" s="45">
        <f t="shared" si="24"/>
        <v>0</v>
      </c>
      <c r="M139" s="109">
        <f>IF(tblForecast[[#This Row],[un_2018]]=0,"", tblForecast[[#This Row],[sl_2018]]*10^6/tblForecast[[#This Row],[un_2018]])</f>
        <v>348.47152212892365</v>
      </c>
      <c r="N139" s="109">
        <f>IF(tblForecast[[#This Row],[un_2019]]=0,"", tblForecast[[#This Row],[sl_2019]]*10^6/tblForecast[[#This Row],[un_2019]])</f>
        <v>306.21016980010143</v>
      </c>
      <c r="O139" s="109" t="str">
        <f>IF(tblForecast[[#This Row],[un_2020]]=0,"", tblForecast[[#This Row],[sl_2020]]*10^6/tblForecast[[#This Row],[un_2020]])</f>
        <v/>
      </c>
      <c r="P139" s="109" t="str">
        <f>IF(tblForecast[[#This Row],[un_2021]]=0,"", tblForecast[[#This Row],[sl_2021]]*10^6/tblForecast[[#This Row],[un_2021]])</f>
        <v/>
      </c>
      <c r="Q139" s="109" t="str">
        <f>IF(tblForecast[[#This Row],[un_2022]]=0,"", tblForecast[[#This Row],[sl_2022]]*10^6/tblForecast[[#This Row],[un_2022]])</f>
        <v/>
      </c>
      <c r="R139" s="109" t="str">
        <f>IF(tblForecast[[#This Row],[un_2023]]=0,"", tblForecast[[#This Row],[sl_2023]]*10^6/tblForecast[[#This Row],[un_2023]])</f>
        <v/>
      </c>
      <c r="S139" s="109" t="str">
        <f>IF(tblForecast[[#This Row],[un_2024]]=0,"", tblForecast[[#This Row],[sl_2024]]*10^6/tblForecast[[#This Row],[un_2024]])</f>
        <v/>
      </c>
      <c r="T139" s="109" t="str">
        <f>IF(tblForecast[[#This Row],[un_2025]]=0,"", tblForecast[[#This Row],[sl_2025]]*10^6/tblForecast[[#This Row],[un_2025]])</f>
        <v/>
      </c>
      <c r="U139" s="109" t="str">
        <f>IF(tblForecast[[#This Row],[un_2026]]=0,"", tblForecast[[#This Row],[sl_2026]]*10^6/tblForecast[[#This Row],[un_2026]])</f>
        <v/>
      </c>
      <c r="V139" s="109" t="str">
        <f>IF(tblForecast[[#This Row],[un_2027]]=0,"", tblForecast[[#This Row],[sl_2027]]*10^6/tblForecast[[#This Row],[un_2027]])</f>
        <v/>
      </c>
      <c r="W139" s="109" t="str">
        <f>IF(tblForecast[[#This Row],[un_2028]]=0,"", tblForecast[[#This Row],[sl_2028]]*10^6/tblForecast[[#This Row],[un_2028]])</f>
        <v/>
      </c>
      <c r="X139" s="110">
        <f t="shared" ref="X139:AH139" si="25">SUM(X105:X108)</f>
        <v>273.44455800000003</v>
      </c>
      <c r="Y139" s="110">
        <f t="shared" si="25"/>
        <v>287.76866232389034</v>
      </c>
      <c r="Z139" s="110">
        <f t="shared" si="25"/>
        <v>0</v>
      </c>
      <c r="AA139" s="110">
        <f t="shared" si="25"/>
        <v>0</v>
      </c>
      <c r="AB139" s="110">
        <f t="shared" si="25"/>
        <v>0</v>
      </c>
      <c r="AC139" s="110">
        <f t="shared" si="25"/>
        <v>0</v>
      </c>
      <c r="AD139" s="110">
        <f t="shared" si="25"/>
        <v>0</v>
      </c>
      <c r="AE139" s="110">
        <f t="shared" si="25"/>
        <v>0</v>
      </c>
      <c r="AF139" s="110">
        <f t="shared" si="25"/>
        <v>0</v>
      </c>
      <c r="AG139" s="110">
        <f t="shared" si="25"/>
        <v>0</v>
      </c>
      <c r="AH139" s="110">
        <f t="shared" si="25"/>
        <v>0</v>
      </c>
      <c r="AI139" s="18" t="s">
        <v>347</v>
      </c>
    </row>
    <row r="140" spans="1:35">
      <c r="A140" s="46" t="s">
        <v>329</v>
      </c>
      <c r="B140" s="45">
        <f t="shared" ref="B140:L140" si="26">SUM(B109:B113)</f>
        <v>357000</v>
      </c>
      <c r="C140" s="45">
        <f t="shared" si="26"/>
        <v>345000.00000000006</v>
      </c>
      <c r="D140" s="45">
        <f t="shared" si="26"/>
        <v>0</v>
      </c>
      <c r="E140" s="45">
        <f t="shared" si="26"/>
        <v>0</v>
      </c>
      <c r="F140" s="45">
        <f t="shared" si="26"/>
        <v>0</v>
      </c>
      <c r="G140" s="45">
        <f t="shared" si="26"/>
        <v>0</v>
      </c>
      <c r="H140" s="45">
        <f t="shared" si="26"/>
        <v>0</v>
      </c>
      <c r="I140" s="45">
        <f t="shared" si="26"/>
        <v>0</v>
      </c>
      <c r="J140" s="45">
        <f t="shared" si="26"/>
        <v>0</v>
      </c>
      <c r="K140" s="45">
        <f t="shared" si="26"/>
        <v>0</v>
      </c>
      <c r="L140" s="45">
        <f t="shared" si="26"/>
        <v>0</v>
      </c>
      <c r="M140" s="109">
        <f>IF(tblForecast[[#This Row],[un_2018]]=0,"", tblForecast[[#This Row],[sl_2018]]*10^6/tblForecast[[#This Row],[un_2018]])</f>
        <v>7170.677899159663</v>
      </c>
      <c r="N140" s="109">
        <f>IF(tblForecast[[#This Row],[un_2019]]=0,"", tblForecast[[#This Row],[sl_2019]]*10^6/tblForecast[[#This Row],[un_2019]])</f>
        <v>5453.173816425121</v>
      </c>
      <c r="O140" s="109" t="str">
        <f>IF(tblForecast[[#This Row],[un_2020]]=0,"", tblForecast[[#This Row],[sl_2020]]*10^6/tblForecast[[#This Row],[un_2020]])</f>
        <v/>
      </c>
      <c r="P140" s="109" t="str">
        <f>IF(tblForecast[[#This Row],[un_2021]]=0,"", tblForecast[[#This Row],[sl_2021]]*10^6/tblForecast[[#This Row],[un_2021]])</f>
        <v/>
      </c>
      <c r="Q140" s="109" t="str">
        <f>IF(tblForecast[[#This Row],[un_2022]]=0,"", tblForecast[[#This Row],[sl_2022]]*10^6/tblForecast[[#This Row],[un_2022]])</f>
        <v/>
      </c>
      <c r="R140" s="109" t="str">
        <f>IF(tblForecast[[#This Row],[un_2023]]=0,"", tblForecast[[#This Row],[sl_2023]]*10^6/tblForecast[[#This Row],[un_2023]])</f>
        <v/>
      </c>
      <c r="S140" s="109" t="str">
        <f>IF(tblForecast[[#This Row],[un_2024]]=0,"", tblForecast[[#This Row],[sl_2024]]*10^6/tblForecast[[#This Row],[un_2024]])</f>
        <v/>
      </c>
      <c r="T140" s="109" t="str">
        <f>IF(tblForecast[[#This Row],[un_2025]]=0,"", tblForecast[[#This Row],[sl_2025]]*10^6/tblForecast[[#This Row],[un_2025]])</f>
        <v/>
      </c>
      <c r="U140" s="109" t="str">
        <f>IF(tblForecast[[#This Row],[un_2026]]=0,"", tblForecast[[#This Row],[sl_2026]]*10^6/tblForecast[[#This Row],[un_2026]])</f>
        <v/>
      </c>
      <c r="V140" s="109" t="str">
        <f>IF(tblForecast[[#This Row],[un_2027]]=0,"", tblForecast[[#This Row],[sl_2027]]*10^6/tblForecast[[#This Row],[un_2027]])</f>
        <v/>
      </c>
      <c r="W140" s="109" t="str">
        <f>IF(tblForecast[[#This Row],[un_2028]]=0,"", tblForecast[[#This Row],[sl_2028]]*10^6/tblForecast[[#This Row],[un_2028]])</f>
        <v/>
      </c>
      <c r="X140" s="110">
        <f t="shared" ref="X140:AH140" si="27">SUM(X109:X113)</f>
        <v>2559.9320099999995</v>
      </c>
      <c r="Y140" s="110">
        <f t="shared" si="27"/>
        <v>1881.344966666667</v>
      </c>
      <c r="Z140" s="110">
        <f t="shared" si="27"/>
        <v>0</v>
      </c>
      <c r="AA140" s="110">
        <f t="shared" si="27"/>
        <v>0</v>
      </c>
      <c r="AB140" s="110">
        <f t="shared" si="27"/>
        <v>0</v>
      </c>
      <c r="AC140" s="110">
        <f t="shared" si="27"/>
        <v>0</v>
      </c>
      <c r="AD140" s="110">
        <f t="shared" si="27"/>
        <v>0</v>
      </c>
      <c r="AE140" s="110">
        <f t="shared" si="27"/>
        <v>0</v>
      </c>
      <c r="AF140" s="110">
        <f t="shared" si="27"/>
        <v>0</v>
      </c>
      <c r="AG140" s="110">
        <f t="shared" si="27"/>
        <v>0</v>
      </c>
      <c r="AH140" s="110">
        <f t="shared" si="27"/>
        <v>0</v>
      </c>
      <c r="AI140" s="18">
        <v>100</v>
      </c>
    </row>
    <row r="141" spans="1:35">
      <c r="A141" s="46" t="s">
        <v>330</v>
      </c>
      <c r="B141" s="45">
        <f>SUM(B114:B116)</f>
        <v>122000</v>
      </c>
      <c r="C141" s="45">
        <f t="shared" ref="C141:L141" si="28">SUM(C114:C116)</f>
        <v>217000</v>
      </c>
      <c r="D141" s="45">
        <f t="shared" si="28"/>
        <v>0</v>
      </c>
      <c r="E141" s="45">
        <f t="shared" si="28"/>
        <v>0</v>
      </c>
      <c r="F141" s="45">
        <f t="shared" si="28"/>
        <v>0</v>
      </c>
      <c r="G141" s="45">
        <f t="shared" si="28"/>
        <v>0</v>
      </c>
      <c r="H141" s="45">
        <f t="shared" si="28"/>
        <v>0</v>
      </c>
      <c r="I141" s="45">
        <f t="shared" si="28"/>
        <v>0</v>
      </c>
      <c r="J141" s="45">
        <f t="shared" si="28"/>
        <v>0</v>
      </c>
      <c r="K141" s="45">
        <f t="shared" si="28"/>
        <v>0</v>
      </c>
      <c r="L141" s="45">
        <f t="shared" si="28"/>
        <v>0</v>
      </c>
      <c r="M141" s="109">
        <f>IF(tblForecast[[#This Row],[un_2018]]=0,"", tblForecast[[#This Row],[sl_2018]]*10^6/tblForecast[[#This Row],[un_2018]])</f>
        <v>7573.3731743666176</v>
      </c>
      <c r="N141" s="109">
        <f>IF(tblForecast[[#This Row],[un_2019]]=0,"", tblForecast[[#This Row],[sl_2019]]*10^6/tblForecast[[#This Row],[un_2019]])</f>
        <v>5673.7127775450344</v>
      </c>
      <c r="O141" s="109" t="str">
        <f>IF(tblForecast[[#This Row],[un_2020]]=0,"", tblForecast[[#This Row],[sl_2020]]*10^6/tblForecast[[#This Row],[un_2020]])</f>
        <v/>
      </c>
      <c r="P141" s="109" t="str">
        <f>IF(tblForecast[[#This Row],[un_2021]]=0,"", tblForecast[[#This Row],[sl_2021]]*10^6/tblForecast[[#This Row],[un_2021]])</f>
        <v/>
      </c>
      <c r="Q141" s="109" t="str">
        <f>IF(tblForecast[[#This Row],[un_2022]]=0,"", tblForecast[[#This Row],[sl_2022]]*10^6/tblForecast[[#This Row],[un_2022]])</f>
        <v/>
      </c>
      <c r="R141" s="109" t="str">
        <f>IF(tblForecast[[#This Row],[un_2023]]=0,"", tblForecast[[#This Row],[sl_2023]]*10^6/tblForecast[[#This Row],[un_2023]])</f>
        <v/>
      </c>
      <c r="S141" s="109" t="str">
        <f>IF(tblForecast[[#This Row],[un_2024]]=0,"", tblForecast[[#This Row],[sl_2024]]*10^6/tblForecast[[#This Row],[un_2024]])</f>
        <v/>
      </c>
      <c r="T141" s="109" t="str">
        <f>IF(tblForecast[[#This Row],[un_2025]]=0,"", tblForecast[[#This Row],[sl_2025]]*10^6/tblForecast[[#This Row],[un_2025]])</f>
        <v/>
      </c>
      <c r="U141" s="109" t="str">
        <f>IF(tblForecast[[#This Row],[un_2026]]=0,"", tblForecast[[#This Row],[sl_2026]]*10^6/tblForecast[[#This Row],[un_2026]])</f>
        <v/>
      </c>
      <c r="V141" s="109" t="str">
        <f>IF(tblForecast[[#This Row],[un_2027]]=0,"", tblForecast[[#This Row],[sl_2027]]*10^6/tblForecast[[#This Row],[un_2027]])</f>
        <v/>
      </c>
      <c r="W141" s="109" t="str">
        <f>IF(tblForecast[[#This Row],[un_2028]]=0,"", tblForecast[[#This Row],[sl_2028]]*10^6/tblForecast[[#This Row],[un_2028]])</f>
        <v/>
      </c>
      <c r="X141" s="110">
        <f>SUM(X114:X116)</f>
        <v>923.95152727272739</v>
      </c>
      <c r="Y141" s="110">
        <f t="shared" ref="Y141:AH141" si="29">SUM(Y114:Y116)</f>
        <v>1231.1956727272725</v>
      </c>
      <c r="Z141" s="110">
        <f t="shared" si="29"/>
        <v>0</v>
      </c>
      <c r="AA141" s="110">
        <f t="shared" si="29"/>
        <v>0</v>
      </c>
      <c r="AB141" s="110">
        <f t="shared" si="29"/>
        <v>0</v>
      </c>
      <c r="AC141" s="110">
        <f t="shared" si="29"/>
        <v>0</v>
      </c>
      <c r="AD141" s="110">
        <f t="shared" si="29"/>
        <v>0</v>
      </c>
      <c r="AE141" s="110">
        <f t="shared" si="29"/>
        <v>0</v>
      </c>
      <c r="AF141" s="110">
        <f t="shared" si="29"/>
        <v>0</v>
      </c>
      <c r="AG141" s="110">
        <f t="shared" si="29"/>
        <v>0</v>
      </c>
      <c r="AH141" s="110">
        <f t="shared" si="29"/>
        <v>0</v>
      </c>
      <c r="AI141" s="18">
        <v>200</v>
      </c>
    </row>
    <row r="142" spans="1:35">
      <c r="A142" s="46" t="s">
        <v>331</v>
      </c>
      <c r="B142" s="45">
        <f>SUM(B117:B120)</f>
        <v>17500</v>
      </c>
      <c r="C142" s="45">
        <f t="shared" ref="C142:L142" si="30">SUM(C117:C120)</f>
        <v>39000</v>
      </c>
      <c r="D142" s="45">
        <f t="shared" si="30"/>
        <v>0</v>
      </c>
      <c r="E142" s="45">
        <f t="shared" si="30"/>
        <v>0</v>
      </c>
      <c r="F142" s="45">
        <f t="shared" si="30"/>
        <v>0</v>
      </c>
      <c r="G142" s="45">
        <f t="shared" si="30"/>
        <v>0</v>
      </c>
      <c r="H142" s="45">
        <f t="shared" si="30"/>
        <v>0</v>
      </c>
      <c r="I142" s="45">
        <f t="shared" si="30"/>
        <v>0</v>
      </c>
      <c r="J142" s="45">
        <f t="shared" si="30"/>
        <v>0</v>
      </c>
      <c r="K142" s="45">
        <f t="shared" si="30"/>
        <v>0</v>
      </c>
      <c r="L142" s="45">
        <f t="shared" si="30"/>
        <v>0</v>
      </c>
      <c r="M142" s="109">
        <f>IF(tblForecast[[#This Row],[un_2018]]=0,"", tblForecast[[#This Row],[sl_2018]]*10^6/tblForecast[[#This Row],[un_2018]])</f>
        <v>0</v>
      </c>
      <c r="N142" s="109">
        <f>IF(tblForecast[[#This Row],[un_2019]]=0,"", tblForecast[[#This Row],[sl_2019]]*10^6/tblForecast[[#This Row],[un_2019]])</f>
        <v>8711.9347319347307</v>
      </c>
      <c r="O142" s="109" t="str">
        <f>IF(tblForecast[[#This Row],[un_2020]]=0,"", tblForecast[[#This Row],[sl_2020]]*10^6/tblForecast[[#This Row],[un_2020]])</f>
        <v/>
      </c>
      <c r="P142" s="109" t="str">
        <f>IF(tblForecast[[#This Row],[un_2021]]=0,"", tblForecast[[#This Row],[sl_2021]]*10^6/tblForecast[[#This Row],[un_2021]])</f>
        <v/>
      </c>
      <c r="Q142" s="109" t="str">
        <f>IF(tblForecast[[#This Row],[un_2022]]=0,"", tblForecast[[#This Row],[sl_2022]]*10^6/tblForecast[[#This Row],[un_2022]])</f>
        <v/>
      </c>
      <c r="R142" s="109" t="str">
        <f>IF(tblForecast[[#This Row],[un_2023]]=0,"", tblForecast[[#This Row],[sl_2023]]*10^6/tblForecast[[#This Row],[un_2023]])</f>
        <v/>
      </c>
      <c r="S142" s="109" t="str">
        <f>IF(tblForecast[[#This Row],[un_2024]]=0,"", tblForecast[[#This Row],[sl_2024]]*10^6/tblForecast[[#This Row],[un_2024]])</f>
        <v/>
      </c>
      <c r="T142" s="109" t="str">
        <f>IF(tblForecast[[#This Row],[un_2025]]=0,"", tblForecast[[#This Row],[sl_2025]]*10^6/tblForecast[[#This Row],[un_2025]])</f>
        <v/>
      </c>
      <c r="U142" s="109" t="str">
        <f>IF(tblForecast[[#This Row],[un_2026]]=0,"", tblForecast[[#This Row],[sl_2026]]*10^6/tblForecast[[#This Row],[un_2026]])</f>
        <v/>
      </c>
      <c r="V142" s="109" t="str">
        <f>IF(tblForecast[[#This Row],[un_2027]]=0,"", tblForecast[[#This Row],[sl_2027]]*10^6/tblForecast[[#This Row],[un_2027]])</f>
        <v/>
      </c>
      <c r="W142" s="109" t="str">
        <f>IF(tblForecast[[#This Row],[un_2028]]=0,"", tblForecast[[#This Row],[sl_2028]]*10^6/tblForecast[[#This Row],[un_2028]])</f>
        <v/>
      </c>
      <c r="X142" s="110">
        <f>SUM(X117:X120)</f>
        <v>0</v>
      </c>
      <c r="Y142" s="110">
        <f t="shared" ref="Y142:AH142" si="31">SUM(Y117:Y120)</f>
        <v>339.76545454545453</v>
      </c>
      <c r="Z142" s="110">
        <f t="shared" si="31"/>
        <v>0</v>
      </c>
      <c r="AA142" s="110">
        <f t="shared" si="31"/>
        <v>0</v>
      </c>
      <c r="AB142" s="110">
        <f t="shared" si="31"/>
        <v>0</v>
      </c>
      <c r="AC142" s="110">
        <f t="shared" si="31"/>
        <v>0</v>
      </c>
      <c r="AD142" s="110">
        <f t="shared" si="31"/>
        <v>0</v>
      </c>
      <c r="AE142" s="110">
        <f t="shared" si="31"/>
        <v>0</v>
      </c>
      <c r="AF142" s="110">
        <f t="shared" si="31"/>
        <v>0</v>
      </c>
      <c r="AG142" s="110">
        <f t="shared" si="31"/>
        <v>0</v>
      </c>
      <c r="AH142" s="110">
        <f t="shared" si="31"/>
        <v>0</v>
      </c>
      <c r="AI142" s="18">
        <v>400</v>
      </c>
    </row>
    <row r="143" spans="1:35">
      <c r="A143" s="46" t="s">
        <v>332</v>
      </c>
      <c r="B143" s="45">
        <f>B121</f>
        <v>0</v>
      </c>
      <c r="C143" s="45">
        <f t="shared" ref="C143:L143" si="32">C121</f>
        <v>82</v>
      </c>
      <c r="D143" s="45">
        <f t="shared" si="32"/>
        <v>0</v>
      </c>
      <c r="E143" s="45">
        <f t="shared" si="32"/>
        <v>0</v>
      </c>
      <c r="F143" s="45">
        <f t="shared" si="32"/>
        <v>0</v>
      </c>
      <c r="G143" s="45">
        <f t="shared" si="32"/>
        <v>0</v>
      </c>
      <c r="H143" s="45">
        <f t="shared" si="32"/>
        <v>0</v>
      </c>
      <c r="I143" s="45">
        <f t="shared" si="32"/>
        <v>0</v>
      </c>
      <c r="J143" s="45">
        <f t="shared" si="32"/>
        <v>0</v>
      </c>
      <c r="K143" s="45">
        <f t="shared" si="32"/>
        <v>0</v>
      </c>
      <c r="L143" s="45">
        <f t="shared" si="32"/>
        <v>0</v>
      </c>
      <c r="M143" s="109" t="str">
        <f>IF(tblForecast[[#This Row],[un_2018]]=0,"", tblForecast[[#This Row],[sl_2018]]*10^6/tblForecast[[#This Row],[un_2018]])</f>
        <v/>
      </c>
      <c r="N143" s="109">
        <f>IF(tblForecast[[#This Row],[un_2019]]=0,"", tblForecast[[#This Row],[sl_2019]]*10^6/tblForecast[[#This Row],[un_2019]])</f>
        <v>10000</v>
      </c>
      <c r="O143" s="109" t="str">
        <f>IF(tblForecast[[#This Row],[un_2020]]=0,"", tblForecast[[#This Row],[sl_2020]]*10^6/tblForecast[[#This Row],[un_2020]])</f>
        <v/>
      </c>
      <c r="P143" s="109" t="str">
        <f>IF(tblForecast[[#This Row],[un_2021]]=0,"", tblForecast[[#This Row],[sl_2021]]*10^6/tblForecast[[#This Row],[un_2021]])</f>
        <v/>
      </c>
      <c r="Q143" s="109" t="str">
        <f>IF(tblForecast[[#This Row],[un_2022]]=0,"", tblForecast[[#This Row],[sl_2022]]*10^6/tblForecast[[#This Row],[un_2022]])</f>
        <v/>
      </c>
      <c r="R143" s="109" t="str">
        <f>IF(tblForecast[[#This Row],[un_2023]]=0,"", tblForecast[[#This Row],[sl_2023]]*10^6/tblForecast[[#This Row],[un_2023]])</f>
        <v/>
      </c>
      <c r="S143" s="109" t="str">
        <f>IF(tblForecast[[#This Row],[un_2024]]=0,"", tblForecast[[#This Row],[sl_2024]]*10^6/tblForecast[[#This Row],[un_2024]])</f>
        <v/>
      </c>
      <c r="T143" s="109" t="str">
        <f>IF(tblForecast[[#This Row],[un_2025]]=0,"", tblForecast[[#This Row],[sl_2025]]*10^6/tblForecast[[#This Row],[un_2025]])</f>
        <v/>
      </c>
      <c r="U143" s="109" t="str">
        <f>IF(tblForecast[[#This Row],[un_2026]]=0,"", tblForecast[[#This Row],[sl_2026]]*10^6/tblForecast[[#This Row],[un_2026]])</f>
        <v/>
      </c>
      <c r="V143" s="109" t="str">
        <f>IF(tblForecast[[#This Row],[un_2027]]=0,"", tblForecast[[#This Row],[sl_2027]]*10^6/tblForecast[[#This Row],[un_2027]])</f>
        <v/>
      </c>
      <c r="W143" s="109" t="str">
        <f>IF(tblForecast[[#This Row],[un_2028]]=0,"", tblForecast[[#This Row],[sl_2028]]*10^6/tblForecast[[#This Row],[un_2028]])</f>
        <v/>
      </c>
      <c r="X143" s="110">
        <f>X121</f>
        <v>0</v>
      </c>
      <c r="Y143" s="110">
        <f t="shared" ref="Y143:AH143" si="33">Y121</f>
        <v>0.82</v>
      </c>
      <c r="Z143" s="110">
        <f t="shared" si="33"/>
        <v>0</v>
      </c>
      <c r="AA143" s="110">
        <f t="shared" si="33"/>
        <v>0</v>
      </c>
      <c r="AB143" s="110">
        <f t="shared" si="33"/>
        <v>0</v>
      </c>
      <c r="AC143" s="110">
        <f t="shared" si="33"/>
        <v>0</v>
      </c>
      <c r="AD143" s="110">
        <f t="shared" si="33"/>
        <v>0</v>
      </c>
      <c r="AE143" s="110">
        <f t="shared" si="33"/>
        <v>0</v>
      </c>
      <c r="AF143" s="110">
        <f t="shared" si="33"/>
        <v>0</v>
      </c>
      <c r="AG143" s="110">
        <f t="shared" si="33"/>
        <v>0</v>
      </c>
      <c r="AH143" s="110">
        <f t="shared" si="33"/>
        <v>0</v>
      </c>
      <c r="AI143" s="18">
        <v>600</v>
      </c>
    </row>
    <row r="144" spans="1:35">
      <c r="A144" s="46" t="s">
        <v>333</v>
      </c>
      <c r="B144" s="45">
        <f>SUM(B122:B123)</f>
        <v>0</v>
      </c>
      <c r="C144" s="45">
        <f t="shared" ref="C144:L144" si="34">SUM(C122:C123)</f>
        <v>0</v>
      </c>
      <c r="D144" s="45">
        <f t="shared" si="34"/>
        <v>0</v>
      </c>
      <c r="E144" s="45">
        <f t="shared" si="34"/>
        <v>0</v>
      </c>
      <c r="F144" s="45">
        <f t="shared" si="34"/>
        <v>0</v>
      </c>
      <c r="G144" s="45">
        <f t="shared" si="34"/>
        <v>0</v>
      </c>
      <c r="H144" s="45">
        <f t="shared" si="34"/>
        <v>0</v>
      </c>
      <c r="I144" s="45">
        <f t="shared" si="34"/>
        <v>0</v>
      </c>
      <c r="J144" s="45">
        <f t="shared" si="34"/>
        <v>0</v>
      </c>
      <c r="K144" s="45">
        <f t="shared" si="34"/>
        <v>0</v>
      </c>
      <c r="L144" s="45">
        <f t="shared" si="34"/>
        <v>0</v>
      </c>
      <c r="M144" s="109" t="str">
        <f>IF(tblForecast[[#This Row],[un_2018]]=0,"", tblForecast[[#This Row],[sl_2018]]*10^6/tblForecast[[#This Row],[un_2018]])</f>
        <v/>
      </c>
      <c r="N144" s="109" t="str">
        <f>IF(tblForecast[[#This Row],[un_2019]]=0,"", tblForecast[[#This Row],[sl_2019]]*10^6/tblForecast[[#This Row],[un_2019]])</f>
        <v/>
      </c>
      <c r="O144" s="109" t="str">
        <f>IF(tblForecast[[#This Row],[un_2020]]=0,"", tblForecast[[#This Row],[sl_2020]]*10^6/tblForecast[[#This Row],[un_2020]])</f>
        <v/>
      </c>
      <c r="P144" s="109" t="str">
        <f>IF(tblForecast[[#This Row],[un_2021]]=0,"", tblForecast[[#This Row],[sl_2021]]*10^6/tblForecast[[#This Row],[un_2021]])</f>
        <v/>
      </c>
      <c r="Q144" s="109" t="str">
        <f>IF(tblForecast[[#This Row],[un_2022]]=0,"", tblForecast[[#This Row],[sl_2022]]*10^6/tblForecast[[#This Row],[un_2022]])</f>
        <v/>
      </c>
      <c r="R144" s="109" t="str">
        <f>IF(tblForecast[[#This Row],[un_2023]]=0,"", tblForecast[[#This Row],[sl_2023]]*10^6/tblForecast[[#This Row],[un_2023]])</f>
        <v/>
      </c>
      <c r="S144" s="109" t="str">
        <f>IF(tblForecast[[#This Row],[un_2024]]=0,"", tblForecast[[#This Row],[sl_2024]]*10^6/tblForecast[[#This Row],[un_2024]])</f>
        <v/>
      </c>
      <c r="T144" s="109" t="str">
        <f>IF(tblForecast[[#This Row],[un_2025]]=0,"", tblForecast[[#This Row],[sl_2025]]*10^6/tblForecast[[#This Row],[un_2025]])</f>
        <v/>
      </c>
      <c r="U144" s="109" t="str">
        <f>IF(tblForecast[[#This Row],[un_2026]]=0,"", tblForecast[[#This Row],[sl_2026]]*10^6/tblForecast[[#This Row],[un_2026]])</f>
        <v/>
      </c>
      <c r="V144" s="109" t="str">
        <f>IF(tblForecast[[#This Row],[un_2027]]=0,"", tblForecast[[#This Row],[sl_2027]]*10^6/tblForecast[[#This Row],[un_2027]])</f>
        <v/>
      </c>
      <c r="W144" s="109" t="str">
        <f>IF(tblForecast[[#This Row],[un_2028]]=0,"", tblForecast[[#This Row],[sl_2028]]*10^6/tblForecast[[#This Row],[un_2028]])</f>
        <v/>
      </c>
      <c r="X144" s="110">
        <f>SUM(X122:X123)</f>
        <v>0</v>
      </c>
      <c r="Y144" s="110">
        <f t="shared" ref="Y144:AH144" si="35">SUM(Y122:Y123)</f>
        <v>0</v>
      </c>
      <c r="Z144" s="110">
        <f t="shared" si="35"/>
        <v>0</v>
      </c>
      <c r="AA144" s="110">
        <f t="shared" si="35"/>
        <v>0</v>
      </c>
      <c r="AB144" s="110">
        <f t="shared" si="35"/>
        <v>0</v>
      </c>
      <c r="AC144" s="110">
        <f t="shared" si="35"/>
        <v>0</v>
      </c>
      <c r="AD144" s="110">
        <f t="shared" si="35"/>
        <v>0</v>
      </c>
      <c r="AE144" s="110">
        <f t="shared" si="35"/>
        <v>0</v>
      </c>
      <c r="AF144" s="110">
        <f t="shared" si="35"/>
        <v>0</v>
      </c>
      <c r="AG144" s="110">
        <f t="shared" si="35"/>
        <v>0</v>
      </c>
      <c r="AH144" s="110">
        <f t="shared" si="35"/>
        <v>0</v>
      </c>
      <c r="AI144" s="18">
        <v>800</v>
      </c>
    </row>
    <row r="145" spans="1:35">
      <c r="A145" s="46" t="s">
        <v>334</v>
      </c>
      <c r="B145" s="45">
        <f>B124</f>
        <v>0</v>
      </c>
      <c r="C145" s="45">
        <f t="shared" ref="C145:L145" si="36">C124</f>
        <v>0</v>
      </c>
      <c r="D145" s="45">
        <f t="shared" si="36"/>
        <v>0</v>
      </c>
      <c r="E145" s="45">
        <f t="shared" si="36"/>
        <v>0</v>
      </c>
      <c r="F145" s="45">
        <f t="shared" si="36"/>
        <v>0</v>
      </c>
      <c r="G145" s="45">
        <f t="shared" si="36"/>
        <v>0</v>
      </c>
      <c r="H145" s="45">
        <f t="shared" si="36"/>
        <v>0</v>
      </c>
      <c r="I145" s="45">
        <f t="shared" si="36"/>
        <v>0</v>
      </c>
      <c r="J145" s="45">
        <f t="shared" si="36"/>
        <v>0</v>
      </c>
      <c r="K145" s="45">
        <f t="shared" si="36"/>
        <v>0</v>
      </c>
      <c r="L145" s="45">
        <f t="shared" si="36"/>
        <v>0</v>
      </c>
      <c r="M145" s="109" t="str">
        <f>IF(tblForecast[[#This Row],[un_2018]]=0,"", tblForecast[[#This Row],[sl_2018]]*10^6/tblForecast[[#This Row],[un_2018]])</f>
        <v/>
      </c>
      <c r="N145" s="109" t="str">
        <f>IF(tblForecast[[#This Row],[un_2019]]=0,"", tblForecast[[#This Row],[sl_2019]]*10^6/tblForecast[[#This Row],[un_2019]])</f>
        <v/>
      </c>
      <c r="O145" s="109" t="str">
        <f>IF(tblForecast[[#This Row],[un_2020]]=0,"", tblForecast[[#This Row],[sl_2020]]*10^6/tblForecast[[#This Row],[un_2020]])</f>
        <v/>
      </c>
      <c r="P145" s="109" t="str">
        <f>IF(tblForecast[[#This Row],[un_2021]]=0,"", tblForecast[[#This Row],[sl_2021]]*10^6/tblForecast[[#This Row],[un_2021]])</f>
        <v/>
      </c>
      <c r="Q145" s="109" t="str">
        <f>IF(tblForecast[[#This Row],[un_2022]]=0,"", tblForecast[[#This Row],[sl_2022]]*10^6/tblForecast[[#This Row],[un_2022]])</f>
        <v/>
      </c>
      <c r="R145" s="109" t="str">
        <f>IF(tblForecast[[#This Row],[un_2023]]=0,"", tblForecast[[#This Row],[sl_2023]]*10^6/tblForecast[[#This Row],[un_2023]])</f>
        <v/>
      </c>
      <c r="S145" s="109" t="str">
        <f>IF(tblForecast[[#This Row],[un_2024]]=0,"", tblForecast[[#This Row],[sl_2024]]*10^6/tblForecast[[#This Row],[un_2024]])</f>
        <v/>
      </c>
      <c r="T145" s="109" t="str">
        <f>IF(tblForecast[[#This Row],[un_2025]]=0,"", tblForecast[[#This Row],[sl_2025]]*10^6/tblForecast[[#This Row],[un_2025]])</f>
        <v/>
      </c>
      <c r="U145" s="109" t="str">
        <f>IF(tblForecast[[#This Row],[un_2026]]=0,"", tblForecast[[#This Row],[sl_2026]]*10^6/tblForecast[[#This Row],[un_2026]])</f>
        <v/>
      </c>
      <c r="V145" s="109" t="str">
        <f>IF(tblForecast[[#This Row],[un_2027]]=0,"", tblForecast[[#This Row],[sl_2027]]*10^6/tblForecast[[#This Row],[un_2027]])</f>
        <v/>
      </c>
      <c r="W145" s="109" t="str">
        <f>IF(tblForecast[[#This Row],[un_2028]]=0,"", tblForecast[[#This Row],[sl_2028]]*10^6/tblForecast[[#This Row],[un_2028]])</f>
        <v/>
      </c>
      <c r="X145" s="110">
        <f>X124</f>
        <v>0</v>
      </c>
      <c r="Y145" s="110">
        <f t="shared" ref="Y145:AH145" si="37">Y124</f>
        <v>0</v>
      </c>
      <c r="Z145" s="110">
        <f t="shared" si="37"/>
        <v>0</v>
      </c>
      <c r="AA145" s="110">
        <f t="shared" si="37"/>
        <v>0</v>
      </c>
      <c r="AB145" s="110">
        <f t="shared" si="37"/>
        <v>0</v>
      </c>
      <c r="AC145" s="110">
        <f t="shared" si="37"/>
        <v>0</v>
      </c>
      <c r="AD145" s="110">
        <f t="shared" si="37"/>
        <v>0</v>
      </c>
      <c r="AE145" s="110">
        <f t="shared" si="37"/>
        <v>0</v>
      </c>
      <c r="AF145" s="110">
        <f t="shared" si="37"/>
        <v>0</v>
      </c>
      <c r="AG145" s="110">
        <f t="shared" si="37"/>
        <v>0</v>
      </c>
      <c r="AH145" s="110">
        <f t="shared" si="37"/>
        <v>0</v>
      </c>
      <c r="AI145" s="18">
        <v>1200</v>
      </c>
    </row>
    <row r="146" spans="1:35">
      <c r="A146" s="46" t="s">
        <v>335</v>
      </c>
      <c r="B146" s="45">
        <f>B125</f>
        <v>0</v>
      </c>
      <c r="C146" s="45">
        <f t="shared" ref="C146:L146" si="38">C125</f>
        <v>0</v>
      </c>
      <c r="D146" s="45">
        <f t="shared" si="38"/>
        <v>0</v>
      </c>
      <c r="E146" s="45">
        <f t="shared" si="38"/>
        <v>0</v>
      </c>
      <c r="F146" s="45">
        <f t="shared" si="38"/>
        <v>0</v>
      </c>
      <c r="G146" s="45">
        <f t="shared" si="38"/>
        <v>0</v>
      </c>
      <c r="H146" s="45">
        <f t="shared" si="38"/>
        <v>0</v>
      </c>
      <c r="I146" s="45">
        <f t="shared" si="38"/>
        <v>0</v>
      </c>
      <c r="J146" s="45">
        <f t="shared" si="38"/>
        <v>0</v>
      </c>
      <c r="K146" s="45">
        <f t="shared" si="38"/>
        <v>0</v>
      </c>
      <c r="L146" s="45">
        <f t="shared" si="38"/>
        <v>0</v>
      </c>
      <c r="M146" s="109" t="str">
        <f>IF(tblForecast[[#This Row],[un_2018]]=0,"", tblForecast[[#This Row],[sl_2018]]*10^6/tblForecast[[#This Row],[un_2018]])</f>
        <v/>
      </c>
      <c r="N146" s="109" t="str">
        <f>IF(tblForecast[[#This Row],[un_2019]]=0,"", tblForecast[[#This Row],[sl_2019]]*10^6/tblForecast[[#This Row],[un_2019]])</f>
        <v/>
      </c>
      <c r="O146" s="109" t="str">
        <f>IF(tblForecast[[#This Row],[un_2020]]=0,"", tblForecast[[#This Row],[sl_2020]]*10^6/tblForecast[[#This Row],[un_2020]])</f>
        <v/>
      </c>
      <c r="P146" s="109" t="str">
        <f>IF(tblForecast[[#This Row],[un_2021]]=0,"", tblForecast[[#This Row],[sl_2021]]*10^6/tblForecast[[#This Row],[un_2021]])</f>
        <v/>
      </c>
      <c r="Q146" s="109" t="str">
        <f>IF(tblForecast[[#This Row],[un_2022]]=0,"", tblForecast[[#This Row],[sl_2022]]*10^6/tblForecast[[#This Row],[un_2022]])</f>
        <v/>
      </c>
      <c r="R146" s="109" t="str">
        <f>IF(tblForecast[[#This Row],[un_2023]]=0,"", tblForecast[[#This Row],[sl_2023]]*10^6/tblForecast[[#This Row],[un_2023]])</f>
        <v/>
      </c>
      <c r="S146" s="109" t="str">
        <f>IF(tblForecast[[#This Row],[un_2024]]=0,"", tblForecast[[#This Row],[sl_2024]]*10^6/tblForecast[[#This Row],[un_2024]])</f>
        <v/>
      </c>
      <c r="T146" s="109" t="str">
        <f>IF(tblForecast[[#This Row],[un_2025]]=0,"", tblForecast[[#This Row],[sl_2025]]*10^6/tblForecast[[#This Row],[un_2025]])</f>
        <v/>
      </c>
      <c r="U146" s="109" t="str">
        <f>IF(tblForecast[[#This Row],[un_2026]]=0,"", tblForecast[[#This Row],[sl_2026]]*10^6/tblForecast[[#This Row],[un_2026]])</f>
        <v/>
      </c>
      <c r="V146" s="109" t="str">
        <f>IF(tblForecast[[#This Row],[un_2027]]=0,"", tblForecast[[#This Row],[sl_2027]]*10^6/tblForecast[[#This Row],[un_2027]])</f>
        <v/>
      </c>
      <c r="W146" s="109" t="str">
        <f>IF(tblForecast[[#This Row],[un_2028]]=0,"", tblForecast[[#This Row],[sl_2028]]*10^6/tblForecast[[#This Row],[un_2028]])</f>
        <v/>
      </c>
      <c r="X146" s="110">
        <f>X125</f>
        <v>0</v>
      </c>
      <c r="Y146" s="110">
        <f t="shared" ref="Y146:AH146" si="39">Y125</f>
        <v>0</v>
      </c>
      <c r="Z146" s="110">
        <f t="shared" si="39"/>
        <v>0</v>
      </c>
      <c r="AA146" s="110">
        <f t="shared" si="39"/>
        <v>0</v>
      </c>
      <c r="AB146" s="110">
        <f t="shared" si="39"/>
        <v>0</v>
      </c>
      <c r="AC146" s="110">
        <f t="shared" si="39"/>
        <v>0</v>
      </c>
      <c r="AD146" s="110">
        <f t="shared" si="39"/>
        <v>0</v>
      </c>
      <c r="AE146" s="110">
        <f t="shared" si="39"/>
        <v>0</v>
      </c>
      <c r="AF146" s="110">
        <f t="shared" si="39"/>
        <v>0</v>
      </c>
      <c r="AG146" s="110">
        <f t="shared" si="39"/>
        <v>0</v>
      </c>
      <c r="AH146" s="110">
        <f t="shared" si="39"/>
        <v>0</v>
      </c>
      <c r="AI146" s="18">
        <v>1600</v>
      </c>
    </row>
    <row r="147" spans="1:35">
      <c r="A147" s="46" t="s">
        <v>336</v>
      </c>
      <c r="B147" s="45">
        <f t="shared" ref="B147:L147" si="40">SUM(B105:B125)</f>
        <v>1281197</v>
      </c>
      <c r="C147" s="45">
        <f t="shared" si="40"/>
        <v>1540857</v>
      </c>
      <c r="D147" s="45">
        <f t="shared" si="40"/>
        <v>0</v>
      </c>
      <c r="E147" s="45">
        <f t="shared" si="40"/>
        <v>0</v>
      </c>
      <c r="F147" s="45">
        <f t="shared" si="40"/>
        <v>0</v>
      </c>
      <c r="G147" s="45">
        <f t="shared" si="40"/>
        <v>0</v>
      </c>
      <c r="H147" s="45">
        <f t="shared" si="40"/>
        <v>0</v>
      </c>
      <c r="I147" s="45">
        <f t="shared" si="40"/>
        <v>0</v>
      </c>
      <c r="J147" s="45">
        <f t="shared" si="40"/>
        <v>0</v>
      </c>
      <c r="K147" s="45">
        <f t="shared" si="40"/>
        <v>0</v>
      </c>
      <c r="L147" s="45">
        <f t="shared" si="40"/>
        <v>0</v>
      </c>
      <c r="M147" s="109">
        <f>IF(tblForecast[[#This Row],[un_2018]]=0,"", tblForecast[[#This Row],[sl_2018]]*10^6/tblForecast[[#This Row],[un_2018]])</f>
        <v>2932.6700696869625</v>
      </c>
      <c r="N147" s="109">
        <f>IF(tblForecast[[#This Row],[un_2019]]=0,"", tblForecast[[#This Row],[sl_2019]]*10^6/tblForecast[[#This Row],[un_2019]])</f>
        <v>2427.80138342707</v>
      </c>
      <c r="O147" s="109" t="str">
        <f>IF(tblForecast[[#This Row],[un_2020]]=0,"", tblForecast[[#This Row],[sl_2020]]*10^6/tblForecast[[#This Row],[un_2020]])</f>
        <v/>
      </c>
      <c r="P147" s="109" t="str">
        <f>IF(tblForecast[[#This Row],[un_2021]]=0,"", tblForecast[[#This Row],[sl_2021]]*10^6/tblForecast[[#This Row],[un_2021]])</f>
        <v/>
      </c>
      <c r="Q147" s="109" t="str">
        <f>IF(tblForecast[[#This Row],[un_2022]]=0,"", tblForecast[[#This Row],[sl_2022]]*10^6/tblForecast[[#This Row],[un_2022]])</f>
        <v/>
      </c>
      <c r="R147" s="109" t="str">
        <f>IF(tblForecast[[#This Row],[un_2023]]=0,"", tblForecast[[#This Row],[sl_2023]]*10^6/tblForecast[[#This Row],[un_2023]])</f>
        <v/>
      </c>
      <c r="S147" s="109" t="str">
        <f>IF(tblForecast[[#This Row],[un_2024]]=0,"", tblForecast[[#This Row],[sl_2024]]*10^6/tblForecast[[#This Row],[un_2024]])</f>
        <v/>
      </c>
      <c r="T147" s="109" t="str">
        <f>IF(tblForecast[[#This Row],[un_2025]]=0,"", tblForecast[[#This Row],[sl_2025]]*10^6/tblForecast[[#This Row],[un_2025]])</f>
        <v/>
      </c>
      <c r="U147" s="109" t="str">
        <f>IF(tblForecast[[#This Row],[un_2026]]=0,"", tblForecast[[#This Row],[sl_2026]]*10^6/tblForecast[[#This Row],[un_2026]])</f>
        <v/>
      </c>
      <c r="V147" s="109" t="str">
        <f>IF(tblForecast[[#This Row],[un_2027]]=0,"", tblForecast[[#This Row],[sl_2027]]*10^6/tblForecast[[#This Row],[un_2027]])</f>
        <v/>
      </c>
      <c r="W147" s="109" t="str">
        <f>IF(tblForecast[[#This Row],[un_2028]]=0,"", tblForecast[[#This Row],[sl_2028]]*10^6/tblForecast[[#This Row],[un_2028]])</f>
        <v/>
      </c>
      <c r="X147" s="110">
        <f t="shared" ref="X147:AH147" si="41">SUM(X105:X125)</f>
        <v>3757.3280952727268</v>
      </c>
      <c r="Y147" s="110">
        <f t="shared" si="41"/>
        <v>3740.8947562632848</v>
      </c>
      <c r="Z147" s="110">
        <f t="shared" si="41"/>
        <v>0</v>
      </c>
      <c r="AA147" s="110">
        <f t="shared" si="41"/>
        <v>0</v>
      </c>
      <c r="AB147" s="110">
        <f t="shared" si="41"/>
        <v>0</v>
      </c>
      <c r="AC147" s="110">
        <f t="shared" si="41"/>
        <v>0</v>
      </c>
      <c r="AD147" s="110">
        <f t="shared" si="41"/>
        <v>0</v>
      </c>
      <c r="AE147" s="110">
        <f t="shared" si="41"/>
        <v>0</v>
      </c>
      <c r="AF147" s="110">
        <f t="shared" si="41"/>
        <v>0</v>
      </c>
      <c r="AG147" s="110">
        <f t="shared" si="41"/>
        <v>0</v>
      </c>
      <c r="AH147" s="110">
        <f t="shared" si="41"/>
        <v>0</v>
      </c>
      <c r="AI147" s="18"/>
    </row>
    <row r="148" spans="1:35">
      <c r="A148" s="12"/>
      <c r="B148" s="56"/>
      <c r="C148" s="56"/>
      <c r="D148" s="56"/>
      <c r="E148" s="56"/>
      <c r="F148" s="56"/>
      <c r="G148" s="56"/>
      <c r="H148" s="56"/>
      <c r="I148" s="56"/>
      <c r="J148" s="56"/>
      <c r="K148" s="56"/>
      <c r="L148" s="56"/>
      <c r="M148" s="44"/>
      <c r="N148" s="44"/>
      <c r="O148" s="44"/>
      <c r="P148" s="44"/>
      <c r="Q148" s="44"/>
      <c r="R148" s="44"/>
      <c r="S148" s="44"/>
      <c r="T148" s="44"/>
      <c r="U148" s="44"/>
      <c r="V148" s="44"/>
      <c r="W148" s="44"/>
      <c r="X148" s="57"/>
      <c r="Y148" s="58">
        <f>Y147/X147-1</f>
        <v>-4.3736768769587764E-3</v>
      </c>
      <c r="Z148" s="58">
        <f t="shared" ref="Z148:AH148" si="42">Z147/Y147-1</f>
        <v>-1</v>
      </c>
      <c r="AA148" s="58" t="e">
        <f t="shared" si="42"/>
        <v>#DIV/0!</v>
      </c>
      <c r="AB148" s="58" t="e">
        <f>AB147/AA147-1</f>
        <v>#DIV/0!</v>
      </c>
      <c r="AC148" s="58" t="e">
        <f>AC147/AB147-1</f>
        <v>#DIV/0!</v>
      </c>
      <c r="AD148" s="58" t="e">
        <f t="shared" si="42"/>
        <v>#DIV/0!</v>
      </c>
      <c r="AE148" s="58" t="e">
        <f t="shared" si="42"/>
        <v>#DIV/0!</v>
      </c>
      <c r="AF148" s="58" t="e">
        <f t="shared" si="42"/>
        <v>#DIV/0!</v>
      </c>
      <c r="AG148" s="58" t="e">
        <f t="shared" si="42"/>
        <v>#DIV/0!</v>
      </c>
      <c r="AH148" s="58" t="e">
        <f t="shared" si="42"/>
        <v>#DIV/0!</v>
      </c>
    </row>
    <row r="150" spans="1:35">
      <c r="M150" s="59"/>
    </row>
    <row r="151" spans="1:35">
      <c r="V151" s="34"/>
    </row>
    <row r="152" spans="1:35">
      <c r="V152" s="34"/>
    </row>
    <row r="157" spans="1:35">
      <c r="A157" t="s">
        <v>275</v>
      </c>
    </row>
    <row r="158" spans="1:35">
      <c r="A158" s="40" t="s">
        <v>213</v>
      </c>
      <c r="B158" s="17">
        <v>2018</v>
      </c>
      <c r="C158" s="17">
        <v>2019</v>
      </c>
      <c r="D158" s="17">
        <v>2020</v>
      </c>
      <c r="E158" s="17">
        <v>2021</v>
      </c>
      <c r="F158" s="17">
        <v>2022</v>
      </c>
      <c r="G158" s="17">
        <v>2023</v>
      </c>
      <c r="H158" s="17">
        <v>2024</v>
      </c>
      <c r="I158" s="17">
        <v>2025</v>
      </c>
      <c r="J158" s="17">
        <v>2026</v>
      </c>
      <c r="K158" s="17">
        <v>2027</v>
      </c>
      <c r="L158" s="17">
        <v>2028</v>
      </c>
    </row>
    <row r="159" spans="1:35">
      <c r="A159" s="25" t="s">
        <v>250</v>
      </c>
      <c r="B159" s="28">
        <f>SUMPRODUCT(B26:B$104,$AI$26:$AI$104)/10^6</f>
        <v>969.55410577146779</v>
      </c>
      <c r="C159" s="28">
        <f>SUMPRODUCT(C26:C$104,$AI$26:$AI$104)/10^6</f>
        <v>1175.8112636635979</v>
      </c>
      <c r="D159" s="28">
        <f>SUMPRODUCT(D26:D$104,$AI$26:$AI$104)/10^6</f>
        <v>0</v>
      </c>
      <c r="E159" s="28">
        <f>SUMPRODUCT(E26:E$104,$AI$26:$AI$104)/10^6</f>
        <v>0</v>
      </c>
      <c r="F159" s="28">
        <f>SUMPRODUCT(F26:F$104,$AI$26:$AI$104)/10^6</f>
        <v>0</v>
      </c>
      <c r="G159" s="28">
        <f>SUMPRODUCT(G26:G$104,$AI$26:$AI$104)/10^6</f>
        <v>0</v>
      </c>
      <c r="H159" s="28">
        <f>SUMPRODUCT(H26:H$104,$AI$26:$AI$104)/10^6</f>
        <v>0</v>
      </c>
      <c r="I159" s="28">
        <f>SUMPRODUCT(I26:I$104,$AI$26:$AI$104)/10^6</f>
        <v>0</v>
      </c>
      <c r="J159" s="28">
        <f>SUMPRODUCT(J26:J$104,$AI$26:$AI$104)/10^6</f>
        <v>0</v>
      </c>
      <c r="K159" s="28">
        <f>SUMPRODUCT(K26:K$104,$AI$26:$AI$104)/10^6</f>
        <v>0</v>
      </c>
      <c r="L159" s="28">
        <f>SUMPRODUCT(L26:L$104,$AI$26:$AI$104)/10^6</f>
        <v>0</v>
      </c>
    </row>
    <row r="160" spans="1:35">
      <c r="A160" s="25" t="s">
        <v>251</v>
      </c>
      <c r="B160" s="30">
        <f>B159+2029</f>
        <v>2998.5541057714677</v>
      </c>
      <c r="C160" s="29">
        <f>B160+C159</f>
        <v>4174.3653694350651</v>
      </c>
      <c r="D160" s="29">
        <f>C160+D159</f>
        <v>4174.3653694350651</v>
      </c>
      <c r="E160" s="29">
        <f t="shared" ref="E160:L160" si="43">D160+E159</f>
        <v>4174.3653694350651</v>
      </c>
      <c r="F160" s="29">
        <f t="shared" si="43"/>
        <v>4174.3653694350651</v>
      </c>
      <c r="G160" s="29">
        <f t="shared" si="43"/>
        <v>4174.3653694350651</v>
      </c>
      <c r="H160" s="29">
        <f t="shared" si="43"/>
        <v>4174.3653694350651</v>
      </c>
      <c r="I160" s="29">
        <f t="shared" si="43"/>
        <v>4174.3653694350651</v>
      </c>
      <c r="J160" s="29">
        <f t="shared" si="43"/>
        <v>4174.3653694350651</v>
      </c>
      <c r="K160" s="29">
        <f t="shared" si="43"/>
        <v>4174.3653694350651</v>
      </c>
      <c r="L160" s="29">
        <f t="shared" si="43"/>
        <v>4174.3653694350651</v>
      </c>
    </row>
    <row r="161" spans="1:23">
      <c r="A161" s="25" t="s">
        <v>252</v>
      </c>
      <c r="B161" s="26"/>
      <c r="C161" s="31">
        <f>C160/B160-1</f>
        <v>0.39212607883261286</v>
      </c>
      <c r="D161" s="31">
        <f t="shared" ref="D161:L161" si="44">D160/C160-1</f>
        <v>0</v>
      </c>
      <c r="E161" s="31">
        <f t="shared" si="44"/>
        <v>0</v>
      </c>
      <c r="F161" s="31">
        <f t="shared" si="44"/>
        <v>0</v>
      </c>
      <c r="G161" s="31">
        <f t="shared" si="44"/>
        <v>0</v>
      </c>
      <c r="H161" s="31">
        <f t="shared" si="44"/>
        <v>0</v>
      </c>
      <c r="I161" s="31">
        <f t="shared" si="44"/>
        <v>0</v>
      </c>
      <c r="J161" s="31">
        <f t="shared" si="44"/>
        <v>0</v>
      </c>
      <c r="K161" s="31">
        <f t="shared" si="44"/>
        <v>0</v>
      </c>
      <c r="L161" s="31">
        <f t="shared" si="44"/>
        <v>0</v>
      </c>
    </row>
    <row r="163" spans="1:23">
      <c r="A163" s="40" t="s">
        <v>214</v>
      </c>
      <c r="B163" s="17">
        <v>2018</v>
      </c>
      <c r="C163" s="17">
        <v>2019</v>
      </c>
      <c r="D163" s="17">
        <v>2020</v>
      </c>
      <c r="E163" s="17">
        <v>2021</v>
      </c>
      <c r="F163" s="17">
        <v>2022</v>
      </c>
      <c r="G163" s="17">
        <v>2023</v>
      </c>
      <c r="H163" s="17">
        <v>2024</v>
      </c>
      <c r="I163" s="17">
        <v>2025</v>
      </c>
      <c r="J163" s="17">
        <v>2026</v>
      </c>
      <c r="K163" s="17">
        <v>2027</v>
      </c>
      <c r="L163" s="17">
        <v>2028</v>
      </c>
    </row>
    <row r="164" spans="1:23">
      <c r="A164" s="25" t="s">
        <v>250</v>
      </c>
      <c r="B164" s="39">
        <f>SUMPRODUCT(B$105:B125,$AI$105:$AI$125)/10^6</f>
        <v>74.659689999999998</v>
      </c>
      <c r="C164" s="39">
        <f>SUMPRODUCT(C$105:C125,$AI$105:$AI$125)/10^6</f>
        <v>102.6967575</v>
      </c>
      <c r="D164" s="39">
        <f>SUMPRODUCT(D$105:D125,$AI$105:$AI$125)/10^6</f>
        <v>0</v>
      </c>
      <c r="E164" s="39">
        <f>SUMPRODUCT(E$105:E125,$AI$105:$AI$125)/10^6</f>
        <v>0</v>
      </c>
      <c r="F164" s="39">
        <f>SUMPRODUCT(F$105:F125,$AI$105:$AI$125)/10^6</f>
        <v>0</v>
      </c>
      <c r="G164" s="39">
        <f>SUMPRODUCT(G$105:G125,$AI$105:$AI$125)/10^6</f>
        <v>0</v>
      </c>
      <c r="H164" s="39">
        <f>SUMPRODUCT(H$105:H125,$AI$105:$AI$125)/10^6</f>
        <v>0</v>
      </c>
      <c r="I164" s="39">
        <f>SUMPRODUCT(I$105:I125,$AI$105:$AI$125)/10^6</f>
        <v>0</v>
      </c>
      <c r="J164" s="39">
        <f>SUMPRODUCT(J$105:J125,$AI$105:$AI$125)/10^6</f>
        <v>0</v>
      </c>
      <c r="K164" s="39">
        <f>SUMPRODUCT(K$105:K125,$AI$105:$AI$125)/10^6</f>
        <v>0</v>
      </c>
      <c r="L164" s="39">
        <f>SUMPRODUCT(L$105:L125,$AI$105:$AI$125)/10^6</f>
        <v>0</v>
      </c>
    </row>
    <row r="165" spans="1:23">
      <c r="A165" s="25" t="s">
        <v>251</v>
      </c>
      <c r="B165" s="30">
        <f>B164+116.53</f>
        <v>191.18968999999998</v>
      </c>
      <c r="C165" s="29">
        <f>B165+C164</f>
        <v>293.88644749999997</v>
      </c>
      <c r="D165" s="29">
        <f>C165+D164</f>
        <v>293.88644749999997</v>
      </c>
      <c r="E165" s="29">
        <f t="shared" ref="E165:L165" si="45">D165+E164</f>
        <v>293.88644749999997</v>
      </c>
      <c r="F165" s="29">
        <f t="shared" si="45"/>
        <v>293.88644749999997</v>
      </c>
      <c r="G165" s="29">
        <f t="shared" si="45"/>
        <v>293.88644749999997</v>
      </c>
      <c r="H165" s="29">
        <f t="shared" si="45"/>
        <v>293.88644749999997</v>
      </c>
      <c r="I165" s="29">
        <f t="shared" si="45"/>
        <v>293.88644749999997</v>
      </c>
      <c r="J165" s="29">
        <f t="shared" si="45"/>
        <v>293.88644749999997</v>
      </c>
      <c r="K165" s="29">
        <f t="shared" si="45"/>
        <v>293.88644749999997</v>
      </c>
      <c r="L165" s="29">
        <f t="shared" si="45"/>
        <v>293.88644749999997</v>
      </c>
    </row>
    <row r="166" spans="1:23">
      <c r="A166" s="25" t="s">
        <v>252</v>
      </c>
      <c r="B166" s="26"/>
      <c r="C166" s="31">
        <f>C165/B165-1</f>
        <v>0.53714589683157077</v>
      </c>
      <c r="D166" s="31">
        <f t="shared" ref="D166:L166" si="46">D165/C165-1</f>
        <v>0</v>
      </c>
      <c r="E166" s="31">
        <f t="shared" si="46"/>
        <v>0</v>
      </c>
      <c r="F166" s="31">
        <f t="shared" si="46"/>
        <v>0</v>
      </c>
      <c r="G166" s="31">
        <f t="shared" si="46"/>
        <v>0</v>
      </c>
      <c r="H166" s="31">
        <f t="shared" si="46"/>
        <v>0</v>
      </c>
      <c r="I166" s="31">
        <f t="shared" si="46"/>
        <v>0</v>
      </c>
      <c r="J166" s="31">
        <f t="shared" si="46"/>
        <v>0</v>
      </c>
      <c r="K166" s="31">
        <f t="shared" si="46"/>
        <v>0</v>
      </c>
      <c r="L166" s="31">
        <f t="shared" si="46"/>
        <v>0</v>
      </c>
    </row>
    <row r="170" spans="1:23" ht="21">
      <c r="A170" s="22" t="s">
        <v>343</v>
      </c>
      <c r="G170" s="84" t="s">
        <v>344</v>
      </c>
      <c r="R170" s="84" t="s">
        <v>345</v>
      </c>
    </row>
    <row r="171" spans="1:23">
      <c r="B171" s="49">
        <v>2018</v>
      </c>
      <c r="C171" s="83">
        <v>2019</v>
      </c>
      <c r="D171" s="83">
        <v>2020</v>
      </c>
      <c r="E171" s="83">
        <v>2021</v>
      </c>
      <c r="F171" s="83">
        <v>2022</v>
      </c>
      <c r="G171" s="83">
        <v>2023</v>
      </c>
      <c r="H171" s="83">
        <v>2024</v>
      </c>
      <c r="I171" s="83">
        <v>2025</v>
      </c>
      <c r="J171" s="83">
        <v>2026</v>
      </c>
      <c r="K171" s="83">
        <v>2027</v>
      </c>
      <c r="L171" s="83">
        <v>2028</v>
      </c>
      <c r="M171" s="49">
        <v>2018</v>
      </c>
      <c r="N171" s="83">
        <v>2019</v>
      </c>
      <c r="O171" s="83">
        <v>2020</v>
      </c>
      <c r="P171" s="83">
        <v>2021</v>
      </c>
      <c r="Q171" s="83">
        <v>2022</v>
      </c>
      <c r="R171" s="83">
        <v>2023</v>
      </c>
      <c r="S171" s="83">
        <v>2024</v>
      </c>
      <c r="T171" s="83">
        <v>2025</v>
      </c>
      <c r="U171" s="83">
        <v>2026</v>
      </c>
      <c r="V171" s="83">
        <v>2027</v>
      </c>
      <c r="W171" s="83">
        <v>2028</v>
      </c>
    </row>
    <row r="172" spans="1:23">
      <c r="A172" t="str">
        <f>Products!A67</f>
        <v>2x200 (400G-SR8)_100 m_OSFP, QSFP-DD</v>
      </c>
      <c r="B172" s="87">
        <v>20700</v>
      </c>
      <c r="C172" s="88">
        <v>54000</v>
      </c>
      <c r="D172" s="88">
        <v>330750</v>
      </c>
      <c r="E172" s="88">
        <v>1033669.3823999999</v>
      </c>
      <c r="F172" s="88">
        <v>823362.32699999993</v>
      </c>
      <c r="G172" s="88">
        <v>1128535.7328000001</v>
      </c>
      <c r="H172" s="88">
        <v>1407302.5238999999</v>
      </c>
      <c r="I172" s="88">
        <v>1429884.2831611764</v>
      </c>
      <c r="J172" s="88">
        <v>1083474.8726569412</v>
      </c>
      <c r="K172" s="88">
        <v>772252.43606343516</v>
      </c>
      <c r="L172" s="88">
        <v>508285.47403262113</v>
      </c>
      <c r="M172" s="93">
        <f t="shared" ref="M172:M194" si="47">10^-6*B172*INDEX($M$26:$W$148,MATCH($A172,$A$26:$A$148,0),MATCH(B$171,$B$171:$L$171))</f>
        <v>13.3308</v>
      </c>
      <c r="N172" s="94">
        <f t="shared" ref="N172:N194" si="48">10^-6*C172*INDEX($M$26:$W$148,MATCH($A172,$A$26:$A$148,0),MATCH(C$171,$B$171:$L$171))</f>
        <v>28.08</v>
      </c>
      <c r="O172" s="94">
        <f t="shared" ref="O172:O194" si="49">10^-6*D172*INDEX($M$26:$W$148,MATCH($A172,$A$26:$A$148,0),MATCH(D$171,$B$171:$L$171))</f>
        <v>0</v>
      </c>
      <c r="P172" s="94">
        <f t="shared" ref="P172:P194" si="50">10^-6*E172*INDEX($M$26:$W$148,MATCH($A172,$A$26:$A$148,0),MATCH(E$171,$B$171:$L$171))</f>
        <v>0</v>
      </c>
      <c r="Q172" s="94">
        <f t="shared" ref="Q172:Q194" si="51">10^-6*F172*INDEX($M$26:$W$148,MATCH($A172,$A$26:$A$148,0),MATCH(F$171,$B$171:$L$171))</f>
        <v>0</v>
      </c>
      <c r="R172" s="94">
        <f t="shared" ref="R172:R194" si="52">10^-6*G172*INDEX($M$26:$W$148,MATCH($A172,$A$26:$A$148,0),MATCH(G$171,$B$171:$L$171))</f>
        <v>0</v>
      </c>
      <c r="S172" s="94">
        <f t="shared" ref="S172:S194" si="53">10^-6*H172*INDEX($M$26:$W$148,MATCH($A172,$A$26:$A$148,0),MATCH(H$171,$B$171:$L$171))</f>
        <v>0</v>
      </c>
      <c r="T172" s="94">
        <f t="shared" ref="T172:T194" si="54">10^-6*I172*INDEX($M$26:$W$148,MATCH($A172,$A$26:$A$148,0),MATCH(I$171,$B$171:$L$171))</f>
        <v>0</v>
      </c>
      <c r="U172" s="94">
        <f t="shared" ref="U172:U194" si="55">10^-6*J172*INDEX($M$26:$W$148,MATCH($A172,$A$26:$A$148,0),MATCH(J$171,$B$171:$L$171))</f>
        <v>0</v>
      </c>
      <c r="V172" s="94">
        <f t="shared" ref="V172:V194" si="56">10^-6*K172*INDEX($M$26:$W$148,MATCH($A172,$A$26:$A$148,0),MATCH(K$171,$B$171:$L$171))</f>
        <v>0</v>
      </c>
      <c r="W172" s="94">
        <f t="shared" ref="W172:W194" si="57">10^-6*L172*INDEX($M$26:$W$148,MATCH($A172,$A$26:$A$148,0),MATCH(L$171,$B$171:$L$171))</f>
        <v>0</v>
      </c>
    </row>
    <row r="173" spans="1:23">
      <c r="A173" t="str">
        <f>Products!A68</f>
        <v>400G SR4_100 m_OSFP, QSFP-DD</v>
      </c>
      <c r="B173" s="89">
        <v>0</v>
      </c>
      <c r="C173" s="41">
        <v>0</v>
      </c>
      <c r="D173" s="41">
        <v>3000</v>
      </c>
      <c r="E173" s="41">
        <v>9000</v>
      </c>
      <c r="F173" s="41">
        <v>10000</v>
      </c>
      <c r="G173" s="41">
        <v>486000</v>
      </c>
      <c r="H173" s="41">
        <v>1053000</v>
      </c>
      <c r="I173" s="41">
        <v>1638750</v>
      </c>
      <c r="J173" s="41">
        <v>1751250</v>
      </c>
      <c r="K173" s="41">
        <v>1796437.5</v>
      </c>
      <c r="L173" s="41">
        <v>1574805</v>
      </c>
      <c r="M173" s="95">
        <f t="shared" si="47"/>
        <v>0</v>
      </c>
      <c r="N173" s="96">
        <f t="shared" si="48"/>
        <v>0</v>
      </c>
      <c r="O173" s="96">
        <f t="shared" si="49"/>
        <v>0</v>
      </c>
      <c r="P173" s="96">
        <f t="shared" si="50"/>
        <v>0</v>
      </c>
      <c r="Q173" s="96">
        <f t="shared" si="51"/>
        <v>0</v>
      </c>
      <c r="R173" s="96">
        <f t="shared" si="52"/>
        <v>0</v>
      </c>
      <c r="S173" s="96">
        <f t="shared" si="53"/>
        <v>0</v>
      </c>
      <c r="T173" s="96">
        <f t="shared" si="54"/>
        <v>0</v>
      </c>
      <c r="U173" s="96">
        <f t="shared" si="55"/>
        <v>0</v>
      </c>
      <c r="V173" s="96">
        <f t="shared" si="56"/>
        <v>0</v>
      </c>
      <c r="W173" s="96">
        <f t="shared" si="57"/>
        <v>0</v>
      </c>
    </row>
    <row r="174" spans="1:23">
      <c r="A174" t="str">
        <f>Products!A69</f>
        <v>400G DR4_500 m_OSFP, QSFP-DD, QSFP112</v>
      </c>
      <c r="B174" s="89">
        <v>1400</v>
      </c>
      <c r="C174" s="41">
        <v>17569.8</v>
      </c>
      <c r="D174" s="41">
        <v>170722.2</v>
      </c>
      <c r="E174" s="41">
        <v>590449.99999999988</v>
      </c>
      <c r="F174" s="41">
        <v>731205.00000000012</v>
      </c>
      <c r="G174" s="41">
        <v>938059.10613760026</v>
      </c>
      <c r="H174" s="41">
        <v>1203612.8817373293</v>
      </c>
      <c r="I174" s="41">
        <v>1190001.327021471</v>
      </c>
      <c r="J174" s="41">
        <v>1107703.8102434778</v>
      </c>
      <c r="K174" s="41">
        <v>790893.38326936087</v>
      </c>
      <c r="L174" s="41">
        <v>369139.0029306612</v>
      </c>
      <c r="M174" s="95">
        <f t="shared" si="47"/>
        <v>1.54</v>
      </c>
      <c r="N174" s="96">
        <f t="shared" si="48"/>
        <v>14.324336178000001</v>
      </c>
      <c r="O174" s="96">
        <f t="shared" si="49"/>
        <v>0</v>
      </c>
      <c r="P174" s="96">
        <f t="shared" si="50"/>
        <v>0</v>
      </c>
      <c r="Q174" s="96">
        <f t="shared" si="51"/>
        <v>0</v>
      </c>
      <c r="R174" s="96">
        <f t="shared" si="52"/>
        <v>0</v>
      </c>
      <c r="S174" s="96">
        <f t="shared" si="53"/>
        <v>0</v>
      </c>
      <c r="T174" s="96">
        <f t="shared" si="54"/>
        <v>0</v>
      </c>
      <c r="U174" s="96">
        <f t="shared" si="55"/>
        <v>0</v>
      </c>
      <c r="V174" s="96">
        <f t="shared" si="56"/>
        <v>0</v>
      </c>
      <c r="W174" s="96">
        <f t="shared" si="57"/>
        <v>0</v>
      </c>
    </row>
    <row r="175" spans="1:23">
      <c r="A175" t="str">
        <f>Products!A70</f>
        <v>2x(200G FR4)_2 km_OSFP</v>
      </c>
      <c r="B175" s="89">
        <v>12000</v>
      </c>
      <c r="C175" s="41">
        <v>50350</v>
      </c>
      <c r="D175" s="41">
        <v>233999.99999999997</v>
      </c>
      <c r="E175" s="41">
        <v>398139.99999999994</v>
      </c>
      <c r="F175" s="41">
        <v>479999.99999999988</v>
      </c>
      <c r="G175" s="41">
        <v>270000</v>
      </c>
      <c r="H175" s="41">
        <v>89100</v>
      </c>
      <c r="I175" s="41">
        <v>36309.599999999999</v>
      </c>
      <c r="J175" s="41">
        <v>10374.480000000001</v>
      </c>
      <c r="K175" s="41">
        <v>3559.7880000000005</v>
      </c>
      <c r="L175" s="41">
        <v>1459.3446000000004</v>
      </c>
      <c r="M175" s="95">
        <f t="shared" si="47"/>
        <v>22.2</v>
      </c>
      <c r="N175" s="96">
        <f t="shared" si="48"/>
        <v>50.35</v>
      </c>
      <c r="O175" s="96">
        <f t="shared" si="49"/>
        <v>0</v>
      </c>
      <c r="P175" s="96">
        <f t="shared" si="50"/>
        <v>0</v>
      </c>
      <c r="Q175" s="96">
        <f t="shared" si="51"/>
        <v>0</v>
      </c>
      <c r="R175" s="96">
        <f t="shared" si="52"/>
        <v>0</v>
      </c>
      <c r="S175" s="96">
        <f t="shared" si="53"/>
        <v>0</v>
      </c>
      <c r="T175" s="96">
        <f t="shared" si="54"/>
        <v>0</v>
      </c>
      <c r="U175" s="96">
        <f t="shared" si="55"/>
        <v>0</v>
      </c>
      <c r="V175" s="96">
        <f t="shared" si="56"/>
        <v>0</v>
      </c>
      <c r="W175" s="96">
        <f t="shared" si="57"/>
        <v>0</v>
      </c>
    </row>
    <row r="176" spans="1:23">
      <c r="A176" t="str">
        <f>Products!A71</f>
        <v>400G FR4_2 km_OSFP, QSFP-DD, QSFP112</v>
      </c>
      <c r="B176" s="89">
        <v>1000</v>
      </c>
      <c r="C176" s="41">
        <v>2555</v>
      </c>
      <c r="D176" s="41">
        <v>13582</v>
      </c>
      <c r="E176" s="41">
        <v>136596.69999999998</v>
      </c>
      <c r="F176" s="41">
        <v>434564.10000000003</v>
      </c>
      <c r="G176" s="41">
        <v>615128.44722444005</v>
      </c>
      <c r="H176" s="41">
        <v>803326.03301994898</v>
      </c>
      <c r="I176" s="41">
        <v>835813.47290153895</v>
      </c>
      <c r="J176" s="41">
        <v>913179.23207846901</v>
      </c>
      <c r="K176" s="41">
        <v>875157.87046774558</v>
      </c>
      <c r="L176" s="41">
        <v>719132.79075107153</v>
      </c>
      <c r="M176" s="95">
        <f t="shared" si="47"/>
        <v>2</v>
      </c>
      <c r="N176" s="96">
        <f t="shared" si="48"/>
        <v>3.8726706791818861</v>
      </c>
      <c r="O176" s="96">
        <f t="shared" si="49"/>
        <v>0</v>
      </c>
      <c r="P176" s="96">
        <f t="shared" si="50"/>
        <v>0</v>
      </c>
      <c r="Q176" s="96">
        <f t="shared" si="51"/>
        <v>0</v>
      </c>
      <c r="R176" s="96">
        <f t="shared" si="52"/>
        <v>0</v>
      </c>
      <c r="S176" s="96">
        <f t="shared" si="53"/>
        <v>0</v>
      </c>
      <c r="T176" s="96">
        <f t="shared" si="54"/>
        <v>0</v>
      </c>
      <c r="U176" s="96">
        <f t="shared" si="55"/>
        <v>0</v>
      </c>
      <c r="V176" s="96">
        <f t="shared" si="56"/>
        <v>0</v>
      </c>
      <c r="W176" s="96">
        <f t="shared" si="57"/>
        <v>0</v>
      </c>
    </row>
    <row r="177" spans="1:23">
      <c r="A177" t="str">
        <f>Products!A72</f>
        <v>400G LR8, LR4_10 km_OSFP, QSFP-DD, QSFP112</v>
      </c>
      <c r="B177" s="89">
        <v>0</v>
      </c>
      <c r="C177" s="41">
        <v>0</v>
      </c>
      <c r="D177" s="41">
        <v>0</v>
      </c>
      <c r="E177" s="41">
        <v>0</v>
      </c>
      <c r="F177" s="41">
        <v>0</v>
      </c>
      <c r="G177" s="41">
        <v>0</v>
      </c>
      <c r="H177" s="41">
        <v>0</v>
      </c>
      <c r="I177" s="41">
        <v>0</v>
      </c>
      <c r="J177" s="41">
        <v>0</v>
      </c>
      <c r="K177" s="41">
        <v>0</v>
      </c>
      <c r="L177" s="41">
        <v>0</v>
      </c>
      <c r="M177" s="95">
        <f t="shared" si="47"/>
        <v>0</v>
      </c>
      <c r="N177" s="96">
        <f t="shared" si="48"/>
        <v>0</v>
      </c>
      <c r="O177" s="96">
        <f t="shared" si="49"/>
        <v>0</v>
      </c>
      <c r="P177" s="96">
        <f t="shared" si="50"/>
        <v>0</v>
      </c>
      <c r="Q177" s="96">
        <f t="shared" si="51"/>
        <v>0</v>
      </c>
      <c r="R177" s="96">
        <f t="shared" si="52"/>
        <v>0</v>
      </c>
      <c r="S177" s="96">
        <f t="shared" si="53"/>
        <v>0</v>
      </c>
      <c r="T177" s="96">
        <f t="shared" si="54"/>
        <v>0</v>
      </c>
      <c r="U177" s="96">
        <f t="shared" si="55"/>
        <v>0</v>
      </c>
      <c r="V177" s="96">
        <f t="shared" si="56"/>
        <v>0</v>
      </c>
      <c r="W177" s="96">
        <f t="shared" si="57"/>
        <v>0</v>
      </c>
    </row>
    <row r="178" spans="1:23">
      <c r="A178" t="str">
        <f>Products!A73</f>
        <v>400G ER4_40 km_TBD</v>
      </c>
      <c r="B178" s="89">
        <v>0</v>
      </c>
      <c r="C178" s="41">
        <v>0</v>
      </c>
      <c r="D178" s="41">
        <v>0</v>
      </c>
      <c r="E178" s="41">
        <v>0</v>
      </c>
      <c r="F178" s="41">
        <v>0</v>
      </c>
      <c r="G178" s="41">
        <v>0</v>
      </c>
      <c r="H178" s="41">
        <v>0</v>
      </c>
      <c r="I178" s="41">
        <v>0</v>
      </c>
      <c r="J178" s="41">
        <v>0</v>
      </c>
      <c r="K178" s="41">
        <v>0</v>
      </c>
      <c r="L178" s="41">
        <v>0</v>
      </c>
      <c r="M178" s="95">
        <f t="shared" si="47"/>
        <v>0</v>
      </c>
      <c r="N178" s="96">
        <f t="shared" si="48"/>
        <v>0</v>
      </c>
      <c r="O178" s="96">
        <f t="shared" si="49"/>
        <v>0</v>
      </c>
      <c r="P178" s="96">
        <f t="shared" si="50"/>
        <v>0</v>
      </c>
      <c r="Q178" s="96">
        <f t="shared" si="51"/>
        <v>0</v>
      </c>
      <c r="R178" s="96">
        <f t="shared" si="52"/>
        <v>0</v>
      </c>
      <c r="S178" s="96">
        <f t="shared" si="53"/>
        <v>0</v>
      </c>
      <c r="T178" s="96">
        <f t="shared" si="54"/>
        <v>0</v>
      </c>
      <c r="U178" s="96">
        <f t="shared" si="55"/>
        <v>0</v>
      </c>
      <c r="V178" s="96">
        <f t="shared" si="56"/>
        <v>0</v>
      </c>
      <c r="W178" s="96">
        <f t="shared" si="57"/>
        <v>0</v>
      </c>
    </row>
    <row r="179" spans="1:23">
      <c r="A179" t="str">
        <f>Products!A74</f>
        <v>800G SR8_50 m_OSFP, QSFP-DD800</v>
      </c>
      <c r="B179" s="89">
        <v>0</v>
      </c>
      <c r="C179" s="41">
        <v>0</v>
      </c>
      <c r="D179" s="41">
        <v>0</v>
      </c>
      <c r="E179" s="41">
        <v>1000</v>
      </c>
      <c r="F179" s="41">
        <v>20000</v>
      </c>
      <c r="G179" s="41">
        <v>271100</v>
      </c>
      <c r="H179" s="41">
        <v>1812230.081632653</v>
      </c>
      <c r="I179" s="41">
        <v>4400733.4142857147</v>
      </c>
      <c r="J179" s="41">
        <v>5562202.2693877546</v>
      </c>
      <c r="K179" s="41">
        <v>5527162.47510204</v>
      </c>
      <c r="L179" s="41">
        <v>5379327.794081632</v>
      </c>
      <c r="M179" s="95">
        <f t="shared" si="47"/>
        <v>0</v>
      </c>
      <c r="N179" s="96">
        <f t="shared" si="48"/>
        <v>0</v>
      </c>
      <c r="O179" s="96">
        <f t="shared" si="49"/>
        <v>0</v>
      </c>
      <c r="P179" s="96">
        <f t="shared" si="50"/>
        <v>0</v>
      </c>
      <c r="Q179" s="96">
        <f t="shared" si="51"/>
        <v>0</v>
      </c>
      <c r="R179" s="96">
        <f t="shared" si="52"/>
        <v>0</v>
      </c>
      <c r="S179" s="96">
        <f t="shared" si="53"/>
        <v>0</v>
      </c>
      <c r="T179" s="96">
        <f t="shared" si="54"/>
        <v>0</v>
      </c>
      <c r="U179" s="96">
        <f t="shared" si="55"/>
        <v>0</v>
      </c>
      <c r="V179" s="96">
        <f t="shared" si="56"/>
        <v>0</v>
      </c>
      <c r="W179" s="96">
        <f t="shared" si="57"/>
        <v>0</v>
      </c>
    </row>
    <row r="180" spans="1:23">
      <c r="A180" t="str">
        <f>Products!A75</f>
        <v>800G DR8, DR4_500 m_OSFP, QSFP-DD800</v>
      </c>
      <c r="B180" s="89">
        <v>0</v>
      </c>
      <c r="C180" s="41">
        <v>0</v>
      </c>
      <c r="D180" s="41">
        <v>0</v>
      </c>
      <c r="E180" s="41">
        <v>3000</v>
      </c>
      <c r="F180" s="41">
        <v>20000</v>
      </c>
      <c r="G180" s="41">
        <v>125534</v>
      </c>
      <c r="H180" s="41">
        <v>361616</v>
      </c>
      <c r="I180" s="41">
        <v>1182876.1959608321</v>
      </c>
      <c r="J180" s="41">
        <v>2381283.14998776</v>
      </c>
      <c r="K180" s="41">
        <v>3413059.8886744184</v>
      </c>
      <c r="L180" s="41">
        <v>4423997.4383368008</v>
      </c>
      <c r="M180" s="95">
        <f t="shared" si="47"/>
        <v>0</v>
      </c>
      <c r="N180" s="96">
        <f t="shared" si="48"/>
        <v>0</v>
      </c>
      <c r="O180" s="96">
        <f t="shared" si="49"/>
        <v>0</v>
      </c>
      <c r="P180" s="96">
        <f t="shared" si="50"/>
        <v>0</v>
      </c>
      <c r="Q180" s="96">
        <f t="shared" si="51"/>
        <v>0</v>
      </c>
      <c r="R180" s="96">
        <f t="shared" si="52"/>
        <v>0</v>
      </c>
      <c r="S180" s="96">
        <f t="shared" si="53"/>
        <v>0</v>
      </c>
      <c r="T180" s="96">
        <f t="shared" si="54"/>
        <v>0</v>
      </c>
      <c r="U180" s="96">
        <f t="shared" si="55"/>
        <v>0</v>
      </c>
      <c r="V180" s="96">
        <f t="shared" si="56"/>
        <v>0</v>
      </c>
      <c r="W180" s="96">
        <f t="shared" si="57"/>
        <v>0</v>
      </c>
    </row>
    <row r="181" spans="1:23">
      <c r="A181" t="str">
        <f>Products!A76</f>
        <v>2x(400G FR4), 800G FR4_2 km_OSFP, QSFP-DD800</v>
      </c>
      <c r="B181" s="89">
        <v>0</v>
      </c>
      <c r="C181" s="41">
        <v>0</v>
      </c>
      <c r="D181" s="41">
        <v>0</v>
      </c>
      <c r="E181" s="41">
        <v>3000</v>
      </c>
      <c r="F181" s="41">
        <v>20000</v>
      </c>
      <c r="G181" s="41">
        <v>317620</v>
      </c>
      <c r="H181" s="41">
        <v>1269590</v>
      </c>
      <c r="I181" s="41">
        <v>2308122.2399999998</v>
      </c>
      <c r="J181" s="41">
        <v>3070325.107199999</v>
      </c>
      <c r="K181" s="41">
        <v>3414364.9416824458</v>
      </c>
      <c r="L181" s="41">
        <v>3751456.6344432938</v>
      </c>
      <c r="M181" s="95">
        <f t="shared" si="47"/>
        <v>0</v>
      </c>
      <c r="N181" s="96">
        <f t="shared" si="48"/>
        <v>0</v>
      </c>
      <c r="O181" s="96">
        <f t="shared" si="49"/>
        <v>0</v>
      </c>
      <c r="P181" s="96">
        <f t="shared" si="50"/>
        <v>0</v>
      </c>
      <c r="Q181" s="96">
        <f t="shared" si="51"/>
        <v>0</v>
      </c>
      <c r="R181" s="96">
        <f t="shared" si="52"/>
        <v>0</v>
      </c>
      <c r="S181" s="96">
        <f t="shared" si="53"/>
        <v>0</v>
      </c>
      <c r="T181" s="96">
        <f t="shared" si="54"/>
        <v>0</v>
      </c>
      <c r="U181" s="96">
        <f t="shared" si="55"/>
        <v>0</v>
      </c>
      <c r="V181" s="96">
        <f t="shared" si="56"/>
        <v>0</v>
      </c>
      <c r="W181" s="96">
        <f t="shared" si="57"/>
        <v>0</v>
      </c>
    </row>
    <row r="182" spans="1:23">
      <c r="A182" t="str">
        <f>Products!A77</f>
        <v>800G LR8, LR4_6, 10 km_TBD</v>
      </c>
      <c r="B182" s="89">
        <v>0</v>
      </c>
      <c r="C182" s="41">
        <v>0</v>
      </c>
      <c r="D182" s="41">
        <v>0</v>
      </c>
      <c r="E182" s="41">
        <v>0</v>
      </c>
      <c r="F182" s="41">
        <v>0</v>
      </c>
      <c r="G182" s="41">
        <v>0</v>
      </c>
      <c r="H182" s="41">
        <v>0</v>
      </c>
      <c r="I182" s="41">
        <v>0</v>
      </c>
      <c r="J182" s="41">
        <v>0</v>
      </c>
      <c r="K182" s="41">
        <v>0</v>
      </c>
      <c r="L182" s="41">
        <v>0</v>
      </c>
      <c r="M182" s="95">
        <f t="shared" si="47"/>
        <v>0</v>
      </c>
      <c r="N182" s="96">
        <f t="shared" si="48"/>
        <v>0</v>
      </c>
      <c r="O182" s="96">
        <f t="shared" si="49"/>
        <v>0</v>
      </c>
      <c r="P182" s="96">
        <f t="shared" si="50"/>
        <v>0</v>
      </c>
      <c r="Q182" s="96">
        <f t="shared" si="51"/>
        <v>0</v>
      </c>
      <c r="R182" s="96">
        <f t="shared" si="52"/>
        <v>0</v>
      </c>
      <c r="S182" s="96">
        <f t="shared" si="53"/>
        <v>0</v>
      </c>
      <c r="T182" s="96">
        <f t="shared" si="54"/>
        <v>0</v>
      </c>
      <c r="U182" s="96">
        <f t="shared" si="55"/>
        <v>0</v>
      </c>
      <c r="V182" s="96">
        <f t="shared" si="56"/>
        <v>0</v>
      </c>
      <c r="W182" s="96">
        <f t="shared" si="57"/>
        <v>0</v>
      </c>
    </row>
    <row r="183" spans="1:23">
      <c r="A183" t="str">
        <f>Products!A78</f>
        <v>800G LR (ZRlite)_10 km, 20 km_TBD</v>
      </c>
      <c r="B183" s="89">
        <v>0</v>
      </c>
      <c r="C183" s="41">
        <v>0</v>
      </c>
      <c r="D183" s="41">
        <v>0</v>
      </c>
      <c r="E183" s="41">
        <v>0</v>
      </c>
      <c r="F183" s="41">
        <v>0</v>
      </c>
      <c r="G183" s="41">
        <v>0</v>
      </c>
      <c r="H183" s="41">
        <v>0</v>
      </c>
      <c r="I183" s="41">
        <v>0</v>
      </c>
      <c r="J183" s="41">
        <v>0</v>
      </c>
      <c r="K183" s="41">
        <v>0</v>
      </c>
      <c r="L183" s="41">
        <v>0</v>
      </c>
      <c r="M183" s="95">
        <f t="shared" si="47"/>
        <v>0</v>
      </c>
      <c r="N183" s="96">
        <f t="shared" si="48"/>
        <v>0</v>
      </c>
      <c r="O183" s="96">
        <f t="shared" si="49"/>
        <v>0</v>
      </c>
      <c r="P183" s="96">
        <f t="shared" si="50"/>
        <v>0</v>
      </c>
      <c r="Q183" s="96">
        <f t="shared" si="51"/>
        <v>0</v>
      </c>
      <c r="R183" s="96">
        <f t="shared" si="52"/>
        <v>0</v>
      </c>
      <c r="S183" s="96">
        <f t="shared" si="53"/>
        <v>0</v>
      </c>
      <c r="T183" s="96">
        <f t="shared" si="54"/>
        <v>0</v>
      </c>
      <c r="U183" s="96">
        <f t="shared" si="55"/>
        <v>0</v>
      </c>
      <c r="V183" s="96">
        <f t="shared" si="56"/>
        <v>0</v>
      </c>
      <c r="W183" s="96">
        <f t="shared" si="57"/>
        <v>0</v>
      </c>
    </row>
    <row r="184" spans="1:23">
      <c r="A184" t="str">
        <f>Products!A79</f>
        <v>800G ER4_40 km_TBD</v>
      </c>
      <c r="B184" s="89">
        <v>0</v>
      </c>
      <c r="C184" s="41">
        <v>0</v>
      </c>
      <c r="D184" s="41">
        <v>0</v>
      </c>
      <c r="E184" s="41">
        <v>0</v>
      </c>
      <c r="F184" s="41">
        <v>0</v>
      </c>
      <c r="G184" s="41">
        <v>0</v>
      </c>
      <c r="H184" s="41">
        <v>0</v>
      </c>
      <c r="I184" s="41">
        <v>0</v>
      </c>
      <c r="J184" s="41">
        <v>0</v>
      </c>
      <c r="K184" s="41">
        <v>0</v>
      </c>
      <c r="L184" s="41">
        <v>0</v>
      </c>
      <c r="M184" s="95">
        <f t="shared" si="47"/>
        <v>0</v>
      </c>
      <c r="N184" s="96">
        <f t="shared" si="48"/>
        <v>0</v>
      </c>
      <c r="O184" s="96">
        <f t="shared" si="49"/>
        <v>0</v>
      </c>
      <c r="P184" s="96">
        <f t="shared" si="50"/>
        <v>0</v>
      </c>
      <c r="Q184" s="96">
        <f t="shared" si="51"/>
        <v>0</v>
      </c>
      <c r="R184" s="96">
        <f t="shared" si="52"/>
        <v>0</v>
      </c>
      <c r="S184" s="96">
        <f t="shared" si="53"/>
        <v>0</v>
      </c>
      <c r="T184" s="96">
        <f t="shared" si="54"/>
        <v>0</v>
      </c>
      <c r="U184" s="96">
        <f t="shared" si="55"/>
        <v>0</v>
      </c>
      <c r="V184" s="96">
        <f t="shared" si="56"/>
        <v>0</v>
      </c>
      <c r="W184" s="96">
        <f t="shared" si="57"/>
        <v>0</v>
      </c>
    </row>
    <row r="185" spans="1:23">
      <c r="A185" t="str">
        <f>Products!A80</f>
        <v>1.6T SR16_100 m_OSFP-XD and TBD</v>
      </c>
      <c r="B185" s="89">
        <v>0</v>
      </c>
      <c r="C185" s="41">
        <v>0</v>
      </c>
      <c r="D185" s="41">
        <v>0</v>
      </c>
      <c r="E185" s="41">
        <v>0</v>
      </c>
      <c r="F185" s="41">
        <v>0</v>
      </c>
      <c r="G185" s="41">
        <v>0</v>
      </c>
      <c r="H185" s="41">
        <v>0</v>
      </c>
      <c r="I185" s="41">
        <v>0</v>
      </c>
      <c r="J185" s="41">
        <v>3000</v>
      </c>
      <c r="K185" s="41">
        <v>9000</v>
      </c>
      <c r="L185" s="41">
        <v>42809.375</v>
      </c>
      <c r="M185" s="95">
        <f t="shared" si="47"/>
        <v>0</v>
      </c>
      <c r="N185" s="96">
        <f t="shared" si="48"/>
        <v>0</v>
      </c>
      <c r="O185" s="96">
        <f t="shared" si="49"/>
        <v>0</v>
      </c>
      <c r="P185" s="96">
        <f t="shared" si="50"/>
        <v>0</v>
      </c>
      <c r="Q185" s="96">
        <f t="shared" si="51"/>
        <v>0</v>
      </c>
      <c r="R185" s="96">
        <f t="shared" si="52"/>
        <v>0</v>
      </c>
      <c r="S185" s="96">
        <f t="shared" si="53"/>
        <v>0</v>
      </c>
      <c r="T185" s="96">
        <f t="shared" si="54"/>
        <v>0</v>
      </c>
      <c r="U185" s="96">
        <f t="shared" si="55"/>
        <v>0</v>
      </c>
      <c r="V185" s="96">
        <f t="shared" si="56"/>
        <v>0</v>
      </c>
      <c r="W185" s="96">
        <f t="shared" si="57"/>
        <v>0</v>
      </c>
    </row>
    <row r="186" spans="1:23">
      <c r="A186" t="str">
        <f>Products!A81</f>
        <v>1.6T DR8_500 m_OSFP-XD and TBD</v>
      </c>
      <c r="B186" s="89">
        <v>0</v>
      </c>
      <c r="C186" s="41">
        <v>0</v>
      </c>
      <c r="D186" s="41">
        <v>0</v>
      </c>
      <c r="E186" s="41">
        <v>0</v>
      </c>
      <c r="F186" s="41">
        <v>0</v>
      </c>
      <c r="G186" s="41">
        <v>0</v>
      </c>
      <c r="H186" s="41">
        <v>10000</v>
      </c>
      <c r="I186" s="41">
        <v>57000</v>
      </c>
      <c r="J186" s="41">
        <v>200400</v>
      </c>
      <c r="K186" s="41">
        <v>774975</v>
      </c>
      <c r="L186" s="41">
        <v>2064671.7426470588</v>
      </c>
      <c r="M186" s="95">
        <f t="shared" si="47"/>
        <v>0</v>
      </c>
      <c r="N186" s="96">
        <f t="shared" si="48"/>
        <v>0</v>
      </c>
      <c r="O186" s="96">
        <f t="shared" si="49"/>
        <v>0</v>
      </c>
      <c r="P186" s="96">
        <f t="shared" si="50"/>
        <v>0</v>
      </c>
      <c r="Q186" s="96">
        <f t="shared" si="51"/>
        <v>0</v>
      </c>
      <c r="R186" s="96">
        <f t="shared" si="52"/>
        <v>0</v>
      </c>
      <c r="S186" s="96">
        <f t="shared" si="53"/>
        <v>0</v>
      </c>
      <c r="T186" s="96">
        <f t="shared" si="54"/>
        <v>0</v>
      </c>
      <c r="U186" s="96">
        <f t="shared" si="55"/>
        <v>0</v>
      </c>
      <c r="V186" s="96">
        <f t="shared" si="56"/>
        <v>0</v>
      </c>
      <c r="W186" s="96">
        <f t="shared" si="57"/>
        <v>0</v>
      </c>
    </row>
    <row r="187" spans="1:23">
      <c r="A187" t="str">
        <f>Products!A82</f>
        <v>1.6T FR8_2 km_OSFP-XD and TBD</v>
      </c>
      <c r="B187" s="89">
        <v>0</v>
      </c>
      <c r="C187" s="41">
        <v>0</v>
      </c>
      <c r="D187" s="41">
        <v>0</v>
      </c>
      <c r="E187" s="41">
        <v>0</v>
      </c>
      <c r="F187" s="41">
        <v>0</v>
      </c>
      <c r="G187" s="41">
        <v>0</v>
      </c>
      <c r="H187" s="41">
        <v>10000</v>
      </c>
      <c r="I187" s="41">
        <v>65000</v>
      </c>
      <c r="J187" s="41">
        <v>348562.5</v>
      </c>
      <c r="K187" s="41">
        <v>1164150</v>
      </c>
      <c r="L187" s="41">
        <v>2833776.375</v>
      </c>
      <c r="M187" s="95">
        <f t="shared" si="47"/>
        <v>0</v>
      </c>
      <c r="N187" s="96">
        <f t="shared" si="48"/>
        <v>0</v>
      </c>
      <c r="O187" s="96">
        <f t="shared" si="49"/>
        <v>0</v>
      </c>
      <c r="P187" s="96">
        <f t="shared" si="50"/>
        <v>0</v>
      </c>
      <c r="Q187" s="96">
        <f t="shared" si="51"/>
        <v>0</v>
      </c>
      <c r="R187" s="96">
        <f t="shared" si="52"/>
        <v>0</v>
      </c>
      <c r="S187" s="96">
        <f t="shared" si="53"/>
        <v>0</v>
      </c>
      <c r="T187" s="96">
        <f t="shared" si="54"/>
        <v>0</v>
      </c>
      <c r="U187" s="96">
        <f t="shared" si="55"/>
        <v>0</v>
      </c>
      <c r="V187" s="96">
        <f t="shared" si="56"/>
        <v>0</v>
      </c>
      <c r="W187" s="96">
        <f t="shared" si="57"/>
        <v>0</v>
      </c>
    </row>
    <row r="188" spans="1:23">
      <c r="A188" t="str">
        <f>Products!A83</f>
        <v>1.6T LR8_10 km_OSFP-XD and TBD</v>
      </c>
      <c r="B188" s="89">
        <v>0</v>
      </c>
      <c r="C188" s="41">
        <v>0</v>
      </c>
      <c r="D188" s="41">
        <v>0</v>
      </c>
      <c r="E188" s="41">
        <v>0</v>
      </c>
      <c r="F188" s="41">
        <v>0</v>
      </c>
      <c r="G188" s="41">
        <v>0</v>
      </c>
      <c r="H188" s="41">
        <v>0</v>
      </c>
      <c r="I188" s="41">
        <v>0</v>
      </c>
      <c r="J188" s="41">
        <v>0</v>
      </c>
      <c r="K188" s="41">
        <v>0</v>
      </c>
      <c r="L188" s="41">
        <v>0</v>
      </c>
      <c r="M188" s="95">
        <f t="shared" si="47"/>
        <v>0</v>
      </c>
      <c r="N188" s="96">
        <f t="shared" si="48"/>
        <v>0</v>
      </c>
      <c r="O188" s="96">
        <f t="shared" si="49"/>
        <v>0</v>
      </c>
      <c r="P188" s="96">
        <f t="shared" si="50"/>
        <v>0</v>
      </c>
      <c r="Q188" s="96">
        <f t="shared" si="51"/>
        <v>0</v>
      </c>
      <c r="R188" s="96">
        <f t="shared" si="52"/>
        <v>0</v>
      </c>
      <c r="S188" s="96">
        <f t="shared" si="53"/>
        <v>0</v>
      </c>
      <c r="T188" s="96">
        <f t="shared" si="54"/>
        <v>0</v>
      </c>
      <c r="U188" s="96">
        <f t="shared" si="55"/>
        <v>0</v>
      </c>
      <c r="V188" s="96">
        <f t="shared" si="56"/>
        <v>0</v>
      </c>
      <c r="W188" s="96">
        <f t="shared" si="57"/>
        <v>0</v>
      </c>
    </row>
    <row r="189" spans="1:23">
      <c r="A189" t="str">
        <f>Products!A84</f>
        <v>1.6T ER8_&gt;10 km_OSFP-XD and TBD</v>
      </c>
      <c r="B189" s="89">
        <v>0</v>
      </c>
      <c r="C189" s="41">
        <v>0</v>
      </c>
      <c r="D189" s="41">
        <v>0</v>
      </c>
      <c r="E189" s="41">
        <v>0</v>
      </c>
      <c r="F189" s="41">
        <v>0</v>
      </c>
      <c r="G189" s="41">
        <v>0</v>
      </c>
      <c r="H189" s="41">
        <v>0</v>
      </c>
      <c r="I189" s="41">
        <v>0</v>
      </c>
      <c r="J189" s="41">
        <v>0</v>
      </c>
      <c r="K189" s="41">
        <v>0</v>
      </c>
      <c r="L189" s="41">
        <v>0</v>
      </c>
      <c r="M189" s="95">
        <f t="shared" si="47"/>
        <v>0</v>
      </c>
      <c r="N189" s="96">
        <f t="shared" si="48"/>
        <v>0</v>
      </c>
      <c r="O189" s="96">
        <f t="shared" si="49"/>
        <v>0</v>
      </c>
      <c r="P189" s="96">
        <f t="shared" si="50"/>
        <v>0</v>
      </c>
      <c r="Q189" s="96">
        <f t="shared" si="51"/>
        <v>0</v>
      </c>
      <c r="R189" s="96">
        <f t="shared" si="52"/>
        <v>0</v>
      </c>
      <c r="S189" s="96">
        <f t="shared" si="53"/>
        <v>0</v>
      </c>
      <c r="T189" s="96">
        <f t="shared" si="54"/>
        <v>0</v>
      </c>
      <c r="U189" s="96">
        <f t="shared" si="55"/>
        <v>0</v>
      </c>
      <c r="V189" s="96">
        <f t="shared" si="56"/>
        <v>0</v>
      </c>
      <c r="W189" s="96">
        <f t="shared" si="57"/>
        <v>0</v>
      </c>
    </row>
    <row r="190" spans="1:23">
      <c r="A190" t="str">
        <f>Products!A85</f>
        <v>3.2T SR_100 m_OSFP-XD and TBD</v>
      </c>
      <c r="B190" s="89">
        <v>0</v>
      </c>
      <c r="C190" s="41">
        <v>0</v>
      </c>
      <c r="D190" s="41">
        <v>0</v>
      </c>
      <c r="E190" s="41">
        <v>0</v>
      </c>
      <c r="F190" s="41">
        <v>0</v>
      </c>
      <c r="G190" s="41">
        <v>0</v>
      </c>
      <c r="H190" s="41">
        <v>0</v>
      </c>
      <c r="I190" s="41">
        <v>0</v>
      </c>
      <c r="J190" s="41">
        <v>0</v>
      </c>
      <c r="K190" s="41">
        <v>0</v>
      </c>
      <c r="L190" s="41">
        <v>0</v>
      </c>
      <c r="M190" s="95">
        <f t="shared" si="47"/>
        <v>0</v>
      </c>
      <c r="N190" s="96">
        <f t="shared" si="48"/>
        <v>0</v>
      </c>
      <c r="O190" s="96">
        <f t="shared" si="49"/>
        <v>0</v>
      </c>
      <c r="P190" s="96">
        <f t="shared" si="50"/>
        <v>0</v>
      </c>
      <c r="Q190" s="96">
        <f t="shared" si="51"/>
        <v>0</v>
      </c>
      <c r="R190" s="96">
        <f t="shared" si="52"/>
        <v>0</v>
      </c>
      <c r="S190" s="96">
        <f t="shared" si="53"/>
        <v>0</v>
      </c>
      <c r="T190" s="96">
        <f t="shared" si="54"/>
        <v>0</v>
      </c>
      <c r="U190" s="96">
        <f t="shared" si="55"/>
        <v>0</v>
      </c>
      <c r="V190" s="96">
        <f t="shared" si="56"/>
        <v>0</v>
      </c>
      <c r="W190" s="96">
        <f t="shared" si="57"/>
        <v>0</v>
      </c>
    </row>
    <row r="191" spans="1:23">
      <c r="A191" t="str">
        <f>Products!A86</f>
        <v>3.2T DR_500 m_OSFP-XD and TBD</v>
      </c>
      <c r="B191" s="89">
        <v>0</v>
      </c>
      <c r="C191" s="41">
        <v>0</v>
      </c>
      <c r="D191" s="41">
        <v>0</v>
      </c>
      <c r="E191" s="41">
        <v>0</v>
      </c>
      <c r="F191" s="41">
        <v>0</v>
      </c>
      <c r="G191" s="41">
        <v>0</v>
      </c>
      <c r="H191" s="41">
        <v>0</v>
      </c>
      <c r="I191" s="41">
        <v>0</v>
      </c>
      <c r="J191" s="41">
        <v>0</v>
      </c>
      <c r="K191" s="41">
        <v>0</v>
      </c>
      <c r="L191" s="41">
        <v>0</v>
      </c>
      <c r="M191" s="95">
        <f t="shared" si="47"/>
        <v>0</v>
      </c>
      <c r="N191" s="96">
        <f t="shared" si="48"/>
        <v>0</v>
      </c>
      <c r="O191" s="96">
        <f t="shared" si="49"/>
        <v>0</v>
      </c>
      <c r="P191" s="96">
        <f t="shared" si="50"/>
        <v>0</v>
      </c>
      <c r="Q191" s="96">
        <f t="shared" si="51"/>
        <v>0</v>
      </c>
      <c r="R191" s="96">
        <f t="shared" si="52"/>
        <v>0</v>
      </c>
      <c r="S191" s="96">
        <f t="shared" si="53"/>
        <v>0</v>
      </c>
      <c r="T191" s="96">
        <f t="shared" si="54"/>
        <v>0</v>
      </c>
      <c r="U191" s="96">
        <f t="shared" si="55"/>
        <v>0</v>
      </c>
      <c r="V191" s="96">
        <f t="shared" si="56"/>
        <v>0</v>
      </c>
      <c r="W191" s="96">
        <f t="shared" si="57"/>
        <v>0</v>
      </c>
    </row>
    <row r="192" spans="1:23">
      <c r="A192" t="str">
        <f>Products!A87</f>
        <v>3.2T FR_2 km_OSFP-XD and TBD</v>
      </c>
      <c r="B192" s="89">
        <v>0</v>
      </c>
      <c r="C192" s="41">
        <v>0</v>
      </c>
      <c r="D192" s="41">
        <v>0</v>
      </c>
      <c r="E192" s="41">
        <v>0</v>
      </c>
      <c r="F192" s="41">
        <v>0</v>
      </c>
      <c r="G192" s="41">
        <v>0</v>
      </c>
      <c r="H192" s="41">
        <v>0</v>
      </c>
      <c r="I192" s="41">
        <v>0</v>
      </c>
      <c r="J192" s="41">
        <v>0</v>
      </c>
      <c r="K192" s="41">
        <v>0</v>
      </c>
      <c r="L192" s="41">
        <v>0</v>
      </c>
      <c r="M192" s="95">
        <f t="shared" si="47"/>
        <v>0</v>
      </c>
      <c r="N192" s="96">
        <f t="shared" si="48"/>
        <v>0</v>
      </c>
      <c r="O192" s="96">
        <f t="shared" si="49"/>
        <v>0</v>
      </c>
      <c r="P192" s="96">
        <f t="shared" si="50"/>
        <v>0</v>
      </c>
      <c r="Q192" s="96">
        <f t="shared" si="51"/>
        <v>0</v>
      </c>
      <c r="R192" s="96">
        <f t="shared" si="52"/>
        <v>0</v>
      </c>
      <c r="S192" s="96">
        <f t="shared" si="53"/>
        <v>0</v>
      </c>
      <c r="T192" s="96">
        <f t="shared" si="54"/>
        <v>0</v>
      </c>
      <c r="U192" s="96">
        <f t="shared" si="55"/>
        <v>0</v>
      </c>
      <c r="V192" s="96">
        <f t="shared" si="56"/>
        <v>0</v>
      </c>
      <c r="W192" s="96">
        <f t="shared" si="57"/>
        <v>0</v>
      </c>
    </row>
    <row r="193" spans="1:23">
      <c r="A193" t="str">
        <f>Products!A88</f>
        <v>3.2T LR_10 km_OSFP-XD and TBD</v>
      </c>
      <c r="B193" s="89">
        <v>0</v>
      </c>
      <c r="C193" s="41">
        <v>0</v>
      </c>
      <c r="D193" s="41">
        <v>0</v>
      </c>
      <c r="E193" s="41">
        <v>0</v>
      </c>
      <c r="F193" s="41">
        <v>0</v>
      </c>
      <c r="G193" s="41">
        <v>0</v>
      </c>
      <c r="H193" s="41">
        <v>0</v>
      </c>
      <c r="I193" s="41">
        <v>0</v>
      </c>
      <c r="J193" s="41">
        <v>0</v>
      </c>
      <c r="K193" s="41">
        <v>0</v>
      </c>
      <c r="L193" s="41">
        <v>0</v>
      </c>
      <c r="M193" s="95">
        <f t="shared" si="47"/>
        <v>0</v>
      </c>
      <c r="N193" s="96">
        <f t="shared" si="48"/>
        <v>0</v>
      </c>
      <c r="O193" s="96">
        <f t="shared" si="49"/>
        <v>0</v>
      </c>
      <c r="P193" s="96">
        <f t="shared" si="50"/>
        <v>0</v>
      </c>
      <c r="Q193" s="96">
        <f t="shared" si="51"/>
        <v>0</v>
      </c>
      <c r="R193" s="96">
        <f t="shared" si="52"/>
        <v>0</v>
      </c>
      <c r="S193" s="96">
        <f t="shared" si="53"/>
        <v>0</v>
      </c>
      <c r="T193" s="96">
        <f t="shared" si="54"/>
        <v>0</v>
      </c>
      <c r="U193" s="96">
        <f t="shared" si="55"/>
        <v>0</v>
      </c>
      <c r="V193" s="96">
        <f t="shared" si="56"/>
        <v>0</v>
      </c>
      <c r="W193" s="96">
        <f t="shared" si="57"/>
        <v>0</v>
      </c>
    </row>
    <row r="194" spans="1:23">
      <c r="A194" t="str">
        <f>Products!A89</f>
        <v>3.2T ER_&gt;10 km_OSFP-XD and TBD</v>
      </c>
      <c r="B194" s="90">
        <v>0</v>
      </c>
      <c r="C194" s="91">
        <v>0</v>
      </c>
      <c r="D194" s="91">
        <v>0</v>
      </c>
      <c r="E194" s="91">
        <v>0</v>
      </c>
      <c r="F194" s="91">
        <v>0</v>
      </c>
      <c r="G194" s="91">
        <v>0</v>
      </c>
      <c r="H194" s="91">
        <v>0</v>
      </c>
      <c r="I194" s="91">
        <v>0</v>
      </c>
      <c r="J194" s="91">
        <v>0</v>
      </c>
      <c r="K194" s="91">
        <v>0</v>
      </c>
      <c r="L194" s="91">
        <v>0</v>
      </c>
      <c r="M194" s="97">
        <f t="shared" si="47"/>
        <v>0</v>
      </c>
      <c r="N194" s="98">
        <f t="shared" si="48"/>
        <v>0</v>
      </c>
      <c r="O194" s="98">
        <f t="shared" si="49"/>
        <v>0</v>
      </c>
      <c r="P194" s="98">
        <f t="shared" si="50"/>
        <v>0</v>
      </c>
      <c r="Q194" s="98">
        <f t="shared" si="51"/>
        <v>0</v>
      </c>
      <c r="R194" s="98">
        <f t="shared" si="52"/>
        <v>0</v>
      </c>
      <c r="S194" s="98">
        <f t="shared" si="53"/>
        <v>0</v>
      </c>
      <c r="T194" s="98">
        <f t="shared" si="54"/>
        <v>0</v>
      </c>
      <c r="U194" s="98">
        <f t="shared" si="55"/>
        <v>0</v>
      </c>
      <c r="V194" s="98">
        <f t="shared" si="56"/>
        <v>0</v>
      </c>
      <c r="W194" s="98">
        <f t="shared" si="57"/>
        <v>0</v>
      </c>
    </row>
    <row r="195" spans="1:23">
      <c r="A195" s="103" t="s">
        <v>349</v>
      </c>
      <c r="B195" s="99"/>
      <c r="C195" s="100"/>
      <c r="D195" s="100">
        <f>SUM(D172:D194)</f>
        <v>752054.2</v>
      </c>
      <c r="E195" s="100">
        <f t="shared" ref="E195:L195" si="58">SUM(E172:E194)</f>
        <v>2174856.0823999997</v>
      </c>
      <c r="F195" s="100">
        <f t="shared" si="58"/>
        <v>2539131.4270000001</v>
      </c>
      <c r="G195" s="100">
        <f t="shared" si="58"/>
        <v>4151977.2861620402</v>
      </c>
      <c r="H195" s="100">
        <f t="shared" si="58"/>
        <v>8019777.5202899314</v>
      </c>
      <c r="I195" s="100">
        <f t="shared" si="58"/>
        <v>13144490.533330735</v>
      </c>
      <c r="J195" s="100">
        <f t="shared" si="58"/>
        <v>16431755.421554403</v>
      </c>
      <c r="K195" s="100">
        <f t="shared" si="58"/>
        <v>18541013.283259448</v>
      </c>
      <c r="L195" s="100">
        <f t="shared" si="58"/>
        <v>21668860.971823141</v>
      </c>
      <c r="M195" s="101">
        <f t="shared" ref="M195" si="59">SUM(M172:M194)</f>
        <v>39.070799999999998</v>
      </c>
      <c r="N195" s="102">
        <f t="shared" ref="N195" si="60">SUM(N172:N194)</f>
        <v>96.627006857181883</v>
      </c>
      <c r="O195" s="102">
        <f t="shared" ref="O195" si="61">SUM(O172:O194)</f>
        <v>0</v>
      </c>
      <c r="P195" s="102">
        <f t="shared" ref="P195" si="62">SUM(P172:P194)</f>
        <v>0</v>
      </c>
      <c r="Q195" s="102">
        <f t="shared" ref="Q195" si="63">SUM(Q172:Q194)</f>
        <v>0</v>
      </c>
      <c r="R195" s="102">
        <f t="shared" ref="R195" si="64">SUM(R172:R194)</f>
        <v>0</v>
      </c>
      <c r="S195" s="102">
        <f t="shared" ref="S195" si="65">SUM(S172:S194)</f>
        <v>0</v>
      </c>
      <c r="T195" s="102">
        <f t="shared" ref="T195" si="66">SUM(T172:T194)</f>
        <v>0</v>
      </c>
      <c r="U195" s="102">
        <f t="shared" ref="U195" si="67">SUM(U172:U194)</f>
        <v>0</v>
      </c>
      <c r="V195" s="102">
        <f t="shared" ref="V195" si="68">SUM(V172:V194)</f>
        <v>0</v>
      </c>
      <c r="W195" s="102">
        <f t="shared" ref="W195" si="69">SUM(W172:W194)</f>
        <v>0</v>
      </c>
    </row>
    <row r="196" spans="1:23">
      <c r="A196" s="104" t="s">
        <v>346</v>
      </c>
      <c r="B196" s="85"/>
      <c r="C196" s="17"/>
      <c r="D196" s="17"/>
      <c r="E196" s="86">
        <f>E195/D195-1</f>
        <v>1.8918874230075438</v>
      </c>
      <c r="F196" s="86">
        <f t="shared" ref="F196:L196" si="70">F195/E195-1</f>
        <v>0.16749399996988079</v>
      </c>
      <c r="G196" s="86">
        <f t="shared" si="70"/>
        <v>0.63519589494728423</v>
      </c>
      <c r="H196" s="86">
        <f t="shared" si="70"/>
        <v>0.93155621226992946</v>
      </c>
      <c r="I196" s="86">
        <f t="shared" si="70"/>
        <v>0.63900937402257685</v>
      </c>
      <c r="J196" s="86">
        <f t="shared" si="70"/>
        <v>0.25008689989833299</v>
      </c>
      <c r="K196" s="86">
        <f t="shared" si="70"/>
        <v>0.12836473082712874</v>
      </c>
      <c r="L196" s="86">
        <f t="shared" si="70"/>
        <v>0.1686988537669516</v>
      </c>
      <c r="M196" s="85"/>
      <c r="N196" s="17"/>
      <c r="O196" s="17"/>
      <c r="P196" s="86" t="e">
        <f>P195/O195-1</f>
        <v>#DIV/0!</v>
      </c>
      <c r="Q196" s="86" t="e">
        <f t="shared" ref="Q196" si="71">Q195/P195-1</f>
        <v>#DIV/0!</v>
      </c>
      <c r="R196" s="86" t="e">
        <f t="shared" ref="R196" si="72">R195/Q195-1</f>
        <v>#DIV/0!</v>
      </c>
      <c r="S196" s="86" t="e">
        <f t="shared" ref="S196" si="73">S195/R195-1</f>
        <v>#DIV/0!</v>
      </c>
      <c r="T196" s="86" t="e">
        <f t="shared" ref="T196" si="74">T195/S195-1</f>
        <v>#DIV/0!</v>
      </c>
      <c r="U196" s="86" t="e">
        <f t="shared" ref="U196" si="75">U195/T195-1</f>
        <v>#DIV/0!</v>
      </c>
      <c r="V196" s="86" t="e">
        <f t="shared" ref="V196" si="76">V195/U195-1</f>
        <v>#DIV/0!</v>
      </c>
      <c r="W196" s="86" t="e">
        <f t="shared" ref="W196" si="77">W195/V195-1</f>
        <v>#DIV/0!</v>
      </c>
    </row>
    <row r="197" spans="1:23">
      <c r="A197" s="116" t="s">
        <v>348</v>
      </c>
      <c r="B197" s="83"/>
      <c r="C197" s="83"/>
      <c r="D197" s="117">
        <f t="shared" ref="D197:L197" si="78">D137-D195</f>
        <v>-752054.2</v>
      </c>
      <c r="E197" s="117">
        <f t="shared" si="78"/>
        <v>-2174856.0823999997</v>
      </c>
      <c r="F197" s="117">
        <f t="shared" si="78"/>
        <v>-2539131.4270000001</v>
      </c>
      <c r="G197" s="117">
        <f t="shared" si="78"/>
        <v>-4151977.2861620402</v>
      </c>
      <c r="H197" s="117">
        <f t="shared" si="78"/>
        <v>-8019777.5202899314</v>
      </c>
      <c r="I197" s="117">
        <f t="shared" si="78"/>
        <v>-13144490.533330735</v>
      </c>
      <c r="J197" s="117">
        <f t="shared" si="78"/>
        <v>-16431755.421554403</v>
      </c>
      <c r="K197" s="117">
        <f t="shared" si="78"/>
        <v>-18541013.283259448</v>
      </c>
      <c r="L197" s="117">
        <f t="shared" si="78"/>
        <v>-21668860.971823141</v>
      </c>
      <c r="M197" s="83"/>
      <c r="N197" s="83"/>
      <c r="O197" s="118">
        <f t="shared" ref="O197:W197" si="79">Z147-O195</f>
        <v>0</v>
      </c>
      <c r="P197" s="118">
        <f t="shared" si="79"/>
        <v>0</v>
      </c>
      <c r="Q197" s="118">
        <f t="shared" si="79"/>
        <v>0</v>
      </c>
      <c r="R197" s="118">
        <f t="shared" si="79"/>
        <v>0</v>
      </c>
      <c r="S197" s="118">
        <f t="shared" si="79"/>
        <v>0</v>
      </c>
      <c r="T197" s="118">
        <f t="shared" si="79"/>
        <v>0</v>
      </c>
      <c r="U197" s="118">
        <f t="shared" si="79"/>
        <v>0</v>
      </c>
      <c r="V197" s="118">
        <f t="shared" si="79"/>
        <v>0</v>
      </c>
      <c r="W197" s="118">
        <f t="shared" si="79"/>
        <v>0</v>
      </c>
    </row>
    <row r="198" spans="1:23">
      <c r="Q198" s="31" t="e">
        <f>Q195/(Q195+Q197)</f>
        <v>#DIV/0!</v>
      </c>
      <c r="R198" s="31" t="e">
        <f t="shared" ref="R198:W198" si="80">R195/(R195+R197)</f>
        <v>#DIV/0!</v>
      </c>
      <c r="S198" s="31" t="e">
        <f t="shared" si="80"/>
        <v>#DIV/0!</v>
      </c>
      <c r="T198" s="31" t="e">
        <f t="shared" si="80"/>
        <v>#DIV/0!</v>
      </c>
      <c r="U198" s="31" t="e">
        <f t="shared" si="80"/>
        <v>#DIV/0!</v>
      </c>
      <c r="V198" s="31" t="e">
        <f t="shared" si="80"/>
        <v>#DIV/0!</v>
      </c>
      <c r="W198" s="31" t="e">
        <f t="shared" si="80"/>
        <v>#DIV/0!</v>
      </c>
    </row>
  </sheetData>
  <mergeCells count="3">
    <mergeCell ref="X24:AH24"/>
    <mergeCell ref="B24:L24"/>
    <mergeCell ref="M24:W24"/>
  </mergeCells>
  <phoneticPr fontId="24" type="noConversion"/>
  <dataValidations count="1">
    <dataValidation type="list" allowBlank="1" showInputMessage="1" showErrorMessage="1" sqref="A26:A125" xr:uid="{00000000-0002-0000-1300-000000000000}">
      <formula1>INDIRECT("Products[LookupCodes]")</formula1>
    </dataValidation>
  </dataValidations>
  <pageMargins left="0.7" right="0.7" top="0.75" bottom="0.75" header="0.3" footer="0.3"/>
  <pageSetup orientation="portrait" r:id="rId1"/>
  <drawing r:id="rId2"/>
  <legacy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V37"/>
  <sheetViews>
    <sheetView zoomScale="60" zoomScaleNormal="60" workbookViewId="0"/>
  </sheetViews>
  <sheetFormatPr defaultColWidth="8.8125" defaultRowHeight="15.75"/>
  <cols>
    <col min="1" max="1" width="1.6875" customWidth="1"/>
    <col min="3" max="3" width="7.1875" customWidth="1"/>
    <col min="12" max="12" width="9.3125" customWidth="1"/>
  </cols>
  <sheetData>
    <row r="1" spans="1:22">
      <c r="A1" s="1"/>
      <c r="B1" s="1"/>
      <c r="C1" s="1"/>
      <c r="D1" s="1"/>
      <c r="E1" s="1"/>
      <c r="F1" s="1"/>
      <c r="G1" s="1"/>
      <c r="H1" s="1"/>
      <c r="I1" s="1"/>
      <c r="J1" s="1"/>
      <c r="K1" s="1"/>
    </row>
    <row r="2" spans="1:22" ht="18">
      <c r="A2" s="1"/>
      <c r="B2" s="20" t="str">
        <f>'Figures in the Report'!B2</f>
        <v>LightCounting Mega Datacenter Report Database</v>
      </c>
      <c r="C2" s="70"/>
      <c r="D2" s="1"/>
      <c r="E2" s="38"/>
      <c r="F2" s="1"/>
      <c r="G2" s="1"/>
      <c r="H2" s="1"/>
      <c r="I2" s="1"/>
      <c r="J2" s="1"/>
      <c r="K2" s="1"/>
    </row>
    <row r="3" spans="1:22">
      <c r="B3" s="21" t="str">
        <f>'Figures in the Report'!B3</f>
        <v xml:space="preserve"> Mega Datacenter Report - July 2023  sample template</v>
      </c>
      <c r="C3" s="38"/>
      <c r="D3" s="1"/>
      <c r="E3" s="1"/>
      <c r="F3" s="1"/>
      <c r="G3" s="1"/>
      <c r="H3" s="1"/>
      <c r="I3" s="1"/>
      <c r="J3" s="1"/>
      <c r="K3" s="1"/>
    </row>
    <row r="4" spans="1:22" ht="21">
      <c r="B4" s="22" t="s">
        <v>380</v>
      </c>
      <c r="C4" s="38"/>
      <c r="E4" s="23"/>
      <c r="F4" s="2"/>
      <c r="G4" s="2"/>
      <c r="H4" s="2"/>
      <c r="I4" s="2"/>
      <c r="J4" s="2"/>
      <c r="K4" s="2"/>
    </row>
    <row r="5" spans="1:22">
      <c r="A5" s="1"/>
      <c r="B5" s="1"/>
      <c r="C5" s="1"/>
      <c r="D5" s="1"/>
      <c r="E5" s="1"/>
      <c r="F5" s="1"/>
      <c r="G5" s="1"/>
      <c r="H5" s="1"/>
      <c r="I5" s="1"/>
      <c r="J5" s="1"/>
      <c r="K5" s="1"/>
      <c r="L5" s="1"/>
      <c r="M5" s="1"/>
      <c r="N5" s="1"/>
      <c r="O5" s="1"/>
      <c r="P5" s="1"/>
      <c r="Q5" s="1"/>
      <c r="R5" s="1"/>
      <c r="S5" s="1"/>
      <c r="T5" s="1"/>
      <c r="U5" s="1"/>
      <c r="V5" s="1"/>
    </row>
    <row r="6" spans="1:22">
      <c r="A6" s="1"/>
      <c r="B6" s="1"/>
      <c r="C6" s="1"/>
      <c r="D6" s="1"/>
      <c r="E6" s="1"/>
      <c r="F6" s="1"/>
      <c r="G6" s="1"/>
      <c r="H6" s="1"/>
      <c r="I6" s="1"/>
      <c r="J6" s="1"/>
      <c r="K6" s="1"/>
      <c r="L6" s="1"/>
      <c r="M6" s="1"/>
      <c r="N6" s="1"/>
      <c r="O6" s="1"/>
      <c r="P6" s="1"/>
      <c r="Q6" s="1"/>
      <c r="R6" s="1"/>
      <c r="S6" s="1"/>
      <c r="T6" s="1"/>
      <c r="U6" s="1"/>
      <c r="V6" s="1"/>
    </row>
    <row r="7" spans="1:22">
      <c r="A7" s="1"/>
      <c r="B7" s="1"/>
      <c r="C7" s="1"/>
      <c r="D7" s="1"/>
      <c r="E7" s="1"/>
      <c r="F7" s="1"/>
      <c r="G7" s="1"/>
      <c r="H7" s="1"/>
      <c r="I7" s="1"/>
      <c r="J7" s="1"/>
      <c r="K7" s="1"/>
      <c r="L7" s="1"/>
      <c r="M7" s="1"/>
      <c r="N7" s="1"/>
      <c r="O7" s="1"/>
      <c r="P7" s="1"/>
      <c r="Q7" s="1"/>
      <c r="R7" s="1"/>
      <c r="S7" s="1"/>
      <c r="T7" s="1"/>
      <c r="U7" s="1"/>
      <c r="V7" s="1"/>
    </row>
    <row r="8" spans="1:22">
      <c r="A8" s="1"/>
      <c r="B8" s="1"/>
      <c r="C8" s="1"/>
      <c r="D8" s="1"/>
      <c r="E8" s="1"/>
      <c r="F8" s="1"/>
      <c r="G8" s="1"/>
      <c r="H8" s="1"/>
      <c r="I8" s="1"/>
      <c r="J8" s="1"/>
      <c r="K8" s="1"/>
      <c r="L8" s="1"/>
      <c r="M8" s="1"/>
      <c r="N8" s="1"/>
      <c r="O8" s="1"/>
      <c r="P8" s="1"/>
      <c r="Q8" s="1"/>
      <c r="R8" s="1"/>
      <c r="S8" s="1"/>
      <c r="T8" s="1"/>
      <c r="U8" s="1"/>
      <c r="V8" s="1"/>
    </row>
    <row r="9" spans="1:22">
      <c r="A9" s="1"/>
      <c r="B9" s="1"/>
      <c r="C9" s="1"/>
      <c r="D9" s="1"/>
      <c r="E9" s="1"/>
      <c r="F9" s="1"/>
      <c r="G9" s="1"/>
      <c r="H9" s="1"/>
      <c r="I9" s="1"/>
      <c r="J9" s="1"/>
      <c r="K9" s="1"/>
      <c r="L9" s="1"/>
      <c r="M9" s="1"/>
      <c r="N9" s="1"/>
      <c r="O9" s="1"/>
      <c r="P9" s="1"/>
      <c r="Q9" s="1"/>
      <c r="R9" s="1"/>
      <c r="S9" s="1"/>
      <c r="T9" s="1"/>
      <c r="U9" s="1"/>
      <c r="V9" s="1"/>
    </row>
    <row r="10" spans="1:22">
      <c r="A10" s="1"/>
      <c r="B10" s="1"/>
      <c r="C10" s="1"/>
      <c r="D10" s="1"/>
      <c r="E10" s="1"/>
      <c r="F10" s="1"/>
      <c r="G10" s="1"/>
      <c r="H10" s="1"/>
      <c r="I10" s="1"/>
      <c r="J10" s="1"/>
      <c r="K10" s="1"/>
      <c r="L10" s="1"/>
      <c r="M10" s="1"/>
      <c r="N10" s="1"/>
      <c r="O10" s="1"/>
      <c r="P10" s="1"/>
      <c r="Q10" s="1"/>
      <c r="R10" s="1"/>
      <c r="S10" s="1"/>
      <c r="T10" s="1"/>
      <c r="U10" s="1"/>
      <c r="V10" s="1"/>
    </row>
    <row r="11" spans="1:22">
      <c r="A11" s="1"/>
      <c r="B11" s="1"/>
      <c r="C11" s="1"/>
      <c r="D11" s="1"/>
      <c r="E11" s="1"/>
      <c r="F11" s="1"/>
      <c r="G11" s="1"/>
      <c r="H11" s="1"/>
      <c r="I11" s="1"/>
      <c r="J11" s="1"/>
      <c r="K11" s="1"/>
      <c r="L11" s="1"/>
      <c r="M11" s="1"/>
      <c r="N11" s="1"/>
      <c r="O11" s="1"/>
      <c r="P11" s="1"/>
      <c r="Q11" s="1"/>
      <c r="R11" s="1"/>
      <c r="S11" s="1"/>
      <c r="T11" s="1"/>
      <c r="U11" s="1"/>
      <c r="V11" s="1"/>
    </row>
    <row r="12" spans="1:22">
      <c r="A12" s="1"/>
      <c r="B12" s="1"/>
      <c r="C12" s="1"/>
      <c r="D12" s="1"/>
      <c r="E12" s="1"/>
      <c r="F12" s="1"/>
      <c r="G12" s="1"/>
      <c r="H12" s="1"/>
      <c r="I12" s="1"/>
      <c r="J12" s="1"/>
      <c r="K12" s="1"/>
      <c r="L12" s="1"/>
      <c r="M12" s="1"/>
      <c r="N12" s="1"/>
      <c r="O12" s="1"/>
      <c r="P12" s="1"/>
      <c r="Q12" s="1"/>
      <c r="R12" s="1"/>
      <c r="S12" s="1"/>
      <c r="T12" s="1"/>
      <c r="U12" s="1"/>
      <c r="V12" s="1"/>
    </row>
    <row r="13" spans="1:22">
      <c r="A13" s="1"/>
      <c r="B13" s="1"/>
      <c r="C13" s="1"/>
      <c r="D13" s="1"/>
      <c r="E13" s="1"/>
      <c r="F13" s="1"/>
      <c r="G13" s="1"/>
      <c r="H13" s="1"/>
      <c r="I13" s="1"/>
      <c r="J13" s="1"/>
      <c r="K13" s="1"/>
      <c r="L13" s="1"/>
      <c r="M13" s="1"/>
      <c r="N13" s="1"/>
      <c r="O13" s="1"/>
      <c r="P13" s="1"/>
      <c r="Q13" s="1"/>
      <c r="R13" s="1"/>
      <c r="S13" s="1"/>
      <c r="T13" s="1"/>
      <c r="U13" s="1"/>
      <c r="V13" s="1"/>
    </row>
    <row r="14" spans="1:22">
      <c r="A14" s="1"/>
      <c r="B14" s="1"/>
      <c r="C14" s="1"/>
      <c r="D14" s="1"/>
      <c r="E14" s="1"/>
      <c r="F14" s="1"/>
      <c r="G14" s="1"/>
      <c r="H14" s="1"/>
      <c r="I14" s="1"/>
      <c r="J14" s="1"/>
      <c r="K14" s="1"/>
      <c r="L14" s="1"/>
      <c r="M14" s="1"/>
      <c r="N14" s="1"/>
      <c r="O14" s="1"/>
      <c r="P14" s="1"/>
      <c r="Q14" s="1"/>
      <c r="R14" s="1"/>
      <c r="S14" s="1"/>
      <c r="T14" s="1"/>
      <c r="U14" s="1"/>
      <c r="V14" s="1"/>
    </row>
    <row r="15" spans="1:22">
      <c r="A15" s="1"/>
      <c r="B15" s="1"/>
      <c r="C15" s="1"/>
      <c r="D15" s="1"/>
      <c r="E15" s="1"/>
      <c r="F15" s="1"/>
      <c r="G15" s="1"/>
      <c r="H15" s="1"/>
      <c r="I15" s="1"/>
      <c r="J15" s="1"/>
      <c r="K15" s="1"/>
      <c r="L15" s="1"/>
      <c r="M15" s="1"/>
      <c r="N15" s="1"/>
      <c r="O15" s="1"/>
      <c r="P15" s="1"/>
      <c r="Q15" s="1"/>
      <c r="R15" s="1"/>
      <c r="S15" s="1"/>
      <c r="T15" s="1"/>
      <c r="U15" s="1"/>
      <c r="V15" s="1"/>
    </row>
    <row r="16" spans="1:22">
      <c r="A16" s="1"/>
      <c r="B16" s="1"/>
      <c r="C16" s="1"/>
      <c r="D16" s="1"/>
      <c r="E16" s="1"/>
      <c r="F16" s="1"/>
      <c r="G16" s="1"/>
      <c r="H16" s="1"/>
      <c r="I16" s="1"/>
      <c r="J16" s="1"/>
      <c r="K16" s="1"/>
      <c r="L16" s="1"/>
      <c r="M16" s="1"/>
      <c r="N16" s="1"/>
      <c r="O16" s="1"/>
      <c r="P16" s="1"/>
      <c r="Q16" s="1"/>
      <c r="R16" s="1"/>
      <c r="S16" s="1"/>
      <c r="T16" s="1"/>
      <c r="U16" s="1"/>
      <c r="V16" s="1"/>
    </row>
    <row r="17" spans="1:22">
      <c r="A17" s="1"/>
      <c r="B17" s="1"/>
      <c r="C17" s="1"/>
      <c r="D17" s="1"/>
      <c r="E17" s="1"/>
      <c r="F17" s="1"/>
      <c r="G17" s="1"/>
      <c r="H17" s="1"/>
      <c r="I17" s="1"/>
      <c r="J17" s="1"/>
      <c r="K17" s="1"/>
      <c r="L17" s="1"/>
      <c r="M17" s="1"/>
      <c r="N17" s="1"/>
      <c r="O17" s="1"/>
      <c r="P17" s="1"/>
      <c r="Q17" s="1"/>
      <c r="R17" s="1"/>
      <c r="S17" s="1"/>
      <c r="T17" s="1"/>
      <c r="U17" s="1"/>
      <c r="V17" s="1"/>
    </row>
    <row r="18" spans="1:22">
      <c r="A18" s="1"/>
      <c r="B18" s="1"/>
      <c r="C18" s="1"/>
      <c r="D18" s="1"/>
      <c r="E18" s="1"/>
      <c r="F18" s="1"/>
      <c r="G18" s="1"/>
      <c r="H18" s="1"/>
      <c r="I18" s="1"/>
      <c r="J18" s="1"/>
      <c r="K18" s="1"/>
      <c r="L18" s="1"/>
      <c r="M18" s="1"/>
      <c r="N18" s="1"/>
      <c r="O18" s="1"/>
      <c r="P18" s="1"/>
      <c r="Q18" s="1"/>
      <c r="R18" s="1"/>
      <c r="S18" s="1"/>
      <c r="T18" s="1"/>
      <c r="U18" s="1"/>
      <c r="V18" s="1"/>
    </row>
    <row r="19" spans="1:22">
      <c r="A19" s="1"/>
      <c r="B19" s="1"/>
      <c r="C19" s="1"/>
      <c r="D19" s="1"/>
      <c r="E19" s="1"/>
      <c r="F19" s="1"/>
      <c r="G19" s="1"/>
      <c r="H19" s="1"/>
      <c r="I19" s="1"/>
      <c r="J19" s="1"/>
      <c r="K19" s="1"/>
      <c r="L19" s="1"/>
      <c r="M19" s="1"/>
      <c r="N19" s="1"/>
      <c r="O19" s="1"/>
      <c r="P19" s="1"/>
      <c r="Q19" s="1"/>
      <c r="R19" s="1"/>
      <c r="S19" s="1"/>
      <c r="T19" s="1"/>
      <c r="U19" s="1"/>
      <c r="V19" s="1"/>
    </row>
    <row r="20" spans="1:22">
      <c r="A20" s="1"/>
      <c r="B20" s="1"/>
      <c r="C20" s="1"/>
      <c r="D20" s="1"/>
      <c r="E20" s="1"/>
      <c r="F20" s="1"/>
      <c r="G20" s="1"/>
      <c r="H20" s="1"/>
      <c r="I20" s="1"/>
      <c r="J20" s="1"/>
      <c r="K20" s="1"/>
      <c r="L20" s="1"/>
      <c r="M20" s="1"/>
      <c r="N20" s="1"/>
      <c r="O20" s="1"/>
      <c r="P20" s="1"/>
      <c r="Q20" s="1"/>
      <c r="R20" s="1"/>
      <c r="S20" s="1"/>
      <c r="T20" s="1"/>
      <c r="U20" s="1"/>
      <c r="V20" s="1"/>
    </row>
    <row r="21" spans="1:22">
      <c r="A21" s="1"/>
      <c r="B21" s="1"/>
      <c r="C21" s="1"/>
      <c r="D21" s="1"/>
      <c r="E21" s="1"/>
      <c r="F21" s="1"/>
      <c r="G21" s="1"/>
      <c r="H21" s="1"/>
      <c r="I21" s="1"/>
      <c r="J21" s="1"/>
      <c r="K21" s="1"/>
      <c r="L21" s="1"/>
      <c r="M21" s="1"/>
      <c r="N21" s="1"/>
      <c r="O21" s="1"/>
      <c r="P21" s="1"/>
      <c r="Q21" s="1"/>
      <c r="R21" s="1"/>
      <c r="S21" s="1"/>
      <c r="T21" s="1"/>
      <c r="U21" s="1"/>
      <c r="V21" s="1"/>
    </row>
    <row r="22" spans="1:22">
      <c r="A22" s="1"/>
      <c r="B22" s="1"/>
      <c r="C22" s="1"/>
      <c r="D22" s="1"/>
      <c r="E22" s="1"/>
      <c r="F22" s="1"/>
      <c r="G22" s="1"/>
      <c r="H22" s="1"/>
      <c r="I22" s="1"/>
      <c r="J22" s="1"/>
      <c r="K22" s="1"/>
      <c r="L22" s="1"/>
      <c r="M22" s="1"/>
      <c r="N22" s="1"/>
      <c r="O22" s="1"/>
      <c r="P22" s="1"/>
      <c r="Q22" s="1"/>
      <c r="R22" s="1"/>
      <c r="S22" s="1"/>
      <c r="T22" s="1"/>
      <c r="U22" s="1"/>
      <c r="V22" s="1"/>
    </row>
    <row r="23" spans="1:22">
      <c r="A23" s="1"/>
      <c r="B23" s="1"/>
      <c r="C23" s="1"/>
      <c r="D23" s="1"/>
      <c r="E23" s="1"/>
      <c r="F23" s="1"/>
      <c r="G23" s="1"/>
      <c r="H23" s="1"/>
      <c r="I23" s="1"/>
      <c r="J23" s="1"/>
      <c r="K23" s="1"/>
      <c r="L23" s="1"/>
      <c r="M23" s="1"/>
      <c r="N23" s="1"/>
      <c r="O23" s="1"/>
      <c r="P23" s="1"/>
      <c r="Q23" s="1"/>
      <c r="R23" s="1"/>
      <c r="S23" s="1"/>
      <c r="T23" s="1"/>
      <c r="U23" s="1"/>
      <c r="V23" s="1"/>
    </row>
    <row r="24" spans="1:22">
      <c r="A24" s="1"/>
      <c r="B24" s="1"/>
      <c r="C24" s="1"/>
      <c r="D24" s="1"/>
      <c r="E24" s="1"/>
      <c r="F24" s="1"/>
      <c r="G24" s="1"/>
      <c r="H24" s="1"/>
      <c r="I24" s="1"/>
      <c r="J24" s="1"/>
      <c r="K24" s="1"/>
      <c r="L24" s="1"/>
      <c r="M24" s="1"/>
      <c r="N24" s="1"/>
      <c r="O24" s="1"/>
      <c r="P24" s="1"/>
      <c r="Q24" s="1"/>
      <c r="R24" s="1"/>
      <c r="S24" s="1"/>
      <c r="T24" s="1"/>
      <c r="U24" s="1"/>
      <c r="V24" s="1"/>
    </row>
    <row r="25" spans="1:22">
      <c r="A25" s="1"/>
      <c r="B25" s="1"/>
      <c r="C25" s="151" t="s">
        <v>381</v>
      </c>
      <c r="D25" s="68">
        <v>2010</v>
      </c>
      <c r="E25" s="50">
        <v>2011</v>
      </c>
      <c r="F25" s="50">
        <v>2012</v>
      </c>
      <c r="G25" s="50">
        <v>2013</v>
      </c>
      <c r="H25" s="50">
        <v>2014</v>
      </c>
      <c r="I25" s="50">
        <v>2015</v>
      </c>
      <c r="J25" s="50">
        <v>2016</v>
      </c>
      <c r="K25" s="50">
        <v>2017</v>
      </c>
      <c r="L25" s="50">
        <v>2018</v>
      </c>
      <c r="M25" s="50">
        <v>2019</v>
      </c>
      <c r="N25" s="50">
        <v>2020</v>
      </c>
      <c r="O25" s="50">
        <v>2021</v>
      </c>
      <c r="P25" s="50">
        <v>2022</v>
      </c>
      <c r="Q25" s="50">
        <v>2023</v>
      </c>
      <c r="R25" s="50">
        <v>2024</v>
      </c>
      <c r="S25" s="50">
        <v>2025</v>
      </c>
      <c r="T25" s="50">
        <v>2026</v>
      </c>
      <c r="U25" s="50">
        <v>2027</v>
      </c>
      <c r="V25" s="50">
        <v>2028</v>
      </c>
    </row>
    <row r="26" spans="1:22">
      <c r="A26" s="1"/>
      <c r="B26" s="60">
        <v>1</v>
      </c>
      <c r="C26" s="152" t="s">
        <v>382</v>
      </c>
      <c r="D26" s="145">
        <v>22.693702827821532</v>
      </c>
      <c r="E26" s="145">
        <v>19.293096563473824</v>
      </c>
      <c r="F26" s="145">
        <v>18.103114071743498</v>
      </c>
      <c r="G26" s="145">
        <v>16.178886053917275</v>
      </c>
      <c r="H26" s="145">
        <v>14.755270803079455</v>
      </c>
      <c r="I26" s="145">
        <v>14.157915068774409</v>
      </c>
      <c r="J26" s="145">
        <v>11.362900504713087</v>
      </c>
      <c r="K26" s="145">
        <v>9.8128791971601554</v>
      </c>
      <c r="L26" s="146">
        <f>IF(TotalMarket!B126=0,"",((10^6*TotalMarket!X126)/($B26*TotalMarket!B126)))</f>
        <v>9.1996642661233263</v>
      </c>
      <c r="M26" s="146">
        <f>IF(TotalMarket!C126=0,"",((10^6*TotalMarket!Y126)/($B26*TotalMarket!C126)))</f>
        <v>7.6635049305225342</v>
      </c>
      <c r="N26" s="146" t="str">
        <f>IF(TotalMarket!D126=0,"",((10^6*TotalMarket!Z126)/($B26*TotalMarket!D126)))</f>
        <v/>
      </c>
      <c r="O26" s="146" t="str">
        <f>IF(TotalMarket!E126=0,"",((10^6*TotalMarket!AA126)/($B26*TotalMarket!E126)))</f>
        <v/>
      </c>
      <c r="P26" s="146" t="str">
        <f>IF(TotalMarket!F126=0,"",((10^6*TotalMarket!AB126)/($B26*TotalMarket!F126)))</f>
        <v/>
      </c>
      <c r="Q26" s="146" t="str">
        <f>IF(TotalMarket!G126=0,"",((10^6*TotalMarket!AC126)/($B26*TotalMarket!G126)))</f>
        <v/>
      </c>
      <c r="R26" s="146" t="str">
        <f>IF(TotalMarket!H126=0,"",((10^6*TotalMarket!AD126)/($B26*TotalMarket!H126)))</f>
        <v/>
      </c>
      <c r="S26" s="146" t="str">
        <f>IF(TotalMarket!I126=0,"",((10^6*TotalMarket!AE126)/($B26*TotalMarket!I126)))</f>
        <v/>
      </c>
      <c r="T26" s="146" t="str">
        <f>IF(TotalMarket!J126=0,"",((10^6*TotalMarket!AF126)/($B26*TotalMarket!J126)))</f>
        <v/>
      </c>
      <c r="U26" s="146" t="str">
        <f>IF(TotalMarket!K126=0,"",((10^6*TotalMarket!AG126)/($B26*TotalMarket!K126)))</f>
        <v/>
      </c>
      <c r="V26" s="146" t="str">
        <f>IF(TotalMarket!L126=0,"",((10^6*TotalMarket!AH126)/($B26*TotalMarket!L126)))</f>
        <v/>
      </c>
    </row>
    <row r="27" spans="1:22">
      <c r="A27" s="1"/>
      <c r="B27" s="60">
        <v>10</v>
      </c>
      <c r="C27" s="153" t="s">
        <v>383</v>
      </c>
      <c r="D27" s="145">
        <v>9.8825247570260242</v>
      </c>
      <c r="E27" s="145">
        <v>7.5412691899358517</v>
      </c>
      <c r="F27" s="145">
        <v>6.7189149239794101</v>
      </c>
      <c r="G27" s="145">
        <v>5.2861169818853488</v>
      </c>
      <c r="H27" s="145">
        <v>4.5280339113800467</v>
      </c>
      <c r="I27" s="145">
        <v>3.897031950093071</v>
      </c>
      <c r="J27" s="145">
        <v>3.1803504158563904</v>
      </c>
      <c r="K27" s="145">
        <v>2.439730741307288</v>
      </c>
      <c r="L27" s="146">
        <f>IF(TotalMarket!B127=0,"",((10^6*TotalMarket!X127)/($B27*TotalMarket!B127)))</f>
        <v>2.2775445542303081</v>
      </c>
      <c r="M27" s="146">
        <f>IF(TotalMarket!C127=0,"",((10^6*TotalMarket!Y127)/($B27*TotalMarket!C127)))</f>
        <v>1.7765333234809133</v>
      </c>
      <c r="N27" s="146" t="str">
        <f>IF(TotalMarket!D127=0,"",((10^6*TotalMarket!Z127)/($B27*TotalMarket!D127)))</f>
        <v/>
      </c>
      <c r="O27" s="146" t="str">
        <f>IF(TotalMarket!E127=0,"",((10^6*TotalMarket!AA127)/($B27*TotalMarket!E127)))</f>
        <v/>
      </c>
      <c r="P27" s="146" t="str">
        <f>IF(TotalMarket!F127=0,"",((10^6*TotalMarket!AB127)/($B27*TotalMarket!F127)))</f>
        <v/>
      </c>
      <c r="Q27" s="146" t="str">
        <f>IF(TotalMarket!G127=0,"",((10^6*TotalMarket!AC127)/($B27*TotalMarket!G127)))</f>
        <v/>
      </c>
      <c r="R27" s="146" t="str">
        <f>IF(TotalMarket!H127=0,"",((10^6*TotalMarket!AD127)/($B27*TotalMarket!H127)))</f>
        <v/>
      </c>
      <c r="S27" s="146" t="str">
        <f>IF(TotalMarket!I127=0,"",((10^6*TotalMarket!AE127)/($B27*TotalMarket!I127)))</f>
        <v/>
      </c>
      <c r="T27" s="146" t="str">
        <f>IF(TotalMarket!J127=0,"",((10^6*TotalMarket!AF127)/($B27*TotalMarket!J127)))</f>
        <v/>
      </c>
      <c r="U27" s="146" t="str">
        <f>IF(TotalMarket!K127=0,"",((10^6*TotalMarket!AG127)/($B27*TotalMarket!K127)))</f>
        <v/>
      </c>
      <c r="V27" s="146" t="str">
        <f>IF(TotalMarket!L127=0,"",((10^6*TotalMarket!AH127)/($B27*TotalMarket!L127)))</f>
        <v/>
      </c>
    </row>
    <row r="28" spans="1:22">
      <c r="A28" s="1"/>
      <c r="B28" s="60">
        <v>25</v>
      </c>
      <c r="C28" s="153" t="s">
        <v>384</v>
      </c>
      <c r="D28" s="145"/>
      <c r="E28" s="145"/>
      <c r="F28" s="145"/>
      <c r="G28" s="145"/>
      <c r="H28" s="145"/>
      <c r="I28" s="145"/>
      <c r="J28" s="145">
        <v>11.671989054215837</v>
      </c>
      <c r="K28" s="145">
        <v>6.7722873832058497</v>
      </c>
      <c r="L28" s="146">
        <f>IF(TotalMarket!B128=0,"",((10^6*TotalMarket!X128)/($B28*TotalMarket!B128)))</f>
        <v>4.1399047739208461</v>
      </c>
      <c r="M28" s="146">
        <f>IF(TotalMarket!C128=0,"",((10^6*TotalMarket!Y128)/($B28*TotalMarket!C128)))</f>
        <v>2.7646401458971899</v>
      </c>
      <c r="N28" s="146" t="str">
        <f>IF(TotalMarket!D128=0,"",((10^6*TotalMarket!Z128)/($B28*TotalMarket!D128)))</f>
        <v/>
      </c>
      <c r="O28" s="146" t="str">
        <f>IF(TotalMarket!E128=0,"",((10^6*TotalMarket!AA128)/($B28*TotalMarket!E128)))</f>
        <v/>
      </c>
      <c r="P28" s="146" t="str">
        <f>IF(TotalMarket!F128=0,"",((10^6*TotalMarket!AB128)/($B28*TotalMarket!F128)))</f>
        <v/>
      </c>
      <c r="Q28" s="146" t="str">
        <f>IF(TotalMarket!G128=0,"",((10^6*TotalMarket!AC128)/($B28*TotalMarket!G128)))</f>
        <v/>
      </c>
      <c r="R28" s="146" t="str">
        <f>IF(TotalMarket!H128=0,"",((10^6*TotalMarket!AD128)/($B28*TotalMarket!H128)))</f>
        <v/>
      </c>
      <c r="S28" s="146" t="str">
        <f>IF(TotalMarket!I128=0,"",((10^6*TotalMarket!AE128)/($B28*TotalMarket!I128)))</f>
        <v/>
      </c>
      <c r="T28" s="146" t="str">
        <f>IF(TotalMarket!J128=0,"",((10^6*TotalMarket!AF128)/($B28*TotalMarket!J128)))</f>
        <v/>
      </c>
      <c r="U28" s="146" t="str">
        <f>IF(TotalMarket!K128=0,"",((10^6*TotalMarket!AG128)/($B28*TotalMarket!K128)))</f>
        <v/>
      </c>
      <c r="V28" s="146" t="str">
        <f>IF(TotalMarket!L128=0,"",((10^6*TotalMarket!AH128)/($B28*TotalMarket!L128)))</f>
        <v/>
      </c>
    </row>
    <row r="29" spans="1:22">
      <c r="A29" s="1"/>
      <c r="B29" s="60">
        <v>40</v>
      </c>
      <c r="C29" s="154" t="s">
        <v>385</v>
      </c>
      <c r="D29" s="145">
        <v>46.557521763382681</v>
      </c>
      <c r="E29" s="145">
        <v>11.176711108652357</v>
      </c>
      <c r="F29" s="145">
        <v>12.879950952573868</v>
      </c>
      <c r="G29" s="145">
        <v>11.167363674734627</v>
      </c>
      <c r="H29" s="145">
        <v>7.3590573700709259</v>
      </c>
      <c r="I29" s="145">
        <v>6.2327425657156015</v>
      </c>
      <c r="J29" s="145">
        <v>6.2473515491273455</v>
      </c>
      <c r="K29" s="145">
        <v>5.850414550912757</v>
      </c>
      <c r="L29" s="146">
        <f>IF(TotalMarket!B129=0,"",((10^6*TotalMarket!X129)/($B29*TotalMarket!B129)))</f>
        <v>4.4202626484425762</v>
      </c>
      <c r="M29" s="146">
        <f>IF(TotalMarket!C129=0,"",((10^6*TotalMarket!Y129)/($B29*TotalMarket!C129)))</f>
        <v>4.2776454894588953</v>
      </c>
      <c r="N29" s="146" t="str">
        <f>IF(TotalMarket!D129=0,"",((10^6*TotalMarket!Z129)/($B29*TotalMarket!D129)))</f>
        <v/>
      </c>
      <c r="O29" s="146" t="str">
        <f>IF(TotalMarket!E129=0,"",((10^6*TotalMarket!AA129)/($B29*TotalMarket!E129)))</f>
        <v/>
      </c>
      <c r="P29" s="146" t="str">
        <f>IF(TotalMarket!F129=0,"",((10^6*TotalMarket!AB129)/($B29*TotalMarket!F129)))</f>
        <v/>
      </c>
      <c r="Q29" s="146" t="str">
        <f>IF(TotalMarket!G129=0,"",((10^6*TotalMarket!AC129)/($B29*TotalMarket!G129)))</f>
        <v/>
      </c>
      <c r="R29" s="146" t="str">
        <f>IF(TotalMarket!H129=0,"",((10^6*TotalMarket!AD129)/($B29*TotalMarket!H129)))</f>
        <v/>
      </c>
      <c r="S29" s="146" t="str">
        <f>IF(TotalMarket!I129=0,"",((10^6*TotalMarket!AE129)/($B29*TotalMarket!I129)))</f>
        <v/>
      </c>
      <c r="T29" s="146" t="str">
        <f>IF(TotalMarket!J129=0,"",((10^6*TotalMarket!AF129)/($B29*TotalMarket!J129)))</f>
        <v/>
      </c>
      <c r="U29" s="146" t="str">
        <f>IF(TotalMarket!K129=0,"",((10^6*TotalMarket!AG129)/($B29*TotalMarket!K129)))</f>
        <v/>
      </c>
      <c r="V29" s="146" t="str">
        <f>IF(TotalMarket!L129=0,"",((10^6*TotalMarket!AH129)/($B29*TotalMarket!L129)))</f>
        <v/>
      </c>
    </row>
    <row r="30" spans="1:22">
      <c r="A30" s="1"/>
      <c r="B30" s="60">
        <v>50</v>
      </c>
      <c r="C30" s="154" t="s">
        <v>386</v>
      </c>
      <c r="D30" s="145"/>
      <c r="E30" s="145"/>
      <c r="F30" s="145"/>
      <c r="G30" s="145"/>
      <c r="H30" s="145"/>
      <c r="I30" s="145"/>
      <c r="J30" s="145"/>
      <c r="K30" s="145"/>
      <c r="L30" s="146"/>
      <c r="M30" s="146"/>
      <c r="N30" s="146" t="str">
        <f>IF(TotalMarket!D130=0,"",((10^6*TotalMarket!Z130)/($B30*TotalMarket!D130)))</f>
        <v/>
      </c>
      <c r="O30" s="146" t="str">
        <f>IF(TotalMarket!E130=0,"",((10^6*TotalMarket!AA130)/($B30*TotalMarket!E130)))</f>
        <v/>
      </c>
      <c r="P30" s="146" t="str">
        <f>IF(TotalMarket!F130=0,"",((10^6*TotalMarket!AB130)/($B30*TotalMarket!F130)))</f>
        <v/>
      </c>
      <c r="Q30" s="146" t="str">
        <f>IF(TotalMarket!G130=0,"",((10^6*TotalMarket!AC130)/($B30*TotalMarket!G130)))</f>
        <v/>
      </c>
      <c r="R30" s="146" t="str">
        <f>IF(TotalMarket!H130=0,"",((10^6*TotalMarket!AD130)/($B30*TotalMarket!H130)))</f>
        <v/>
      </c>
      <c r="S30" s="146" t="str">
        <f>IF(TotalMarket!I130=0,"",((10^6*TotalMarket!AE130)/($B30*TotalMarket!I130)))</f>
        <v/>
      </c>
      <c r="T30" s="146" t="str">
        <f>IF(TotalMarket!J130=0,"",((10^6*TotalMarket!AF130)/($B30*TotalMarket!J130)))</f>
        <v/>
      </c>
      <c r="U30" s="146" t="str">
        <f>IF(TotalMarket!K130=0,"",((10^6*TotalMarket!AG130)/($B30*TotalMarket!K130)))</f>
        <v/>
      </c>
      <c r="V30" s="146" t="str">
        <f>IF(TotalMarket!L130=0,"",((10^6*TotalMarket!AH130)/($B30*TotalMarket!L130)))</f>
        <v/>
      </c>
    </row>
    <row r="31" spans="1:22">
      <c r="A31" s="1"/>
      <c r="B31" s="60">
        <v>100</v>
      </c>
      <c r="C31" s="154" t="s">
        <v>387</v>
      </c>
      <c r="D31" s="145">
        <v>262.22519083969468</v>
      </c>
      <c r="E31" s="145">
        <v>223.61202964182792</v>
      </c>
      <c r="F31" s="145">
        <v>118.45667534287716</v>
      </c>
      <c r="G31" s="145">
        <v>80.594856591909462</v>
      </c>
      <c r="H31" s="145">
        <v>55.871254639091049</v>
      </c>
      <c r="I31" s="145">
        <v>31.55152277583019</v>
      </c>
      <c r="J31" s="145">
        <v>12.434155600788019</v>
      </c>
      <c r="K31" s="145">
        <v>5.7399969875798753</v>
      </c>
      <c r="L31" s="146">
        <f>IF(TotalMarket!B131=0,"",((10^6*TotalMarket!X131)/($B31*TotalMarket!B131)))</f>
        <v>3.4840774835874724</v>
      </c>
      <c r="M31" s="146">
        <f>IF(TotalMarket!C131=0,"",((10^6*TotalMarket!Y131)/($B31*TotalMarket!C131)))</f>
        <v>2.1727610146624414</v>
      </c>
      <c r="N31" s="146" t="str">
        <f>IF(TotalMarket!D131=0,"",((10^6*TotalMarket!Z131)/($B31*TotalMarket!D131)))</f>
        <v/>
      </c>
      <c r="O31" s="146" t="str">
        <f>IF(TotalMarket!E131=0,"",((10^6*TotalMarket!AA131)/($B31*TotalMarket!E131)))</f>
        <v/>
      </c>
      <c r="P31" s="146" t="str">
        <f>IF(TotalMarket!F131=0,"",((10^6*TotalMarket!AB131)/($B31*TotalMarket!F131)))</f>
        <v/>
      </c>
      <c r="Q31" s="146" t="str">
        <f>IF(TotalMarket!G131=0,"",((10^6*TotalMarket!AC131)/($B31*TotalMarket!G131)))</f>
        <v/>
      </c>
      <c r="R31" s="146" t="str">
        <f>IF(TotalMarket!H131=0,"",((10^6*TotalMarket!AD131)/($B31*TotalMarket!H131)))</f>
        <v/>
      </c>
      <c r="S31" s="146" t="str">
        <f>IF(TotalMarket!I131=0,"",((10^6*TotalMarket!AE131)/($B31*TotalMarket!I131)))</f>
        <v/>
      </c>
      <c r="T31" s="146" t="str">
        <f>IF(TotalMarket!J131=0,"",((10^6*TotalMarket!AF131)/($B31*TotalMarket!J131)))</f>
        <v/>
      </c>
      <c r="U31" s="146" t="str">
        <f>IF(TotalMarket!K131=0,"",((10^6*TotalMarket!AG131)/($B31*TotalMarket!K131)))</f>
        <v/>
      </c>
      <c r="V31" s="146" t="str">
        <f>IF(TotalMarket!L131=0,"",((10^6*TotalMarket!AH131)/($B31*TotalMarket!L131)))</f>
        <v/>
      </c>
    </row>
    <row r="32" spans="1:22">
      <c r="A32" s="1"/>
      <c r="B32" s="60">
        <v>200</v>
      </c>
      <c r="C32" s="154" t="s">
        <v>388</v>
      </c>
      <c r="D32" s="145"/>
      <c r="E32" s="145"/>
      <c r="F32" s="145"/>
      <c r="G32" s="145"/>
      <c r="H32" s="145"/>
      <c r="I32" s="145"/>
      <c r="J32" s="145"/>
      <c r="K32" s="145"/>
      <c r="L32" s="146">
        <f>IF(TotalMarket!B132=0,"",((10^6*TotalMarket!X132)/($B32*TotalMarket!B132)))</f>
        <v>5.5</v>
      </c>
      <c r="M32" s="146">
        <f>IF(TotalMarket!C132=0,"",((10^6*TotalMarket!Y132)/($B32*TotalMarket!C132)))</f>
        <v>2.7522127890173409</v>
      </c>
      <c r="N32" s="146" t="str">
        <f>IF(TotalMarket!D132=0,"",((10^6*TotalMarket!Z132)/($B32*TotalMarket!D132)))</f>
        <v/>
      </c>
      <c r="O32" s="146" t="str">
        <f>IF(TotalMarket!E132=0,"",((10^6*TotalMarket!AA132)/($B32*TotalMarket!E132)))</f>
        <v/>
      </c>
      <c r="P32" s="146" t="str">
        <f>IF(TotalMarket!F132=0,"",((10^6*TotalMarket!AB132)/($B32*TotalMarket!F132)))</f>
        <v/>
      </c>
      <c r="Q32" s="146" t="str">
        <f>IF(TotalMarket!G132=0,"",((10^6*TotalMarket!AC132)/($B32*TotalMarket!G132)))</f>
        <v/>
      </c>
      <c r="R32" s="146" t="str">
        <f>IF(TotalMarket!H132=0,"",((10^6*TotalMarket!AD132)/($B32*TotalMarket!H132)))</f>
        <v/>
      </c>
      <c r="S32" s="146" t="str">
        <f>IF(TotalMarket!I132=0,"",((10^6*TotalMarket!AE132)/($B32*TotalMarket!I132)))</f>
        <v/>
      </c>
      <c r="T32" s="146" t="str">
        <f>IF(TotalMarket!J132=0,"",((10^6*TotalMarket!AF132)/($B32*TotalMarket!J132)))</f>
        <v/>
      </c>
      <c r="U32" s="146" t="str">
        <f>IF(TotalMarket!K132=0,"",((10^6*TotalMarket!AG132)/($B32*TotalMarket!K132)))</f>
        <v/>
      </c>
      <c r="V32" s="146" t="str">
        <f>IF(TotalMarket!L132=0,"",((10^6*TotalMarket!AH132)/($B32*TotalMarket!L132)))</f>
        <v/>
      </c>
    </row>
    <row r="33" spans="1:22">
      <c r="A33" s="1"/>
      <c r="B33" s="60">
        <v>400</v>
      </c>
      <c r="C33" s="154" t="s">
        <v>389</v>
      </c>
      <c r="D33" s="145"/>
      <c r="E33" s="145"/>
      <c r="F33" s="145"/>
      <c r="G33" s="145"/>
      <c r="H33" s="145"/>
      <c r="I33" s="145"/>
      <c r="J33" s="145"/>
      <c r="K33" s="145"/>
      <c r="L33" s="146">
        <f>IF(TotalMarket!B133=0,"",((10^6*TotalMarket!X133)/($B33*TotalMarket!B133)))</f>
        <v>3.1546153846153846</v>
      </c>
      <c r="M33" s="146">
        <f>IF(TotalMarket!C133=0,"",((10^6*TotalMarket!Y133)/($B33*TotalMarket!C133)))</f>
        <v>2.1131812798877174</v>
      </c>
      <c r="N33" s="146" t="str">
        <f>IF(TotalMarket!D133=0,"",((10^6*TotalMarket!Z133)/($B33*TotalMarket!D133)))</f>
        <v/>
      </c>
      <c r="O33" s="146" t="str">
        <f>IF(TotalMarket!E133=0,"",((10^6*TotalMarket!AA133)/($B33*TotalMarket!E133)))</f>
        <v/>
      </c>
      <c r="P33" s="146" t="str">
        <f>IF(TotalMarket!F133=0,"",((10^6*TotalMarket!AB133)/($B33*TotalMarket!F133)))</f>
        <v/>
      </c>
      <c r="Q33" s="146" t="str">
        <f>IF(TotalMarket!G133=0,"",((10^6*TotalMarket!AC133)/($B33*TotalMarket!G133)))</f>
        <v/>
      </c>
      <c r="R33" s="146" t="str">
        <f>IF(TotalMarket!H133=0,"",((10^6*TotalMarket!AD133)/($B33*TotalMarket!H133)))</f>
        <v/>
      </c>
      <c r="S33" s="146" t="str">
        <f>IF(TotalMarket!I133=0,"",((10^6*TotalMarket!AE133)/($B33*TotalMarket!I133)))</f>
        <v/>
      </c>
      <c r="T33" s="146" t="str">
        <f>IF(TotalMarket!J133=0,"",((10^6*TotalMarket!AF133)/($B33*TotalMarket!J133)))</f>
        <v/>
      </c>
      <c r="U33" s="146" t="str">
        <f>IF(TotalMarket!K133=0,"",((10^6*TotalMarket!AG133)/($B33*TotalMarket!K133)))</f>
        <v/>
      </c>
      <c r="V33" s="146" t="str">
        <f>IF(TotalMarket!L133=0,"",((10^6*TotalMarket!AH133)/($B33*TotalMarket!L133)))</f>
        <v/>
      </c>
    </row>
    <row r="34" spans="1:22">
      <c r="A34" s="1"/>
      <c r="B34" s="60">
        <v>800</v>
      </c>
      <c r="C34" s="154" t="s">
        <v>390</v>
      </c>
      <c r="D34" s="145"/>
      <c r="E34" s="145"/>
      <c r="F34" s="145"/>
      <c r="G34" s="145"/>
      <c r="H34" s="145"/>
      <c r="I34" s="145"/>
      <c r="J34" s="145"/>
      <c r="K34" s="145"/>
      <c r="L34" s="146"/>
      <c r="M34" s="146"/>
      <c r="N34" s="146"/>
      <c r="O34" s="146" t="str">
        <f>IF(TotalMarket!E134=0,"",((10^6*TotalMarket!AA134)/($B34*TotalMarket!E134)))</f>
        <v/>
      </c>
      <c r="P34" s="146" t="str">
        <f>IF(TotalMarket!F134=0,"",((10^6*TotalMarket!AB134)/($B34*TotalMarket!F134)))</f>
        <v/>
      </c>
      <c r="Q34" s="146" t="str">
        <f>IF(TotalMarket!G134=0,"",((10^6*TotalMarket!AC134)/($B34*TotalMarket!G134)))</f>
        <v/>
      </c>
      <c r="R34" s="146" t="str">
        <f>IF(TotalMarket!H134=0,"",((10^6*TotalMarket!AD134)/($B34*TotalMarket!H134)))</f>
        <v/>
      </c>
      <c r="S34" s="146" t="str">
        <f>IF(TotalMarket!I134=0,"",((10^6*TotalMarket!AE134)/($B34*TotalMarket!I134)))</f>
        <v/>
      </c>
      <c r="T34" s="146" t="str">
        <f>IF(TotalMarket!J134=0,"",((10^6*TotalMarket!AF134)/($B34*TotalMarket!J134)))</f>
        <v/>
      </c>
      <c r="U34" s="146" t="str">
        <f>IF(TotalMarket!K134=0,"",((10^6*TotalMarket!AG134)/($B34*TotalMarket!K134)))</f>
        <v/>
      </c>
      <c r="V34" s="146" t="str">
        <f>IF(TotalMarket!L134=0,"",((10^6*TotalMarket!AH134)/($B34*TotalMarket!L134)))</f>
        <v/>
      </c>
    </row>
    <row r="35" spans="1:22">
      <c r="A35" s="1"/>
      <c r="B35" s="60">
        <v>1600</v>
      </c>
      <c r="C35" s="154" t="s">
        <v>379</v>
      </c>
      <c r="D35" s="145"/>
      <c r="E35" s="145"/>
      <c r="F35" s="145"/>
      <c r="G35" s="145"/>
      <c r="H35" s="145"/>
      <c r="I35" s="145"/>
      <c r="J35" s="145"/>
      <c r="K35" s="145"/>
      <c r="L35" s="146"/>
      <c r="M35" s="146"/>
      <c r="N35" s="146"/>
      <c r="O35" s="146"/>
      <c r="P35" s="146"/>
      <c r="Q35" s="146"/>
      <c r="R35" s="146" t="str">
        <f>IF(TotalMarket!H135=0,"",((10^6*TotalMarket!AD135)/($B35*TotalMarket!H135)))</f>
        <v/>
      </c>
      <c r="S35" s="146" t="str">
        <f>IF(TotalMarket!I135=0,"",((10^6*TotalMarket!AE135)/($B35*TotalMarket!I135)))</f>
        <v/>
      </c>
      <c r="T35" s="146" t="str">
        <f>IF(TotalMarket!J135=0,"",((10^6*TotalMarket!AF135)/($B35*TotalMarket!J135)))</f>
        <v/>
      </c>
      <c r="U35" s="146" t="str">
        <f>IF(TotalMarket!K135=0,"",((10^6*TotalMarket!AG135)/($B35*TotalMarket!K135)))</f>
        <v/>
      </c>
      <c r="V35" s="146" t="str">
        <f>IF(TotalMarket!L135=0,"",((10^6*TotalMarket!AH135)/($B35*TotalMarket!L135)))</f>
        <v/>
      </c>
    </row>
    <row r="36" spans="1:22">
      <c r="A36" s="1"/>
      <c r="B36" s="60">
        <v>3200</v>
      </c>
      <c r="C36" s="155" t="s">
        <v>392</v>
      </c>
      <c r="D36" s="145"/>
      <c r="E36" s="145"/>
      <c r="F36" s="145"/>
      <c r="G36" s="145"/>
      <c r="H36" s="145"/>
      <c r="I36" s="145"/>
      <c r="J36" s="145"/>
      <c r="K36" s="145"/>
      <c r="L36" s="146" t="str">
        <f>IF(TotalMarket!B136=0,"",((10^6*TotalMarket!X136)/($B36*TotalMarket!B136)))</f>
        <v/>
      </c>
      <c r="M36" s="146" t="str">
        <f>IF(TotalMarket!C136=0,"",((10^6*TotalMarket!Y136)/($B36*TotalMarket!C136)))</f>
        <v/>
      </c>
      <c r="N36" s="146" t="str">
        <f>IF(TotalMarket!D136=0,"",((10^6*TotalMarket!Z136)/($B36*TotalMarket!D136)))</f>
        <v/>
      </c>
      <c r="O36" s="146" t="str">
        <f>IF(TotalMarket!E136=0,"",((10^6*TotalMarket!AA136)/($B36*TotalMarket!E136)))</f>
        <v/>
      </c>
      <c r="P36" s="146" t="str">
        <f>IF(TotalMarket!F136=0,"",((10^6*TotalMarket!AB136)/($B36*TotalMarket!F136)))</f>
        <v/>
      </c>
      <c r="Q36" s="146" t="str">
        <f>IF(TotalMarket!G136=0,"",((10^6*TotalMarket!AC136)/($B36*TotalMarket!G136)))</f>
        <v/>
      </c>
      <c r="R36" s="146" t="str">
        <f>IF(TotalMarket!H136=0,"",((10^6*TotalMarket!AD136)/($B36*TotalMarket!H136)))</f>
        <v/>
      </c>
      <c r="S36" s="146" t="str">
        <f>IF(TotalMarket!I136=0,"",((10^6*TotalMarket!AE136)/($B36*TotalMarket!I136)))</f>
        <v/>
      </c>
      <c r="T36" s="146" t="str">
        <f>IF(TotalMarket!J136=0,"",((10^6*TotalMarket!AF136)/($B36*TotalMarket!J136)))</f>
        <v/>
      </c>
      <c r="U36" s="146" t="str">
        <f>IF(TotalMarket!K136=0,"",((10^6*TotalMarket!AG136)/($B36*TotalMarket!K136)))</f>
        <v/>
      </c>
      <c r="V36" s="146" t="str">
        <f>IF(TotalMarket!L136=0,"",((10^6*TotalMarket!AH136)/($B36*TotalMarket!L136)))</f>
        <v/>
      </c>
    </row>
    <row r="37" spans="1:22">
      <c r="A37" s="1"/>
      <c r="B37" s="1"/>
      <c r="C37" s="147" t="s">
        <v>391</v>
      </c>
      <c r="D37" s="148">
        <v>18.659177244454714</v>
      </c>
      <c r="E37" s="149">
        <v>12.491157998353826</v>
      </c>
      <c r="F37" s="149">
        <v>11.206910619233915</v>
      </c>
      <c r="G37" s="149">
        <v>9.2919679279757297</v>
      </c>
      <c r="H37" s="149">
        <v>7.2488549734174947</v>
      </c>
      <c r="I37" s="149">
        <v>6.6238891591280309</v>
      </c>
      <c r="J37" s="149">
        <v>6.4437661546773315</v>
      </c>
      <c r="K37" s="149">
        <v>4.8406816696633035</v>
      </c>
      <c r="L37" s="150">
        <f>(TotalMarket!X137)/TotalMarket!B159</f>
        <v>3.4503271808260991</v>
      </c>
      <c r="M37" s="150">
        <f>(TotalMarket!Y137)/TotalMarket!C159</f>
        <v>2.3664260454537249</v>
      </c>
      <c r="N37" s="150" t="e">
        <f>(TotalMarket!Z137)/TotalMarket!D159</f>
        <v>#DIV/0!</v>
      </c>
      <c r="O37" s="150" t="e">
        <f>(TotalMarket!AA137)/TotalMarket!E159</f>
        <v>#DIV/0!</v>
      </c>
      <c r="P37" s="150" t="e">
        <f>(TotalMarket!AB137)/TotalMarket!F159</f>
        <v>#DIV/0!</v>
      </c>
      <c r="Q37" s="150" t="e">
        <f>(TotalMarket!AC137)/TotalMarket!G159</f>
        <v>#DIV/0!</v>
      </c>
      <c r="R37" s="150" t="e">
        <f>(TotalMarket!AD137)/TotalMarket!H159</f>
        <v>#DIV/0!</v>
      </c>
      <c r="S37" s="150" t="e">
        <f>(TotalMarket!AE137)/TotalMarket!I159</f>
        <v>#DIV/0!</v>
      </c>
      <c r="T37" s="150" t="e">
        <f>(TotalMarket!AF137)/TotalMarket!J159</f>
        <v>#DIV/0!</v>
      </c>
      <c r="U37" s="150" t="e">
        <f>(TotalMarket!AG137)/TotalMarket!K159</f>
        <v>#DIV/0!</v>
      </c>
      <c r="V37" s="150" t="e">
        <f>(TotalMarket!AH137)/TotalMarket!L159</f>
        <v>#DIV/0!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N110"/>
  <sheetViews>
    <sheetView zoomScale="75" zoomScaleNormal="75" workbookViewId="0">
      <selection activeCell="A5" sqref="A5"/>
    </sheetView>
  </sheetViews>
  <sheetFormatPr defaultColWidth="8.5" defaultRowHeight="15.75"/>
  <cols>
    <col min="1" max="1" width="54" customWidth="1"/>
    <col min="2" max="2" width="20.5" bestFit="1" customWidth="1"/>
    <col min="4" max="4" width="19.3125" customWidth="1"/>
    <col min="6" max="6" width="12" bestFit="1" customWidth="1"/>
  </cols>
  <sheetData>
    <row r="1" spans="1:14" s="1" customFormat="1" ht="14.25">
      <c r="A1" s="19"/>
    </row>
    <row r="2" spans="1:14" s="1" customFormat="1" ht="18">
      <c r="A2" s="20" t="str">
        <f>'Figures in the Report'!B2</f>
        <v>LightCounting Mega Datacenter Report Database</v>
      </c>
      <c r="B2" s="121"/>
    </row>
    <row r="3" spans="1:14" s="1" customFormat="1">
      <c r="A3" s="21" t="str">
        <f>'Figures in the Report'!B3</f>
        <v xml:space="preserve"> Mega Datacenter Report - July 2023  sample template</v>
      </c>
      <c r="B3" s="121"/>
    </row>
    <row r="4" spans="1:14" s="1" customFormat="1" ht="21">
      <c r="A4" s="22" t="s">
        <v>248</v>
      </c>
      <c r="B4" s="121"/>
      <c r="F4" s="23"/>
      <c r="G4" s="2"/>
      <c r="H4" s="2"/>
      <c r="I4" s="2"/>
      <c r="J4" s="2"/>
      <c r="K4" s="2"/>
      <c r="L4" s="2"/>
      <c r="M4" s="2"/>
      <c r="N4" s="2"/>
    </row>
    <row r="5" spans="1:14" s="1" customFormat="1" ht="14.25">
      <c r="A5" s="19"/>
    </row>
    <row r="10" spans="1:14">
      <c r="A10" s="51" t="s">
        <v>199</v>
      </c>
      <c r="B10" s="51" t="s">
        <v>202</v>
      </c>
      <c r="C10" s="51" t="s">
        <v>50</v>
      </c>
      <c r="D10" s="51" t="s">
        <v>203</v>
      </c>
      <c r="E10" s="51" t="s">
        <v>212</v>
      </c>
      <c r="F10" s="51" t="s">
        <v>338</v>
      </c>
    </row>
    <row r="11" spans="1:14">
      <c r="A11" s="12" t="s">
        <v>149</v>
      </c>
      <c r="B11" s="12" t="s">
        <v>53</v>
      </c>
      <c r="C11" s="12" t="s">
        <v>51</v>
      </c>
      <c r="D11" s="12" t="s">
        <v>54</v>
      </c>
      <c r="E11" s="12" t="s">
        <v>213</v>
      </c>
      <c r="F11" s="12">
        <v>1</v>
      </c>
    </row>
    <row r="12" spans="1:14">
      <c r="A12" s="12" t="s">
        <v>150</v>
      </c>
      <c r="B12" s="12" t="s">
        <v>53</v>
      </c>
      <c r="C12" s="12" t="s">
        <v>55</v>
      </c>
      <c r="D12" s="12" t="s">
        <v>54</v>
      </c>
      <c r="E12" s="12" t="s">
        <v>213</v>
      </c>
      <c r="F12" s="12">
        <v>1</v>
      </c>
    </row>
    <row r="13" spans="1:14">
      <c r="A13" s="12" t="s">
        <v>151</v>
      </c>
      <c r="B13" s="12" t="s">
        <v>53</v>
      </c>
      <c r="C13" s="12" t="s">
        <v>56</v>
      </c>
      <c r="D13" s="12" t="s">
        <v>54</v>
      </c>
      <c r="E13" s="12" t="s">
        <v>213</v>
      </c>
      <c r="F13" s="12">
        <v>1</v>
      </c>
    </row>
    <row r="14" spans="1:14">
      <c r="A14" s="12" t="s">
        <v>152</v>
      </c>
      <c r="B14" s="12" t="s">
        <v>53</v>
      </c>
      <c r="C14" s="12" t="s">
        <v>57</v>
      </c>
      <c r="D14" s="12" t="s">
        <v>54</v>
      </c>
      <c r="E14" s="12" t="s">
        <v>213</v>
      </c>
      <c r="F14" s="12">
        <v>1</v>
      </c>
    </row>
    <row r="15" spans="1:14">
      <c r="A15" s="12" t="s">
        <v>153</v>
      </c>
      <c r="B15" s="12" t="s">
        <v>58</v>
      </c>
      <c r="C15" s="12" t="s">
        <v>59</v>
      </c>
      <c r="D15" s="12" t="s">
        <v>60</v>
      </c>
      <c r="E15" s="12" t="s">
        <v>213</v>
      </c>
      <c r="F15" s="12">
        <v>1</v>
      </c>
    </row>
    <row r="16" spans="1:14">
      <c r="A16" s="12" t="s">
        <v>154</v>
      </c>
      <c r="B16" s="12" t="s">
        <v>61</v>
      </c>
      <c r="C16" s="12" t="s">
        <v>62</v>
      </c>
      <c r="D16" s="12" t="s">
        <v>63</v>
      </c>
      <c r="E16" s="12" t="s">
        <v>213</v>
      </c>
      <c r="F16" s="12">
        <v>10</v>
      </c>
    </row>
    <row r="17" spans="1:6">
      <c r="A17" s="12" t="s">
        <v>155</v>
      </c>
      <c r="B17" s="12" t="s">
        <v>61</v>
      </c>
      <c r="C17" s="12" t="s">
        <v>62</v>
      </c>
      <c r="D17" s="12" t="s">
        <v>64</v>
      </c>
      <c r="E17" s="12" t="s">
        <v>213</v>
      </c>
      <c r="F17" s="12">
        <v>10</v>
      </c>
    </row>
    <row r="18" spans="1:6">
      <c r="A18" s="12" t="s">
        <v>156</v>
      </c>
      <c r="B18" s="12" t="s">
        <v>65</v>
      </c>
      <c r="C18" s="12" t="s">
        <v>66</v>
      </c>
      <c r="D18" s="12" t="s">
        <v>64</v>
      </c>
      <c r="E18" s="12" t="s">
        <v>213</v>
      </c>
      <c r="F18" s="12">
        <v>10</v>
      </c>
    </row>
    <row r="19" spans="1:6">
      <c r="A19" s="12" t="s">
        <v>157</v>
      </c>
      <c r="B19" s="12" t="s">
        <v>61</v>
      </c>
      <c r="C19" s="12" t="s">
        <v>55</v>
      </c>
      <c r="D19" s="12" t="s">
        <v>63</v>
      </c>
      <c r="E19" s="12" t="s">
        <v>213</v>
      </c>
      <c r="F19" s="12">
        <v>10</v>
      </c>
    </row>
    <row r="20" spans="1:6">
      <c r="A20" s="12" t="s">
        <v>158</v>
      </c>
      <c r="B20" s="12" t="s">
        <v>61</v>
      </c>
      <c r="C20" s="12" t="s">
        <v>55</v>
      </c>
      <c r="D20" s="12" t="s">
        <v>64</v>
      </c>
      <c r="E20" s="12" t="s">
        <v>213</v>
      </c>
      <c r="F20" s="12">
        <v>10</v>
      </c>
    </row>
    <row r="21" spans="1:6">
      <c r="A21" s="12" t="s">
        <v>159</v>
      </c>
      <c r="B21" s="12" t="s">
        <v>61</v>
      </c>
      <c r="C21" s="12" t="s">
        <v>56</v>
      </c>
      <c r="D21" s="12" t="s">
        <v>63</v>
      </c>
      <c r="E21" s="12" t="s">
        <v>213</v>
      </c>
      <c r="F21" s="12">
        <v>10</v>
      </c>
    </row>
    <row r="22" spans="1:6">
      <c r="A22" s="12" t="s">
        <v>160</v>
      </c>
      <c r="B22" s="12" t="s">
        <v>61</v>
      </c>
      <c r="C22" s="12" t="s">
        <v>56</v>
      </c>
      <c r="D22" s="12" t="s">
        <v>64</v>
      </c>
      <c r="E22" s="12" t="s">
        <v>213</v>
      </c>
      <c r="F22" s="12">
        <v>10</v>
      </c>
    </row>
    <row r="23" spans="1:6">
      <c r="A23" s="12" t="s">
        <v>161</v>
      </c>
      <c r="B23" s="12" t="s">
        <v>61</v>
      </c>
      <c r="C23" s="12" t="s">
        <v>57</v>
      </c>
      <c r="D23" s="12" t="s">
        <v>63</v>
      </c>
      <c r="E23" s="12" t="s">
        <v>213</v>
      </c>
      <c r="F23" s="12">
        <v>10</v>
      </c>
    </row>
    <row r="24" spans="1:6">
      <c r="A24" s="12" t="s">
        <v>162</v>
      </c>
      <c r="B24" s="12" t="s">
        <v>61</v>
      </c>
      <c r="C24" s="12" t="s">
        <v>57</v>
      </c>
      <c r="D24" s="12" t="s">
        <v>64</v>
      </c>
      <c r="E24" s="12" t="s">
        <v>213</v>
      </c>
      <c r="F24" s="12">
        <v>10</v>
      </c>
    </row>
    <row r="25" spans="1:6">
      <c r="A25" s="12" t="s">
        <v>163</v>
      </c>
      <c r="B25" s="12" t="s">
        <v>61</v>
      </c>
      <c r="C25" s="12" t="s">
        <v>59</v>
      </c>
      <c r="D25" s="12" t="s">
        <v>60</v>
      </c>
      <c r="E25" s="12" t="s">
        <v>213</v>
      </c>
      <c r="F25" s="12">
        <v>10</v>
      </c>
    </row>
    <row r="26" spans="1:6">
      <c r="A26" s="12" t="s">
        <v>164</v>
      </c>
      <c r="B26" s="12" t="s">
        <v>67</v>
      </c>
      <c r="C26" s="12" t="s">
        <v>68</v>
      </c>
      <c r="D26" s="12" t="s">
        <v>69</v>
      </c>
      <c r="E26" s="12" t="s">
        <v>213</v>
      </c>
      <c r="F26" s="12">
        <v>25</v>
      </c>
    </row>
    <row r="27" spans="1:6">
      <c r="A27" s="12" t="s">
        <v>165</v>
      </c>
      <c r="B27" s="12" t="s">
        <v>70</v>
      </c>
      <c r="C27" s="12" t="s">
        <v>55</v>
      </c>
      <c r="D27" s="12" t="s">
        <v>69</v>
      </c>
      <c r="E27" s="12" t="s">
        <v>213</v>
      </c>
      <c r="F27" s="12">
        <v>25</v>
      </c>
    </row>
    <row r="28" spans="1:6">
      <c r="A28" s="12" t="s">
        <v>166</v>
      </c>
      <c r="B28" s="12" t="s">
        <v>71</v>
      </c>
      <c r="C28" s="12" t="s">
        <v>56</v>
      </c>
      <c r="D28" s="12" t="s">
        <v>69</v>
      </c>
      <c r="E28" s="12" t="s">
        <v>213</v>
      </c>
      <c r="F28" s="12">
        <v>25</v>
      </c>
    </row>
    <row r="29" spans="1:6">
      <c r="A29" s="12" t="s">
        <v>0</v>
      </c>
      <c r="B29" s="12" t="s">
        <v>72</v>
      </c>
      <c r="C29" s="12" t="s">
        <v>73</v>
      </c>
      <c r="D29" s="12" t="s">
        <v>52</v>
      </c>
      <c r="E29" s="12" t="s">
        <v>213</v>
      </c>
      <c r="F29" s="12">
        <v>40</v>
      </c>
    </row>
    <row r="30" spans="1:6">
      <c r="A30" s="12" t="s">
        <v>167</v>
      </c>
      <c r="B30" s="12" t="s">
        <v>74</v>
      </c>
      <c r="C30" s="12" t="s">
        <v>73</v>
      </c>
      <c r="D30" s="12" t="s">
        <v>52</v>
      </c>
      <c r="E30" s="12" t="s">
        <v>213</v>
      </c>
      <c r="F30" s="12">
        <v>40</v>
      </c>
    </row>
    <row r="31" spans="1:6">
      <c r="A31" s="12" t="s">
        <v>1</v>
      </c>
      <c r="B31" s="12" t="s">
        <v>75</v>
      </c>
      <c r="C31" s="12" t="s">
        <v>62</v>
      </c>
      <c r="D31" s="12" t="s">
        <v>52</v>
      </c>
      <c r="E31" s="12" t="s">
        <v>213</v>
      </c>
      <c r="F31" s="12">
        <v>40</v>
      </c>
    </row>
    <row r="32" spans="1:6">
      <c r="A32" s="12" t="s">
        <v>168</v>
      </c>
      <c r="B32" s="12" t="s">
        <v>200</v>
      </c>
      <c r="C32" s="12" t="s">
        <v>51</v>
      </c>
      <c r="D32" s="12" t="s">
        <v>52</v>
      </c>
      <c r="E32" s="12" t="s">
        <v>213</v>
      </c>
      <c r="F32" s="12">
        <v>40</v>
      </c>
    </row>
    <row r="33" spans="1:6">
      <c r="A33" s="12" t="s">
        <v>169</v>
      </c>
      <c r="B33" s="12" t="s">
        <v>76</v>
      </c>
      <c r="C33" s="12" t="s">
        <v>77</v>
      </c>
      <c r="D33" s="12" t="s">
        <v>78</v>
      </c>
      <c r="E33" s="12" t="s">
        <v>213</v>
      </c>
      <c r="F33" s="12">
        <v>40</v>
      </c>
    </row>
    <row r="34" spans="1:6">
      <c r="A34" s="12" t="s">
        <v>2</v>
      </c>
      <c r="B34" s="12" t="s">
        <v>79</v>
      </c>
      <c r="C34" s="12" t="s">
        <v>77</v>
      </c>
      <c r="D34" s="12" t="s">
        <v>52</v>
      </c>
      <c r="E34" s="12" t="s">
        <v>213</v>
      </c>
      <c r="F34" s="12">
        <v>40</v>
      </c>
    </row>
    <row r="35" spans="1:6">
      <c r="A35" s="12" t="s">
        <v>170</v>
      </c>
      <c r="B35" s="12" t="s">
        <v>80</v>
      </c>
      <c r="C35" s="12" t="s">
        <v>55</v>
      </c>
      <c r="D35" s="12" t="s">
        <v>78</v>
      </c>
      <c r="E35" s="12" t="s">
        <v>213</v>
      </c>
      <c r="F35" s="12">
        <v>40</v>
      </c>
    </row>
    <row r="36" spans="1:6">
      <c r="A36" s="12" t="s">
        <v>171</v>
      </c>
      <c r="B36" s="12" t="s">
        <v>80</v>
      </c>
      <c r="C36" s="12" t="s">
        <v>55</v>
      </c>
      <c r="D36" s="12" t="s">
        <v>52</v>
      </c>
      <c r="E36" s="12" t="s">
        <v>213</v>
      </c>
      <c r="F36" s="12">
        <v>40</v>
      </c>
    </row>
    <row r="37" spans="1:6">
      <c r="A37" s="12" t="s">
        <v>172</v>
      </c>
      <c r="B37" s="12" t="s">
        <v>80</v>
      </c>
      <c r="C37" s="12" t="s">
        <v>56</v>
      </c>
      <c r="D37" s="12" t="s">
        <v>52</v>
      </c>
      <c r="E37" s="12" t="s">
        <v>213</v>
      </c>
      <c r="F37" s="12">
        <v>40</v>
      </c>
    </row>
    <row r="38" spans="1:6">
      <c r="A38" s="12" t="s">
        <v>173</v>
      </c>
      <c r="B38" s="12" t="s">
        <v>81</v>
      </c>
      <c r="C38" s="12" t="s">
        <v>73</v>
      </c>
      <c r="D38" s="12" t="s">
        <v>82</v>
      </c>
      <c r="E38" s="12" t="s">
        <v>213</v>
      </c>
      <c r="F38" s="12">
        <v>50</v>
      </c>
    </row>
    <row r="39" spans="1:6">
      <c r="A39" s="12" t="s">
        <v>174</v>
      </c>
      <c r="B39" s="12" t="s">
        <v>81</v>
      </c>
      <c r="C39" s="12" t="s">
        <v>77</v>
      </c>
      <c r="D39" s="12" t="s">
        <v>82</v>
      </c>
      <c r="E39" s="12" t="s">
        <v>213</v>
      </c>
      <c r="F39" s="12">
        <v>50</v>
      </c>
    </row>
    <row r="40" spans="1:6">
      <c r="A40" s="12" t="s">
        <v>175</v>
      </c>
      <c r="B40" s="12" t="s">
        <v>81</v>
      </c>
      <c r="C40" s="12" t="s">
        <v>55</v>
      </c>
      <c r="D40" s="12" t="s">
        <v>82</v>
      </c>
      <c r="E40" s="12" t="s">
        <v>213</v>
      </c>
      <c r="F40" s="12">
        <v>50</v>
      </c>
    </row>
    <row r="41" spans="1:6">
      <c r="A41" s="12" t="s">
        <v>176</v>
      </c>
      <c r="B41" s="12" t="s">
        <v>81</v>
      </c>
      <c r="C41" s="12" t="s">
        <v>56</v>
      </c>
      <c r="D41" s="12" t="s">
        <v>82</v>
      </c>
      <c r="E41" s="12" t="s">
        <v>213</v>
      </c>
      <c r="F41" s="12">
        <v>50</v>
      </c>
    </row>
    <row r="42" spans="1:6">
      <c r="A42" s="12" t="s">
        <v>177</v>
      </c>
      <c r="B42" s="12" t="s">
        <v>81</v>
      </c>
      <c r="C42" s="12" t="s">
        <v>57</v>
      </c>
      <c r="D42" s="12" t="s">
        <v>82</v>
      </c>
      <c r="E42" s="12" t="s">
        <v>213</v>
      </c>
      <c r="F42" s="12">
        <v>50</v>
      </c>
    </row>
    <row r="43" spans="1:6">
      <c r="A43" s="12" t="s">
        <v>178</v>
      </c>
      <c r="B43" s="12" t="s">
        <v>83</v>
      </c>
      <c r="C43" s="12" t="s">
        <v>73</v>
      </c>
      <c r="D43" s="12" t="s">
        <v>78</v>
      </c>
      <c r="E43" s="12" t="s">
        <v>213</v>
      </c>
      <c r="F43" s="12">
        <v>100</v>
      </c>
    </row>
    <row r="44" spans="1:6">
      <c r="A44" s="12" t="s">
        <v>179</v>
      </c>
      <c r="B44" s="12" t="s">
        <v>83</v>
      </c>
      <c r="C44" s="12" t="s">
        <v>73</v>
      </c>
      <c r="D44" s="12" t="s">
        <v>84</v>
      </c>
      <c r="E44" s="12" t="s">
        <v>213</v>
      </c>
      <c r="F44" s="12">
        <v>100</v>
      </c>
    </row>
    <row r="45" spans="1:6">
      <c r="A45" s="12" t="s">
        <v>3</v>
      </c>
      <c r="B45" s="12" t="s">
        <v>83</v>
      </c>
      <c r="C45" s="12" t="s">
        <v>73</v>
      </c>
      <c r="D45" s="12" t="s">
        <v>85</v>
      </c>
      <c r="E45" s="12" t="s">
        <v>213</v>
      </c>
      <c r="F45" s="12">
        <v>100</v>
      </c>
    </row>
    <row r="46" spans="1:6">
      <c r="A46" s="12" t="s">
        <v>180</v>
      </c>
      <c r="B46" s="12" t="s">
        <v>86</v>
      </c>
      <c r="C46" s="12" t="s">
        <v>73</v>
      </c>
      <c r="D46" s="12" t="s">
        <v>87</v>
      </c>
      <c r="E46" s="12" t="s">
        <v>213</v>
      </c>
      <c r="F46" s="12">
        <v>100</v>
      </c>
    </row>
    <row r="47" spans="1:6">
      <c r="A47" s="12" t="s">
        <v>181</v>
      </c>
      <c r="B47" s="12" t="s">
        <v>88</v>
      </c>
      <c r="C47" s="12" t="s">
        <v>68</v>
      </c>
      <c r="D47" s="12" t="s">
        <v>85</v>
      </c>
      <c r="E47" s="12" t="s">
        <v>213</v>
      </c>
      <c r="F47" s="12">
        <v>100</v>
      </c>
    </row>
    <row r="48" spans="1:6">
      <c r="A48" s="12" t="s">
        <v>4</v>
      </c>
      <c r="B48" s="12" t="s">
        <v>89</v>
      </c>
      <c r="C48" s="12" t="s">
        <v>62</v>
      </c>
      <c r="D48" s="12" t="s">
        <v>85</v>
      </c>
      <c r="E48" s="12" t="s">
        <v>213</v>
      </c>
      <c r="F48" s="12">
        <v>100</v>
      </c>
    </row>
    <row r="49" spans="1:6">
      <c r="A49" s="12" t="s">
        <v>43</v>
      </c>
      <c r="B49" s="12" t="s">
        <v>90</v>
      </c>
      <c r="C49" s="12" t="s">
        <v>51</v>
      </c>
      <c r="D49" s="12" t="s">
        <v>85</v>
      </c>
      <c r="E49" s="12" t="s">
        <v>213</v>
      </c>
      <c r="F49" s="12">
        <v>100</v>
      </c>
    </row>
    <row r="50" spans="1:6">
      <c r="A50" s="12" t="s">
        <v>44</v>
      </c>
      <c r="B50" s="12" t="s">
        <v>91</v>
      </c>
      <c r="C50" s="12" t="s">
        <v>92</v>
      </c>
      <c r="D50" s="12" t="s">
        <v>85</v>
      </c>
      <c r="E50" s="12" t="s">
        <v>213</v>
      </c>
      <c r="F50" s="12">
        <v>100</v>
      </c>
    </row>
    <row r="51" spans="1:6">
      <c r="A51" s="12" t="s">
        <v>40</v>
      </c>
      <c r="B51" s="12" t="s">
        <v>93</v>
      </c>
      <c r="C51" s="12" t="s">
        <v>51</v>
      </c>
      <c r="D51" s="12" t="s">
        <v>85</v>
      </c>
      <c r="E51" s="12" t="s">
        <v>213</v>
      </c>
      <c r="F51" s="12">
        <v>100</v>
      </c>
    </row>
    <row r="52" spans="1:6">
      <c r="A52" s="12" t="s">
        <v>5</v>
      </c>
      <c r="B52" s="12" t="s">
        <v>94</v>
      </c>
      <c r="C52" s="12" t="s">
        <v>77</v>
      </c>
      <c r="D52" s="12" t="s">
        <v>85</v>
      </c>
      <c r="E52" s="12" t="s">
        <v>213</v>
      </c>
      <c r="F52" s="12">
        <v>100</v>
      </c>
    </row>
    <row r="53" spans="1:6">
      <c r="A53" s="12" t="s">
        <v>45</v>
      </c>
      <c r="B53" s="12" t="s">
        <v>95</v>
      </c>
      <c r="C53" s="12" t="s">
        <v>77</v>
      </c>
      <c r="D53" s="12" t="s">
        <v>85</v>
      </c>
      <c r="E53" s="12" t="s">
        <v>213</v>
      </c>
      <c r="F53" s="12">
        <v>100</v>
      </c>
    </row>
    <row r="54" spans="1:6">
      <c r="A54" s="12" t="s">
        <v>182</v>
      </c>
      <c r="B54" s="12" t="s">
        <v>96</v>
      </c>
      <c r="C54" s="12" t="s">
        <v>55</v>
      </c>
      <c r="D54" s="12" t="s">
        <v>78</v>
      </c>
      <c r="E54" s="12" t="s">
        <v>213</v>
      </c>
      <c r="F54" s="12">
        <v>100</v>
      </c>
    </row>
    <row r="55" spans="1:6">
      <c r="A55" s="12" t="s">
        <v>183</v>
      </c>
      <c r="B55" s="12" t="s">
        <v>96</v>
      </c>
      <c r="C55" s="12" t="s">
        <v>55</v>
      </c>
      <c r="D55" s="12" t="s">
        <v>84</v>
      </c>
      <c r="E55" s="12" t="s">
        <v>213</v>
      </c>
      <c r="F55" s="12">
        <v>100</v>
      </c>
    </row>
    <row r="56" spans="1:6">
      <c r="A56" s="12" t="s">
        <v>6</v>
      </c>
      <c r="B56" s="12" t="s">
        <v>97</v>
      </c>
      <c r="C56" s="12" t="s">
        <v>55</v>
      </c>
      <c r="D56" s="12" t="s">
        <v>85</v>
      </c>
      <c r="E56" s="12" t="s">
        <v>213</v>
      </c>
      <c r="F56" s="12">
        <v>100</v>
      </c>
    </row>
    <row r="57" spans="1:6">
      <c r="A57" s="12" t="s">
        <v>7</v>
      </c>
      <c r="B57" s="12" t="s">
        <v>98</v>
      </c>
      <c r="C57" s="12" t="s">
        <v>55</v>
      </c>
      <c r="D57" s="12" t="s">
        <v>85</v>
      </c>
      <c r="E57" s="12" t="s">
        <v>213</v>
      </c>
      <c r="F57" s="12">
        <v>100</v>
      </c>
    </row>
    <row r="58" spans="1:6">
      <c r="A58" s="12" t="s">
        <v>8</v>
      </c>
      <c r="B58" s="12" t="s">
        <v>99</v>
      </c>
      <c r="C58" s="12" t="s">
        <v>100</v>
      </c>
      <c r="D58" s="12" t="s">
        <v>85</v>
      </c>
      <c r="E58" s="12" t="s">
        <v>213</v>
      </c>
      <c r="F58" s="12">
        <v>100</v>
      </c>
    </row>
    <row r="59" spans="1:6">
      <c r="A59" s="12" t="s">
        <v>184</v>
      </c>
      <c r="B59" s="12" t="s">
        <v>101</v>
      </c>
      <c r="C59" s="12" t="s">
        <v>102</v>
      </c>
      <c r="D59" s="12" t="s">
        <v>85</v>
      </c>
      <c r="E59" s="12" t="s">
        <v>213</v>
      </c>
      <c r="F59" s="12">
        <v>100</v>
      </c>
    </row>
    <row r="60" spans="1:6">
      <c r="A60" s="12" t="s">
        <v>185</v>
      </c>
      <c r="B60" s="12" t="s">
        <v>103</v>
      </c>
      <c r="C60" s="12" t="s">
        <v>56</v>
      </c>
      <c r="D60" s="12" t="s">
        <v>85</v>
      </c>
      <c r="E60" s="12" t="s">
        <v>213</v>
      </c>
      <c r="F60" s="12">
        <v>100</v>
      </c>
    </row>
    <row r="61" spans="1:6">
      <c r="A61" s="12" t="s">
        <v>186</v>
      </c>
      <c r="B61" s="12" t="s">
        <v>104</v>
      </c>
      <c r="C61" s="12" t="s">
        <v>57</v>
      </c>
      <c r="D61" s="12" t="s">
        <v>85</v>
      </c>
      <c r="E61" s="12" t="s">
        <v>213</v>
      </c>
      <c r="F61" s="12">
        <v>100</v>
      </c>
    </row>
    <row r="62" spans="1:6">
      <c r="A62" s="12" t="s">
        <v>47</v>
      </c>
      <c r="B62" s="12" t="s">
        <v>105</v>
      </c>
      <c r="C62" s="12" t="s">
        <v>73</v>
      </c>
      <c r="D62" s="12" t="s">
        <v>106</v>
      </c>
      <c r="E62" s="12" t="s">
        <v>213</v>
      </c>
      <c r="F62" s="12">
        <v>200</v>
      </c>
    </row>
    <row r="63" spans="1:6">
      <c r="A63" s="12" t="s">
        <v>187</v>
      </c>
      <c r="B63" s="12" t="s">
        <v>107</v>
      </c>
      <c r="C63" s="12" t="s">
        <v>51</v>
      </c>
      <c r="D63" s="12" t="s">
        <v>108</v>
      </c>
      <c r="E63" s="12" t="s">
        <v>213</v>
      </c>
      <c r="F63" s="12">
        <v>200</v>
      </c>
    </row>
    <row r="64" spans="1:6">
      <c r="A64" s="12" t="s">
        <v>41</v>
      </c>
      <c r="B64" s="12" t="s">
        <v>109</v>
      </c>
      <c r="C64" s="12" t="s">
        <v>110</v>
      </c>
      <c r="D64" s="12" t="s">
        <v>106</v>
      </c>
      <c r="E64" s="12" t="s">
        <v>213</v>
      </c>
      <c r="F64" s="12">
        <v>200</v>
      </c>
    </row>
    <row r="65" spans="1:6">
      <c r="A65" s="12" t="s">
        <v>188</v>
      </c>
      <c r="B65" s="12" t="s">
        <v>111</v>
      </c>
      <c r="C65" s="12" t="s">
        <v>55</v>
      </c>
      <c r="D65" s="12" t="s">
        <v>108</v>
      </c>
      <c r="E65" s="12" t="s">
        <v>213</v>
      </c>
      <c r="F65" s="12">
        <v>200</v>
      </c>
    </row>
    <row r="66" spans="1:6">
      <c r="A66" s="12" t="s">
        <v>189</v>
      </c>
      <c r="B66" s="12" t="s">
        <v>112</v>
      </c>
      <c r="C66" s="12" t="s">
        <v>56</v>
      </c>
      <c r="D66" s="12" t="s">
        <v>108</v>
      </c>
      <c r="E66" s="12" t="s">
        <v>213</v>
      </c>
      <c r="F66" s="12">
        <v>200</v>
      </c>
    </row>
    <row r="67" spans="1:6">
      <c r="A67" s="12" t="s">
        <v>9</v>
      </c>
      <c r="B67" s="12" t="s">
        <v>113</v>
      </c>
      <c r="C67" s="12" t="s">
        <v>73</v>
      </c>
      <c r="D67" s="12" t="s">
        <v>114</v>
      </c>
      <c r="E67" s="12" t="s">
        <v>213</v>
      </c>
      <c r="F67" s="12">
        <v>400</v>
      </c>
    </row>
    <row r="68" spans="1:6">
      <c r="A68" s="12" t="s">
        <v>339</v>
      </c>
      <c r="B68" s="12" t="s">
        <v>115</v>
      </c>
      <c r="C68" s="12" t="s">
        <v>73</v>
      </c>
      <c r="D68" s="12" t="s">
        <v>114</v>
      </c>
      <c r="E68" s="12" t="s">
        <v>213</v>
      </c>
      <c r="F68" s="12">
        <v>400</v>
      </c>
    </row>
    <row r="69" spans="1:6">
      <c r="A69" s="12" t="s">
        <v>11</v>
      </c>
      <c r="B69" s="12" t="s">
        <v>116</v>
      </c>
      <c r="C69" s="12" t="s">
        <v>51</v>
      </c>
      <c r="D69" s="12" t="s">
        <v>117</v>
      </c>
      <c r="E69" s="12" t="s">
        <v>213</v>
      </c>
      <c r="F69" s="12">
        <v>400</v>
      </c>
    </row>
    <row r="70" spans="1:6">
      <c r="A70" s="12" t="s">
        <v>10</v>
      </c>
      <c r="B70" s="12" t="s">
        <v>118</v>
      </c>
      <c r="C70" s="12" t="s">
        <v>77</v>
      </c>
      <c r="D70" s="12" t="s">
        <v>119</v>
      </c>
      <c r="E70" s="12" t="s">
        <v>213</v>
      </c>
      <c r="F70" s="12">
        <v>400</v>
      </c>
    </row>
    <row r="71" spans="1:6">
      <c r="A71" s="12" t="s">
        <v>42</v>
      </c>
      <c r="B71" s="12" t="s">
        <v>120</v>
      </c>
      <c r="C71" s="12" t="s">
        <v>77</v>
      </c>
      <c r="D71" s="12" t="s">
        <v>117</v>
      </c>
      <c r="E71" s="12" t="s">
        <v>213</v>
      </c>
      <c r="F71" s="12">
        <v>400</v>
      </c>
    </row>
    <row r="72" spans="1:6">
      <c r="A72" s="12" t="s">
        <v>12</v>
      </c>
      <c r="B72" s="12" t="s">
        <v>121</v>
      </c>
      <c r="C72" s="12" t="s">
        <v>55</v>
      </c>
      <c r="D72" s="12" t="s">
        <v>117</v>
      </c>
      <c r="E72" s="12" t="s">
        <v>213</v>
      </c>
      <c r="F72" s="12">
        <v>400</v>
      </c>
    </row>
    <row r="73" spans="1:6">
      <c r="A73" s="12" t="s">
        <v>190</v>
      </c>
      <c r="B73" s="12" t="s">
        <v>122</v>
      </c>
      <c r="C73" s="12" t="s">
        <v>56</v>
      </c>
      <c r="D73" s="12" t="s">
        <v>108</v>
      </c>
      <c r="E73" s="12" t="s">
        <v>213</v>
      </c>
      <c r="F73" s="12">
        <v>400</v>
      </c>
    </row>
    <row r="74" spans="1:6">
      <c r="A74" s="12" t="s">
        <v>48</v>
      </c>
      <c r="B74" s="12" t="s">
        <v>123</v>
      </c>
      <c r="C74" s="12" t="s">
        <v>124</v>
      </c>
      <c r="D74" s="12" t="s">
        <v>125</v>
      </c>
      <c r="E74" s="12" t="s">
        <v>213</v>
      </c>
      <c r="F74" s="12">
        <v>800</v>
      </c>
    </row>
    <row r="75" spans="1:6">
      <c r="A75" s="12" t="s">
        <v>13</v>
      </c>
      <c r="B75" s="12" t="s">
        <v>126</v>
      </c>
      <c r="C75" s="12" t="s">
        <v>51</v>
      </c>
      <c r="D75" s="12" t="s">
        <v>125</v>
      </c>
      <c r="E75" s="12" t="s">
        <v>213</v>
      </c>
      <c r="F75" s="12">
        <v>800</v>
      </c>
    </row>
    <row r="76" spans="1:6">
      <c r="A76" s="12" t="s">
        <v>14</v>
      </c>
      <c r="B76" s="12" t="s">
        <v>127</v>
      </c>
      <c r="C76" s="12" t="s">
        <v>77</v>
      </c>
      <c r="D76" s="12" t="s">
        <v>125</v>
      </c>
      <c r="E76" s="12" t="s">
        <v>213</v>
      </c>
      <c r="F76" s="12">
        <v>800</v>
      </c>
    </row>
    <row r="77" spans="1:6">
      <c r="A77" s="12" t="s">
        <v>15</v>
      </c>
      <c r="B77" s="12" t="s">
        <v>128</v>
      </c>
      <c r="C77" s="12" t="s">
        <v>129</v>
      </c>
      <c r="D77" s="12" t="s">
        <v>108</v>
      </c>
      <c r="E77" s="12" t="s">
        <v>213</v>
      </c>
      <c r="F77" s="12">
        <v>800</v>
      </c>
    </row>
    <row r="78" spans="1:6">
      <c r="A78" s="12" t="s">
        <v>16</v>
      </c>
      <c r="B78" s="12" t="s">
        <v>130</v>
      </c>
      <c r="C78" s="12" t="s">
        <v>131</v>
      </c>
      <c r="D78" s="12" t="s">
        <v>108</v>
      </c>
      <c r="E78" s="12" t="s">
        <v>213</v>
      </c>
      <c r="F78" s="12">
        <v>800</v>
      </c>
    </row>
    <row r="79" spans="1:6">
      <c r="A79" s="12" t="s">
        <v>17</v>
      </c>
      <c r="B79" s="12" t="s">
        <v>132</v>
      </c>
      <c r="C79" s="12" t="s">
        <v>56</v>
      </c>
      <c r="D79" s="12" t="s">
        <v>108</v>
      </c>
      <c r="E79" s="12" t="s">
        <v>213</v>
      </c>
      <c r="F79" s="12">
        <v>800</v>
      </c>
    </row>
    <row r="80" spans="1:6">
      <c r="A80" s="12" t="s">
        <v>18</v>
      </c>
      <c r="B80" s="12" t="s">
        <v>133</v>
      </c>
      <c r="C80" s="12" t="s">
        <v>73</v>
      </c>
      <c r="D80" s="12" t="s">
        <v>134</v>
      </c>
      <c r="E80" s="12" t="s">
        <v>213</v>
      </c>
      <c r="F80" s="12">
        <v>1600</v>
      </c>
    </row>
    <row r="81" spans="1:6">
      <c r="A81" s="12" t="s">
        <v>19</v>
      </c>
      <c r="B81" s="12" t="s">
        <v>135</v>
      </c>
      <c r="C81" s="12" t="s">
        <v>51</v>
      </c>
      <c r="D81" s="12" t="s">
        <v>134</v>
      </c>
      <c r="E81" s="12" t="s">
        <v>213</v>
      </c>
      <c r="F81" s="12">
        <v>1600</v>
      </c>
    </row>
    <row r="82" spans="1:6">
      <c r="A82" s="12" t="s">
        <v>20</v>
      </c>
      <c r="B82" s="12" t="s">
        <v>136</v>
      </c>
      <c r="C82" s="12" t="s">
        <v>77</v>
      </c>
      <c r="D82" s="12" t="s">
        <v>134</v>
      </c>
      <c r="E82" s="12" t="s">
        <v>213</v>
      </c>
      <c r="F82" s="12">
        <v>1600</v>
      </c>
    </row>
    <row r="83" spans="1:6">
      <c r="A83" s="12" t="s">
        <v>49</v>
      </c>
      <c r="B83" s="12" t="s">
        <v>137</v>
      </c>
      <c r="C83" s="12" t="s">
        <v>55</v>
      </c>
      <c r="D83" s="12" t="s">
        <v>134</v>
      </c>
      <c r="E83" s="12" t="s">
        <v>213</v>
      </c>
      <c r="F83" s="12">
        <v>1600</v>
      </c>
    </row>
    <row r="84" spans="1:6">
      <c r="A84" s="12" t="s">
        <v>191</v>
      </c>
      <c r="B84" s="12" t="s">
        <v>138</v>
      </c>
      <c r="C84" s="12" t="s">
        <v>201</v>
      </c>
      <c r="D84" s="12" t="s">
        <v>134</v>
      </c>
      <c r="E84" s="12" t="s">
        <v>213</v>
      </c>
      <c r="F84" s="12">
        <v>1600</v>
      </c>
    </row>
    <row r="85" spans="1:6">
      <c r="A85" s="12" t="s">
        <v>192</v>
      </c>
      <c r="B85" s="12" t="s">
        <v>139</v>
      </c>
      <c r="C85" s="12" t="s">
        <v>73</v>
      </c>
      <c r="D85" s="12" t="s">
        <v>134</v>
      </c>
      <c r="E85" s="12" t="s">
        <v>213</v>
      </c>
      <c r="F85" s="12">
        <v>3200</v>
      </c>
    </row>
    <row r="86" spans="1:6">
      <c r="A86" s="12" t="s">
        <v>193</v>
      </c>
      <c r="B86" s="12" t="s">
        <v>140</v>
      </c>
      <c r="C86" s="12" t="s">
        <v>51</v>
      </c>
      <c r="D86" s="12" t="s">
        <v>134</v>
      </c>
      <c r="E86" s="12" t="s">
        <v>213</v>
      </c>
      <c r="F86" s="12">
        <v>3200</v>
      </c>
    </row>
    <row r="87" spans="1:6">
      <c r="A87" s="12" t="s">
        <v>194</v>
      </c>
      <c r="B87" s="12" t="s">
        <v>141</v>
      </c>
      <c r="C87" s="12" t="s">
        <v>77</v>
      </c>
      <c r="D87" s="12" t="s">
        <v>134</v>
      </c>
      <c r="E87" s="12" t="s">
        <v>213</v>
      </c>
      <c r="F87" s="12">
        <v>3200</v>
      </c>
    </row>
    <row r="88" spans="1:6">
      <c r="A88" s="12" t="s">
        <v>195</v>
      </c>
      <c r="B88" s="12" t="s">
        <v>142</v>
      </c>
      <c r="C88" s="12" t="s">
        <v>55</v>
      </c>
      <c r="D88" s="12" t="s">
        <v>134</v>
      </c>
      <c r="E88" s="12" t="s">
        <v>213</v>
      </c>
      <c r="F88" s="12">
        <v>3200</v>
      </c>
    </row>
    <row r="89" spans="1:6">
      <c r="A89" s="82" t="s">
        <v>196</v>
      </c>
      <c r="B89" s="82" t="s">
        <v>143</v>
      </c>
      <c r="C89" s="82" t="s">
        <v>201</v>
      </c>
      <c r="D89" s="82" t="s">
        <v>134</v>
      </c>
      <c r="E89" s="82" t="s">
        <v>213</v>
      </c>
      <c r="F89" s="82">
        <v>3200</v>
      </c>
    </row>
    <row r="90" spans="1:6">
      <c r="A90" s="12" t="s">
        <v>197</v>
      </c>
      <c r="B90" s="12" t="s">
        <v>61</v>
      </c>
      <c r="C90" s="12"/>
      <c r="D90" s="12"/>
      <c r="E90" s="12" t="s">
        <v>214</v>
      </c>
      <c r="F90" s="12">
        <v>10</v>
      </c>
    </row>
    <row r="91" spans="1:6">
      <c r="A91" s="12" t="s">
        <v>198</v>
      </c>
      <c r="B91" s="12" t="s">
        <v>204</v>
      </c>
      <c r="C91" s="12"/>
      <c r="D91" s="12"/>
      <c r="E91" s="12" t="s">
        <v>214</v>
      </c>
      <c r="F91" s="12">
        <v>2.5</v>
      </c>
    </row>
    <row r="92" spans="1:6">
      <c r="A92" s="12" t="s">
        <v>21</v>
      </c>
      <c r="B92" s="12" t="s">
        <v>61</v>
      </c>
      <c r="C92" s="12"/>
      <c r="D92" s="12"/>
      <c r="E92" s="12" t="s">
        <v>214</v>
      </c>
      <c r="F92" s="12">
        <v>10</v>
      </c>
    </row>
    <row r="93" spans="1:6">
      <c r="A93" s="12" t="s">
        <v>22</v>
      </c>
      <c r="B93" s="12" t="s">
        <v>80</v>
      </c>
      <c r="C93" s="12"/>
      <c r="D93" s="12"/>
      <c r="E93" s="12" t="s">
        <v>214</v>
      </c>
      <c r="F93" s="12">
        <v>40</v>
      </c>
    </row>
    <row r="94" spans="1:6">
      <c r="A94" s="12" t="s">
        <v>23</v>
      </c>
      <c r="B94" s="12" t="s">
        <v>205</v>
      </c>
      <c r="C94" s="12"/>
      <c r="D94" s="12"/>
      <c r="E94" s="12" t="s">
        <v>214</v>
      </c>
      <c r="F94" s="12">
        <v>100</v>
      </c>
    </row>
    <row r="95" spans="1:6">
      <c r="A95" s="12" t="s">
        <v>24</v>
      </c>
      <c r="B95" s="12" t="s">
        <v>205</v>
      </c>
      <c r="C95" s="12"/>
      <c r="D95" s="12"/>
      <c r="E95" s="12" t="s">
        <v>214</v>
      </c>
      <c r="F95" s="12">
        <v>100</v>
      </c>
    </row>
    <row r="96" spans="1:6">
      <c r="A96" s="12" t="s">
        <v>25</v>
      </c>
      <c r="B96" s="12" t="s">
        <v>205</v>
      </c>
      <c r="C96" s="12"/>
      <c r="D96" s="12"/>
      <c r="E96" s="12" t="s">
        <v>214</v>
      </c>
      <c r="F96" s="12">
        <v>100</v>
      </c>
    </row>
    <row r="97" spans="1:6">
      <c r="A97" s="12" t="s">
        <v>26</v>
      </c>
      <c r="B97" s="12" t="s">
        <v>205</v>
      </c>
      <c r="C97" s="12"/>
      <c r="D97" s="12"/>
      <c r="E97" s="12" t="s">
        <v>214</v>
      </c>
      <c r="F97" s="12">
        <v>100</v>
      </c>
    </row>
    <row r="98" spans="1:6">
      <c r="A98" s="12" t="s">
        <v>27</v>
      </c>
      <c r="B98" s="12" t="s">
        <v>205</v>
      </c>
      <c r="C98" s="12"/>
      <c r="D98" s="12"/>
      <c r="E98" s="12" t="s">
        <v>214</v>
      </c>
      <c r="F98" s="12">
        <v>100</v>
      </c>
    </row>
    <row r="99" spans="1:6">
      <c r="A99" s="12" t="s">
        <v>28</v>
      </c>
      <c r="B99" s="12" t="s">
        <v>206</v>
      </c>
      <c r="C99" s="12"/>
      <c r="D99" s="12"/>
      <c r="E99" s="12" t="s">
        <v>214</v>
      </c>
      <c r="F99" s="12">
        <v>200</v>
      </c>
    </row>
    <row r="100" spans="1:6">
      <c r="A100" s="12" t="s">
        <v>29</v>
      </c>
      <c r="B100" s="12" t="s">
        <v>206</v>
      </c>
      <c r="C100" s="12"/>
      <c r="D100" s="12"/>
      <c r="E100" s="12" t="s">
        <v>214</v>
      </c>
      <c r="F100" s="12">
        <v>200</v>
      </c>
    </row>
    <row r="101" spans="1:6">
      <c r="A101" s="12" t="s">
        <v>30</v>
      </c>
      <c r="B101" s="12" t="s">
        <v>206</v>
      </c>
      <c r="C101" s="12"/>
      <c r="D101" s="12"/>
      <c r="E101" s="12" t="s">
        <v>214</v>
      </c>
      <c r="F101" s="12">
        <v>200</v>
      </c>
    </row>
    <row r="102" spans="1:6">
      <c r="A102" s="12" t="s">
        <v>31</v>
      </c>
      <c r="B102" s="12" t="s">
        <v>207</v>
      </c>
      <c r="C102" s="12"/>
      <c r="D102" s="12"/>
      <c r="E102" s="12" t="s">
        <v>214</v>
      </c>
      <c r="F102" s="12">
        <v>400</v>
      </c>
    </row>
    <row r="103" spans="1:6">
      <c r="A103" s="12" t="s">
        <v>32</v>
      </c>
      <c r="B103" s="12" t="s">
        <v>207</v>
      </c>
      <c r="C103" s="12"/>
      <c r="D103" s="12"/>
      <c r="E103" s="12" t="s">
        <v>214</v>
      </c>
      <c r="F103" s="12">
        <v>400</v>
      </c>
    </row>
    <row r="104" spans="1:6">
      <c r="A104" s="12" t="s">
        <v>33</v>
      </c>
      <c r="B104" s="12" t="s">
        <v>207</v>
      </c>
      <c r="C104" s="12"/>
      <c r="D104" s="12"/>
      <c r="E104" s="12" t="s">
        <v>214</v>
      </c>
      <c r="F104" s="12">
        <v>400</v>
      </c>
    </row>
    <row r="105" spans="1:6">
      <c r="A105" s="12" t="s">
        <v>34</v>
      </c>
      <c r="B105" s="12" t="s">
        <v>207</v>
      </c>
      <c r="C105" s="12"/>
      <c r="D105" s="12"/>
      <c r="E105" s="12" t="s">
        <v>214</v>
      </c>
      <c r="F105" s="12">
        <v>400</v>
      </c>
    </row>
    <row r="106" spans="1:6">
      <c r="A106" s="12" t="s">
        <v>35</v>
      </c>
      <c r="B106" s="12" t="s">
        <v>208</v>
      </c>
      <c r="C106" s="12"/>
      <c r="D106" s="12"/>
      <c r="E106" s="12" t="s">
        <v>214</v>
      </c>
      <c r="F106" s="12">
        <v>600</v>
      </c>
    </row>
    <row r="107" spans="1:6">
      <c r="A107" s="12" t="s">
        <v>36</v>
      </c>
      <c r="B107" s="12" t="s">
        <v>209</v>
      </c>
      <c r="C107" s="12"/>
      <c r="D107" s="12"/>
      <c r="E107" s="12" t="s">
        <v>214</v>
      </c>
      <c r="F107" s="12">
        <v>800</v>
      </c>
    </row>
    <row r="108" spans="1:6">
      <c r="A108" s="12" t="s">
        <v>37</v>
      </c>
      <c r="B108" s="12" t="s">
        <v>209</v>
      </c>
      <c r="C108" s="12"/>
      <c r="D108" s="12"/>
      <c r="E108" s="12" t="s">
        <v>214</v>
      </c>
      <c r="F108" s="12">
        <v>800</v>
      </c>
    </row>
    <row r="109" spans="1:6">
      <c r="A109" s="12" t="s">
        <v>38</v>
      </c>
      <c r="B109" s="12" t="s">
        <v>210</v>
      </c>
      <c r="C109" s="12"/>
      <c r="D109" s="12"/>
      <c r="E109" s="12" t="s">
        <v>214</v>
      </c>
      <c r="F109" s="12">
        <v>1200</v>
      </c>
    </row>
    <row r="110" spans="1:6">
      <c r="A110" s="12" t="s">
        <v>39</v>
      </c>
      <c r="B110" s="12" t="s">
        <v>211</v>
      </c>
      <c r="C110" s="12"/>
      <c r="D110" s="12"/>
      <c r="E110" s="12" t="s">
        <v>214</v>
      </c>
      <c r="F110" s="12">
        <v>1600</v>
      </c>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F614"/>
  <sheetViews>
    <sheetView zoomScale="60" zoomScaleNormal="60" workbookViewId="0"/>
  </sheetViews>
  <sheetFormatPr defaultColWidth="8.5" defaultRowHeight="15.75"/>
  <cols>
    <col min="1" max="1" width="4" customWidth="1"/>
    <col min="2" max="2" width="14" customWidth="1"/>
    <col min="3" max="3" width="18.5" customWidth="1"/>
    <col min="4" max="5" width="9.5" bestFit="1" customWidth="1"/>
    <col min="6" max="6" width="10" customWidth="1"/>
    <col min="7" max="7" width="9.5" bestFit="1" customWidth="1"/>
    <col min="8" max="8" width="9" bestFit="1" customWidth="1"/>
    <col min="9" max="10" width="11" customWidth="1"/>
    <col min="11" max="13" width="12" bestFit="1" customWidth="1"/>
    <col min="14" max="14" width="10.8125" bestFit="1" customWidth="1"/>
    <col min="15" max="15" width="11.1875" bestFit="1" customWidth="1"/>
    <col min="16" max="19" width="12.6875" bestFit="1" customWidth="1"/>
    <col min="20" max="20" width="12" customWidth="1"/>
    <col min="21" max="21" width="10.8125" customWidth="1"/>
    <col min="22" max="24" width="11" customWidth="1"/>
  </cols>
  <sheetData>
    <row r="1" spans="1:20" s="1" customFormat="1" ht="14.25">
      <c r="A1" s="19"/>
    </row>
    <row r="2" spans="1:20" s="1" customFormat="1" ht="18">
      <c r="A2" s="19"/>
      <c r="B2" s="20" t="s">
        <v>246</v>
      </c>
    </row>
    <row r="3" spans="1:20" s="1" customFormat="1">
      <c r="A3" s="19"/>
      <c r="B3" s="156" t="str">
        <f>Introduction!B3</f>
        <v xml:space="preserve"> Mega Datacenter Report - July 2023  sample template</v>
      </c>
    </row>
    <row r="4" spans="1:20" s="1" customFormat="1" ht="21">
      <c r="A4" s="19"/>
      <c r="B4" s="22" t="s">
        <v>245</v>
      </c>
      <c r="F4" s="23"/>
      <c r="G4" s="2"/>
      <c r="H4" s="2"/>
      <c r="I4" s="2"/>
      <c r="J4" s="2"/>
      <c r="K4" s="2"/>
      <c r="L4" s="2"/>
      <c r="M4" s="2"/>
    </row>
    <row r="5" spans="1:20" s="1" customFormat="1" ht="14.25">
      <c r="A5" s="19"/>
    </row>
    <row r="6" spans="1:20" s="1" customFormat="1" ht="13.15">
      <c r="B6" s="161" t="s">
        <v>476</v>
      </c>
      <c r="D6" s="5"/>
      <c r="E6" s="5"/>
      <c r="F6" s="5"/>
      <c r="G6" s="5"/>
      <c r="H6" s="5"/>
      <c r="I6" s="6"/>
      <c r="J6" s="6"/>
      <c r="K6" s="6"/>
      <c r="L6" s="6"/>
      <c r="M6" s="6"/>
      <c r="N6" s="6"/>
      <c r="O6" s="6"/>
      <c r="P6" s="6"/>
      <c r="Q6" s="6"/>
      <c r="R6" s="6"/>
      <c r="S6" s="6"/>
      <c r="T6" s="3"/>
    </row>
    <row r="7" spans="1:20" s="1" customFormat="1">
      <c r="A7"/>
      <c r="B7" s="161"/>
      <c r="D7" s="5"/>
      <c r="E7" s="5"/>
      <c r="F7" s="5"/>
      <c r="G7" s="5"/>
      <c r="H7" s="5"/>
      <c r="I7" s="6"/>
      <c r="J7" s="6"/>
      <c r="K7" s="6"/>
      <c r="L7" s="6"/>
      <c r="M7" s="6"/>
      <c r="N7" s="6"/>
      <c r="O7" s="6"/>
      <c r="P7" s="6"/>
      <c r="Q7" s="6"/>
      <c r="R7" s="6"/>
      <c r="S7" s="6"/>
      <c r="T7" s="3"/>
    </row>
    <row r="8" spans="1:20" s="1" customFormat="1">
      <c r="A8"/>
      <c r="D8" s="5"/>
      <c r="E8" s="5"/>
      <c r="F8" s="5"/>
      <c r="G8" s="5"/>
      <c r="H8" s="5"/>
      <c r="I8" s="6"/>
      <c r="J8" s="6"/>
      <c r="K8" s="6"/>
      <c r="L8" s="6"/>
      <c r="M8" s="6"/>
      <c r="N8" s="6"/>
      <c r="O8" s="6"/>
      <c r="P8" s="6"/>
      <c r="Q8" s="6"/>
      <c r="R8" s="6"/>
      <c r="S8" s="6"/>
      <c r="T8" s="3"/>
    </row>
    <row r="9" spans="1:20" s="1" customFormat="1">
      <c r="A9"/>
      <c r="D9" s="5"/>
      <c r="E9" s="5"/>
      <c r="F9" s="5"/>
      <c r="G9" s="5"/>
      <c r="H9" s="5"/>
      <c r="I9" s="6"/>
      <c r="J9" s="6"/>
      <c r="K9" s="6"/>
      <c r="L9" s="6"/>
      <c r="M9" s="6"/>
      <c r="N9" s="6"/>
      <c r="O9" s="6"/>
      <c r="P9" s="6"/>
      <c r="Q9" s="6"/>
      <c r="R9" s="6"/>
      <c r="S9" s="6"/>
      <c r="T9" s="3"/>
    </row>
    <row r="10" spans="1:20" s="1" customFormat="1">
      <c r="A10"/>
      <c r="D10" s="5"/>
      <c r="E10" s="5"/>
      <c r="F10" s="5"/>
      <c r="G10" s="5"/>
      <c r="H10" s="5"/>
      <c r="I10" s="6"/>
      <c r="J10" s="6"/>
      <c r="K10" s="6"/>
      <c r="L10" s="6"/>
      <c r="M10" s="6"/>
      <c r="N10" s="6"/>
      <c r="O10" s="6"/>
      <c r="P10" s="6"/>
      <c r="Q10" s="6"/>
      <c r="R10" s="6"/>
      <c r="S10" s="6"/>
      <c r="T10" s="3"/>
    </row>
    <row r="11" spans="1:20" s="1" customFormat="1">
      <c r="A11"/>
      <c r="D11" s="5"/>
      <c r="E11" s="5"/>
      <c r="F11" s="5"/>
      <c r="G11" s="5"/>
      <c r="H11" s="5"/>
      <c r="I11" s="6"/>
      <c r="J11" s="6"/>
      <c r="K11" s="6"/>
      <c r="L11" s="6"/>
      <c r="M11" s="6"/>
      <c r="N11" s="6"/>
      <c r="O11" s="6"/>
      <c r="P11" s="6"/>
      <c r="Q11" s="6"/>
      <c r="R11" s="6"/>
      <c r="S11" s="6"/>
      <c r="T11" s="3"/>
    </row>
    <row r="12" spans="1:20" s="1" customFormat="1">
      <c r="A12"/>
      <c r="D12" s="5"/>
      <c r="E12" s="5"/>
      <c r="F12" s="5"/>
      <c r="G12" s="5"/>
      <c r="H12" s="5"/>
      <c r="I12" s="6"/>
      <c r="J12" s="6"/>
      <c r="K12" s="6"/>
      <c r="L12" s="6"/>
      <c r="M12" s="6"/>
      <c r="N12" s="6"/>
      <c r="O12" s="6"/>
      <c r="P12" s="6"/>
      <c r="Q12" s="6"/>
      <c r="R12" s="6"/>
      <c r="S12" s="6"/>
      <c r="T12" s="3"/>
    </row>
    <row r="13" spans="1:20" s="1" customFormat="1">
      <c r="A13"/>
      <c r="D13" s="5"/>
      <c r="E13" s="5"/>
      <c r="F13" s="5"/>
      <c r="G13" s="5"/>
      <c r="H13" s="5"/>
      <c r="I13" s="6"/>
      <c r="J13" s="6"/>
      <c r="K13" s="6"/>
      <c r="L13" s="6"/>
      <c r="M13" s="6"/>
      <c r="N13" s="6"/>
      <c r="O13" s="6"/>
      <c r="P13" s="6"/>
      <c r="Q13" s="6"/>
      <c r="R13" s="6"/>
      <c r="S13" s="6"/>
      <c r="T13" s="3"/>
    </row>
    <row r="14" spans="1:20" s="1" customFormat="1">
      <c r="A14"/>
      <c r="D14" s="5"/>
      <c r="E14" s="5"/>
      <c r="F14" s="5"/>
      <c r="G14" s="5"/>
      <c r="H14" s="5"/>
      <c r="I14" s="6"/>
      <c r="J14" s="6"/>
      <c r="K14" s="6"/>
      <c r="L14" s="6"/>
      <c r="M14" s="6"/>
      <c r="N14" s="6"/>
      <c r="O14" s="6"/>
      <c r="P14" s="6"/>
      <c r="Q14" s="6"/>
      <c r="R14" s="6"/>
      <c r="S14" s="6"/>
      <c r="T14" s="3"/>
    </row>
    <row r="15" spans="1:20" s="1" customFormat="1">
      <c r="A15"/>
      <c r="D15" s="5"/>
      <c r="E15" s="5"/>
      <c r="F15" s="5"/>
      <c r="G15" s="5"/>
      <c r="H15" s="5"/>
      <c r="I15" s="6"/>
      <c r="J15" s="6"/>
      <c r="K15" s="6"/>
      <c r="L15" s="6"/>
      <c r="M15" s="6"/>
      <c r="N15" s="6"/>
      <c r="O15" s="6"/>
      <c r="P15" s="6"/>
      <c r="Q15" s="6"/>
      <c r="R15" s="6"/>
      <c r="S15" s="6"/>
      <c r="T15" s="3"/>
    </row>
    <row r="16" spans="1:20" s="1" customFormat="1">
      <c r="A16"/>
      <c r="D16" s="5"/>
      <c r="E16" s="5"/>
      <c r="F16" s="5"/>
      <c r="G16" s="5"/>
      <c r="H16" s="5"/>
      <c r="I16" s="6"/>
      <c r="J16" s="6"/>
      <c r="K16" s="6"/>
      <c r="L16" s="6"/>
      <c r="M16" s="6"/>
      <c r="N16" s="6"/>
      <c r="O16" s="6"/>
      <c r="P16" s="6"/>
      <c r="Q16" s="6"/>
      <c r="R16" s="6"/>
      <c r="S16" s="6"/>
      <c r="T16" s="3"/>
    </row>
    <row r="17" spans="1:20" s="1" customFormat="1">
      <c r="A17"/>
      <c r="D17" s="5"/>
      <c r="E17" s="5"/>
      <c r="F17" s="5"/>
      <c r="G17" s="5"/>
      <c r="H17" s="5"/>
      <c r="I17" s="6"/>
      <c r="J17" s="6"/>
      <c r="K17" s="6"/>
      <c r="L17" s="6"/>
      <c r="M17" s="6"/>
      <c r="N17" s="6"/>
      <c r="O17" s="6"/>
      <c r="P17" s="6"/>
      <c r="Q17" s="6"/>
      <c r="R17" s="6"/>
      <c r="S17" s="6"/>
      <c r="T17" s="3"/>
    </row>
    <row r="18" spans="1:20" s="1" customFormat="1">
      <c r="A18"/>
      <c r="D18" s="5"/>
      <c r="E18" s="5"/>
      <c r="F18" s="5"/>
      <c r="G18" s="5"/>
      <c r="H18" s="5"/>
      <c r="I18" s="6"/>
      <c r="J18" s="6"/>
      <c r="K18" s="6"/>
      <c r="L18" s="6"/>
      <c r="M18" s="6"/>
      <c r="N18" s="6"/>
      <c r="O18" s="6"/>
      <c r="P18" s="6"/>
      <c r="Q18" s="6"/>
      <c r="R18" s="6"/>
      <c r="S18" s="6"/>
      <c r="T18" s="3"/>
    </row>
    <row r="19" spans="1:20" s="1" customFormat="1">
      <c r="A19"/>
      <c r="B19" s="161"/>
      <c r="D19" s="5"/>
      <c r="E19" s="5"/>
      <c r="F19" s="5"/>
      <c r="G19" s="5"/>
      <c r="H19" s="5"/>
      <c r="I19" s="6"/>
      <c r="J19" s="6"/>
      <c r="K19" s="6"/>
      <c r="L19" s="6"/>
      <c r="M19" s="6"/>
      <c r="N19" s="6"/>
      <c r="O19" s="6"/>
      <c r="P19" s="6"/>
      <c r="Q19" s="6"/>
      <c r="R19" s="6"/>
      <c r="S19" s="6"/>
      <c r="T19" s="3"/>
    </row>
    <row r="20" spans="1:20" s="1" customFormat="1">
      <c r="A20"/>
      <c r="B20" s="161"/>
      <c r="D20" s="5"/>
      <c r="E20" s="5"/>
      <c r="F20" s="5"/>
      <c r="G20" s="5"/>
      <c r="H20" s="5"/>
      <c r="I20" s="6"/>
      <c r="J20" s="6"/>
      <c r="K20" s="6"/>
      <c r="L20" s="6"/>
      <c r="M20" s="6"/>
      <c r="N20" s="6"/>
      <c r="O20" s="6"/>
      <c r="P20" s="6"/>
      <c r="Q20" s="6"/>
      <c r="R20" s="6"/>
      <c r="S20" s="6"/>
      <c r="T20" s="3"/>
    </row>
    <row r="21" spans="1:20" s="1" customFormat="1">
      <c r="A21"/>
      <c r="B21" s="161"/>
      <c r="D21" s="5"/>
      <c r="E21" s="5"/>
      <c r="F21" s="5"/>
      <c r="G21" s="5"/>
      <c r="H21" s="5"/>
      <c r="I21" s="6"/>
      <c r="J21" s="6"/>
      <c r="K21" s="6"/>
      <c r="L21" s="6"/>
      <c r="M21" s="6"/>
      <c r="N21" s="6"/>
      <c r="O21" s="6"/>
      <c r="P21" s="6"/>
      <c r="Q21" s="6"/>
      <c r="R21" s="6"/>
      <c r="S21" s="6"/>
      <c r="T21" s="3"/>
    </row>
    <row r="22" spans="1:20" s="1" customFormat="1">
      <c r="A22"/>
      <c r="B22" s="161"/>
      <c r="D22" s="5"/>
      <c r="E22" s="5"/>
      <c r="F22" s="5"/>
      <c r="G22" s="5"/>
      <c r="H22" s="5"/>
      <c r="I22" s="6"/>
      <c r="J22" s="6"/>
      <c r="K22" s="6"/>
      <c r="L22" s="6"/>
      <c r="M22" s="6"/>
      <c r="N22" s="6"/>
      <c r="O22" s="6"/>
      <c r="P22" s="6"/>
      <c r="Q22" s="6"/>
      <c r="R22" s="6"/>
      <c r="S22" s="6"/>
      <c r="T22" s="3"/>
    </row>
    <row r="23" spans="1:20" s="1" customFormat="1">
      <c r="A23"/>
      <c r="B23" s="161" t="s">
        <v>477</v>
      </c>
      <c r="D23" s="5"/>
      <c r="E23" s="5"/>
      <c r="F23" s="5"/>
      <c r="G23" s="5"/>
      <c r="H23" s="5"/>
      <c r="I23" s="6"/>
      <c r="J23" s="6"/>
      <c r="K23" s="6"/>
      <c r="L23" s="6"/>
      <c r="M23" s="6"/>
      <c r="N23" s="6"/>
      <c r="O23" s="6"/>
      <c r="P23" s="6"/>
      <c r="Q23" s="6"/>
      <c r="R23" s="6"/>
      <c r="S23" s="6"/>
      <c r="T23" s="3"/>
    </row>
    <row r="24" spans="1:20" s="1" customFormat="1">
      <c r="A24"/>
      <c r="B24" s="161"/>
      <c r="D24" s="5"/>
      <c r="E24" s="5"/>
      <c r="F24" s="5"/>
      <c r="G24" s="5"/>
      <c r="H24" s="5"/>
      <c r="I24" s="6"/>
      <c r="J24" s="6"/>
      <c r="K24" s="6"/>
      <c r="L24" s="6"/>
      <c r="M24" s="6"/>
      <c r="N24" s="6"/>
      <c r="O24" s="6"/>
      <c r="P24" s="6"/>
      <c r="Q24" s="6"/>
      <c r="R24" s="6"/>
      <c r="S24" s="6"/>
      <c r="T24" s="3"/>
    </row>
    <row r="25" spans="1:20" s="1" customFormat="1">
      <c r="A25"/>
      <c r="B25" s="161"/>
      <c r="D25" s="5"/>
      <c r="E25" s="5"/>
      <c r="F25" s="5"/>
      <c r="G25" s="5"/>
      <c r="H25" s="5"/>
      <c r="I25" s="6"/>
      <c r="J25" s="6"/>
      <c r="K25" s="6"/>
      <c r="L25" s="6"/>
      <c r="M25" s="6"/>
      <c r="N25" s="6"/>
      <c r="O25" s="6"/>
      <c r="P25" s="6"/>
      <c r="Q25" s="6"/>
      <c r="R25" s="6"/>
      <c r="S25" s="6"/>
      <c r="T25" s="3"/>
    </row>
    <row r="26" spans="1:20" s="1" customFormat="1">
      <c r="A26"/>
      <c r="B26" s="161"/>
      <c r="D26" s="5"/>
      <c r="E26" s="5"/>
      <c r="F26" s="5"/>
      <c r="G26" s="5"/>
      <c r="H26" s="5"/>
      <c r="I26" s="6"/>
      <c r="J26" s="6"/>
      <c r="K26" s="6"/>
      <c r="L26" s="6"/>
      <c r="M26" s="6"/>
      <c r="N26" s="6"/>
      <c r="O26" s="6"/>
      <c r="P26" s="6"/>
      <c r="Q26" s="6"/>
      <c r="R26" s="6"/>
      <c r="S26" s="6"/>
      <c r="T26" s="3"/>
    </row>
    <row r="27" spans="1:20" s="1" customFormat="1">
      <c r="A27"/>
      <c r="B27" s="161"/>
      <c r="D27" s="5"/>
      <c r="E27" s="5"/>
      <c r="F27" s="5"/>
      <c r="G27" s="5"/>
      <c r="H27" s="5"/>
      <c r="I27" s="6"/>
      <c r="J27" s="6"/>
      <c r="K27" s="6"/>
      <c r="L27" s="6"/>
      <c r="M27" s="6"/>
      <c r="N27" s="6"/>
      <c r="O27" s="6"/>
      <c r="P27" s="6"/>
      <c r="Q27" s="6"/>
      <c r="R27" s="6"/>
      <c r="S27" s="6"/>
      <c r="T27" s="3"/>
    </row>
    <row r="28" spans="1:20" s="1" customFormat="1">
      <c r="A28"/>
      <c r="B28" s="161"/>
      <c r="D28" s="5"/>
      <c r="E28" s="5"/>
      <c r="F28" s="5"/>
      <c r="G28" s="5"/>
      <c r="H28" s="5"/>
      <c r="I28" s="6"/>
      <c r="J28" s="6"/>
      <c r="K28" s="6"/>
      <c r="L28" s="6"/>
      <c r="M28" s="6"/>
      <c r="N28" s="6"/>
      <c r="O28" s="6"/>
      <c r="P28" s="6"/>
      <c r="Q28" s="6"/>
      <c r="R28" s="6"/>
      <c r="S28" s="6"/>
      <c r="T28" s="3"/>
    </row>
    <row r="29" spans="1:20" s="1" customFormat="1">
      <c r="A29"/>
      <c r="B29" s="161"/>
      <c r="D29" s="5"/>
      <c r="E29" s="5"/>
      <c r="F29" s="5"/>
      <c r="G29" s="5"/>
      <c r="H29" s="5"/>
      <c r="I29" s="6"/>
      <c r="J29" s="6"/>
      <c r="K29" s="6"/>
      <c r="L29" s="6"/>
      <c r="M29" s="6"/>
      <c r="N29" s="6"/>
      <c r="O29" s="6"/>
      <c r="P29" s="6"/>
      <c r="Q29" s="6"/>
      <c r="R29" s="6"/>
      <c r="S29" s="6"/>
      <c r="T29" s="3"/>
    </row>
    <row r="30" spans="1:20" s="1" customFormat="1">
      <c r="A30"/>
      <c r="B30" s="161"/>
      <c r="D30" s="5"/>
      <c r="E30" s="5"/>
      <c r="F30" s="5"/>
      <c r="G30" s="5"/>
      <c r="H30" s="5"/>
      <c r="I30" s="6"/>
      <c r="J30" s="6"/>
      <c r="K30" s="6"/>
      <c r="L30" s="6"/>
      <c r="M30" s="6"/>
      <c r="N30" s="6"/>
      <c r="O30" s="6"/>
      <c r="P30" s="6"/>
      <c r="Q30" s="6"/>
      <c r="R30" s="6"/>
      <c r="S30" s="6"/>
      <c r="T30" s="3"/>
    </row>
    <row r="31" spans="1:20" s="1" customFormat="1">
      <c r="A31"/>
      <c r="B31" s="161"/>
      <c r="D31" s="5"/>
      <c r="E31" s="5"/>
      <c r="F31" s="5"/>
      <c r="G31" s="5"/>
      <c r="H31" s="5"/>
      <c r="I31" s="6"/>
      <c r="J31" s="6"/>
      <c r="K31" s="6"/>
      <c r="L31" s="6"/>
      <c r="M31" s="6"/>
      <c r="N31" s="6"/>
      <c r="O31" s="6"/>
      <c r="P31" s="6"/>
      <c r="Q31" s="6"/>
      <c r="R31" s="6"/>
      <c r="S31" s="6"/>
      <c r="T31" s="3"/>
    </row>
    <row r="32" spans="1:20" s="1" customFormat="1">
      <c r="A32"/>
      <c r="B32" s="161"/>
      <c r="D32" s="5"/>
      <c r="E32" s="5"/>
      <c r="F32" s="5"/>
      <c r="G32" s="5"/>
      <c r="H32" s="5"/>
      <c r="I32" s="6"/>
      <c r="J32" s="6"/>
      <c r="K32" s="6"/>
      <c r="L32" s="6"/>
      <c r="M32" s="6"/>
      <c r="N32" s="6"/>
      <c r="O32" s="6"/>
      <c r="P32" s="6"/>
      <c r="Q32" s="6"/>
      <c r="R32" s="6"/>
      <c r="S32" s="6"/>
      <c r="T32" s="3"/>
    </row>
    <row r="33" spans="1:21" s="1" customFormat="1">
      <c r="A33"/>
      <c r="B33" s="161"/>
      <c r="D33" s="5"/>
      <c r="E33" s="5"/>
      <c r="F33" s="5"/>
      <c r="G33" s="5"/>
      <c r="H33" s="5"/>
      <c r="I33" s="6"/>
      <c r="J33" s="6"/>
      <c r="K33" s="6"/>
      <c r="L33" s="6"/>
      <c r="M33" s="6"/>
      <c r="N33" s="6"/>
      <c r="O33" s="6"/>
      <c r="P33" s="6"/>
      <c r="Q33" s="6"/>
      <c r="R33" s="6"/>
      <c r="S33" s="6"/>
      <c r="T33" s="3"/>
    </row>
    <row r="34" spans="1:21" s="1" customFormat="1">
      <c r="A34"/>
      <c r="B34" s="161"/>
      <c r="D34" s="5"/>
      <c r="E34" s="5"/>
      <c r="F34" s="5"/>
      <c r="G34" s="5"/>
      <c r="H34" s="5"/>
      <c r="I34" s="6"/>
      <c r="J34" s="6"/>
      <c r="K34" s="6"/>
      <c r="L34" s="6"/>
      <c r="M34" s="6"/>
      <c r="N34" s="6"/>
      <c r="O34" s="6"/>
      <c r="P34" s="6"/>
      <c r="Q34" s="6"/>
      <c r="R34" s="6"/>
      <c r="S34" s="6"/>
      <c r="T34" s="3"/>
    </row>
    <row r="35" spans="1:21" s="1" customFormat="1">
      <c r="A35"/>
      <c r="B35" s="161"/>
      <c r="D35" s="5"/>
      <c r="E35" s="5"/>
      <c r="F35" s="5"/>
      <c r="G35" s="5"/>
      <c r="H35" s="5"/>
      <c r="I35" s="6"/>
      <c r="J35" s="6"/>
      <c r="K35" s="6"/>
      <c r="L35" s="6"/>
      <c r="M35" s="6"/>
      <c r="N35" s="6"/>
      <c r="O35" s="6"/>
      <c r="P35" s="6"/>
      <c r="Q35" s="6"/>
      <c r="R35" s="6"/>
      <c r="S35" s="6"/>
      <c r="T35" s="3"/>
    </row>
    <row r="36" spans="1:21" s="1" customFormat="1">
      <c r="A36"/>
      <c r="B36" s="161"/>
      <c r="D36" s="5"/>
      <c r="E36" s="5"/>
      <c r="F36" s="5"/>
      <c r="G36" s="5"/>
      <c r="H36" s="5"/>
      <c r="I36" s="6"/>
      <c r="J36" s="6"/>
      <c r="K36" s="6"/>
      <c r="L36" s="6"/>
      <c r="M36" s="6"/>
      <c r="N36" s="6"/>
      <c r="O36" s="6"/>
      <c r="P36" s="6"/>
      <c r="Q36" s="6"/>
      <c r="R36" s="6"/>
      <c r="S36" s="6"/>
      <c r="T36" s="3"/>
    </row>
    <row r="37" spans="1:21" s="1" customFormat="1">
      <c r="A37"/>
      <c r="B37" s="161"/>
      <c r="D37" s="5"/>
      <c r="E37" s="5"/>
      <c r="F37" s="5"/>
      <c r="G37" s="5"/>
      <c r="H37" s="5"/>
      <c r="I37" s="6"/>
      <c r="J37" s="6"/>
      <c r="K37" s="6"/>
      <c r="L37" s="6"/>
      <c r="M37" s="6"/>
      <c r="N37" s="6"/>
      <c r="O37" s="6"/>
      <c r="P37" s="6"/>
      <c r="Q37" s="6"/>
      <c r="R37" s="6"/>
      <c r="S37" s="6"/>
      <c r="T37" s="3"/>
    </row>
    <row r="38" spans="1:21" s="1" customFormat="1">
      <c r="A38"/>
      <c r="B38" s="161"/>
      <c r="D38" s="5"/>
      <c r="E38" s="5"/>
      <c r="F38" s="5"/>
      <c r="G38" s="5"/>
      <c r="H38" s="5"/>
      <c r="I38" s="6"/>
      <c r="J38" s="6"/>
      <c r="K38" s="6"/>
      <c r="L38" s="6"/>
      <c r="M38" s="6"/>
      <c r="N38" s="6"/>
      <c r="O38" s="6"/>
      <c r="P38" s="6"/>
      <c r="Q38" s="6"/>
      <c r="R38" s="6"/>
      <c r="S38" s="6"/>
      <c r="T38" s="3"/>
    </row>
    <row r="39" spans="1:21" s="1" customFormat="1">
      <c r="A39"/>
      <c r="B39" s="161" t="s">
        <v>480</v>
      </c>
      <c r="D39" s="5"/>
      <c r="E39" s="5"/>
      <c r="F39" s="5"/>
      <c r="G39" s="5"/>
      <c r="H39" s="5"/>
      <c r="I39" s="6"/>
      <c r="J39" s="6"/>
      <c r="K39" s="6"/>
      <c r="L39" s="6"/>
      <c r="M39" s="6"/>
      <c r="N39" s="6"/>
      <c r="O39" s="6"/>
      <c r="P39" s="6"/>
      <c r="Q39" s="6"/>
      <c r="R39" s="6"/>
      <c r="S39" s="6"/>
      <c r="T39" s="3"/>
    </row>
    <row r="40" spans="1:21" s="1" customFormat="1">
      <c r="A40"/>
      <c r="B40" s="161"/>
      <c r="D40" s="5"/>
      <c r="E40" s="5"/>
      <c r="F40" s="5"/>
      <c r="G40" s="5"/>
      <c r="H40" s="5"/>
      <c r="I40" s="6"/>
      <c r="J40" s="6"/>
      <c r="K40" s="6"/>
      <c r="L40" s="6"/>
      <c r="M40" s="6"/>
      <c r="N40" s="6"/>
      <c r="O40" s="6"/>
      <c r="P40" s="6"/>
      <c r="Q40" s="6"/>
      <c r="R40" s="6"/>
      <c r="S40" s="6"/>
      <c r="T40" s="3"/>
    </row>
    <row r="41" spans="1:21" s="1" customFormat="1">
      <c r="A41"/>
      <c r="B41" s="161"/>
      <c r="D41" s="5"/>
      <c r="E41" s="5"/>
      <c r="F41" s="5"/>
      <c r="G41" s="5"/>
      <c r="H41" s="5"/>
      <c r="I41" s="6"/>
      <c r="J41" s="6"/>
      <c r="K41" s="6"/>
      <c r="L41" s="6"/>
      <c r="M41" s="6"/>
      <c r="N41" s="6"/>
      <c r="O41" s="6"/>
      <c r="P41" s="6"/>
      <c r="Q41" s="6"/>
      <c r="R41" s="6"/>
      <c r="S41" s="6"/>
      <c r="T41" s="3"/>
    </row>
    <row r="42" spans="1:21" s="1" customFormat="1">
      <c r="A42"/>
      <c r="B42" s="161"/>
      <c r="D42" s="5"/>
      <c r="E42" s="5"/>
      <c r="F42" s="5"/>
      <c r="G42" s="5"/>
      <c r="H42" s="5"/>
      <c r="I42" s="6"/>
      <c r="J42" s="6"/>
      <c r="K42" s="6"/>
      <c r="L42" s="6"/>
      <c r="M42" s="6"/>
      <c r="N42" s="6"/>
      <c r="O42" s="6"/>
      <c r="P42" s="6"/>
      <c r="Q42" s="6"/>
      <c r="R42" s="6"/>
      <c r="S42" s="6"/>
      <c r="T42" s="3"/>
    </row>
    <row r="43" spans="1:21" s="1" customFormat="1">
      <c r="A43"/>
      <c r="B43" s="161"/>
      <c r="D43" s="5"/>
      <c r="E43" s="5"/>
      <c r="F43" s="5"/>
      <c r="G43" s="5"/>
      <c r="H43" s="5"/>
      <c r="I43" s="6"/>
      <c r="J43" s="17"/>
      <c r="K43" s="191">
        <v>2018</v>
      </c>
      <c r="L43" s="191">
        <v>2019</v>
      </c>
      <c r="M43" s="191">
        <v>2020</v>
      </c>
      <c r="N43" s="191">
        <v>2021</v>
      </c>
      <c r="O43" s="191">
        <v>2022</v>
      </c>
      <c r="P43" s="191">
        <v>2023</v>
      </c>
      <c r="Q43" s="191">
        <v>2024</v>
      </c>
      <c r="R43" s="191">
        <v>2025</v>
      </c>
      <c r="S43" s="191">
        <v>2026</v>
      </c>
      <c r="T43" s="191">
        <v>2027</v>
      </c>
      <c r="U43" s="165">
        <v>2028</v>
      </c>
    </row>
    <row r="44" spans="1:21" s="1" customFormat="1">
      <c r="A44"/>
      <c r="B44" s="161"/>
      <c r="D44" s="5"/>
      <c r="E44" s="5"/>
      <c r="F44" s="5"/>
      <c r="G44" s="5"/>
      <c r="H44" s="5"/>
      <c r="I44" s="6"/>
      <c r="J44" s="25" t="s">
        <v>478</v>
      </c>
      <c r="K44" s="92">
        <f>TotalMarket!X137</f>
        <v>3345.278884424838</v>
      </c>
      <c r="L44" s="92">
        <f>TotalMarket!Y137</f>
        <v>2782.470398871395</v>
      </c>
      <c r="M44" s="92">
        <f>TotalMarket!Z137</f>
        <v>0</v>
      </c>
      <c r="N44" s="92">
        <f>TotalMarket!AA137</f>
        <v>0</v>
      </c>
      <c r="O44" s="92">
        <f>TotalMarket!AB137</f>
        <v>0</v>
      </c>
      <c r="P44" s="92">
        <f>TotalMarket!AC137</f>
        <v>0</v>
      </c>
      <c r="Q44" s="92">
        <f>TotalMarket!AD137</f>
        <v>0</v>
      </c>
      <c r="R44" s="92">
        <f>TotalMarket!AE137</f>
        <v>0</v>
      </c>
      <c r="S44" s="92">
        <f>TotalMarket!AF137</f>
        <v>0</v>
      </c>
      <c r="T44" s="92">
        <f>TotalMarket!AG137</f>
        <v>0</v>
      </c>
      <c r="U44" s="92">
        <f>TotalMarket!AH137</f>
        <v>0</v>
      </c>
    </row>
    <row r="45" spans="1:21" s="1" customFormat="1">
      <c r="A45"/>
      <c r="B45" s="161"/>
      <c r="D45" s="5"/>
      <c r="E45" s="5"/>
      <c r="F45" s="5"/>
      <c r="G45" s="5"/>
      <c r="H45" s="5"/>
      <c r="I45" s="6"/>
      <c r="J45" s="25" t="s">
        <v>378</v>
      </c>
      <c r="K45" s="92">
        <v>3388.0175278135284</v>
      </c>
      <c r="L45" s="92">
        <v>2782.470398871395</v>
      </c>
      <c r="M45" s="92">
        <v>3718.6251986410343</v>
      </c>
      <c r="N45" s="92">
        <v>4653.6111440227305</v>
      </c>
      <c r="O45" s="92">
        <v>5069.0600813211895</v>
      </c>
      <c r="P45" s="92">
        <v>4638.1802546685867</v>
      </c>
      <c r="Q45" s="92">
        <v>5066.8437334255768</v>
      </c>
      <c r="R45" s="92">
        <v>5809.4428679662988</v>
      </c>
      <c r="S45" s="92">
        <v>6611.7444684010343</v>
      </c>
      <c r="T45" s="92">
        <v>7371.8795553138862</v>
      </c>
      <c r="U45" s="92">
        <v>8208.3191604524909</v>
      </c>
    </row>
    <row r="46" spans="1:21" s="1" customFormat="1">
      <c r="A46"/>
      <c r="B46" s="161"/>
      <c r="D46" s="5"/>
      <c r="E46" s="5"/>
      <c r="F46" s="5"/>
      <c r="G46" s="5"/>
      <c r="H46" s="5"/>
      <c r="I46" s="6"/>
      <c r="J46" s="25" t="s">
        <v>479</v>
      </c>
      <c r="K46" s="92">
        <v>3388.0175278135284</v>
      </c>
      <c r="L46" s="92">
        <v>2782.470398871395</v>
      </c>
      <c r="M46" s="92">
        <v>3718.6251986410343</v>
      </c>
      <c r="N46" s="92">
        <v>4653.6111440227305</v>
      </c>
      <c r="O46" s="92">
        <v>5063.9137125495126</v>
      </c>
      <c r="P46" s="92">
        <v>5162.1573687160253</v>
      </c>
      <c r="Q46" s="92">
        <v>5953.2948355322615</v>
      </c>
      <c r="R46" s="92">
        <v>7205.3176949427143</v>
      </c>
      <c r="S46" s="92">
        <v>8339.3197789420556</v>
      </c>
      <c r="T46" s="92">
        <v>9195.04253511567</v>
      </c>
      <c r="U46" s="92">
        <v>10055.31039159451</v>
      </c>
    </row>
    <row r="47" spans="1:21" s="1" customFormat="1">
      <c r="A47"/>
      <c r="B47" s="161"/>
      <c r="D47" s="5"/>
      <c r="E47" s="5"/>
      <c r="F47" s="5"/>
      <c r="G47" s="5"/>
      <c r="H47" s="5"/>
      <c r="I47" s="6"/>
    </row>
    <row r="48" spans="1:21" s="1" customFormat="1">
      <c r="A48"/>
      <c r="B48" s="161"/>
      <c r="D48" s="5"/>
      <c r="E48" s="5"/>
      <c r="F48" s="5"/>
      <c r="G48" s="5"/>
      <c r="H48" s="5"/>
      <c r="I48" s="6"/>
      <c r="J48" s="6"/>
      <c r="K48" s="6"/>
      <c r="L48" s="6"/>
      <c r="M48" s="6"/>
      <c r="N48" s="6"/>
      <c r="O48" s="6"/>
      <c r="P48" s="6"/>
      <c r="Q48" s="6"/>
      <c r="R48" s="6"/>
      <c r="S48" s="6"/>
      <c r="T48" s="3"/>
    </row>
    <row r="49" spans="1:20" s="1" customFormat="1">
      <c r="A49"/>
      <c r="B49" s="161"/>
      <c r="D49" s="5"/>
      <c r="E49" s="5"/>
      <c r="F49" s="5"/>
      <c r="G49" s="5"/>
      <c r="H49" s="5"/>
      <c r="I49" s="6"/>
      <c r="J49" s="6"/>
      <c r="K49" s="6"/>
      <c r="L49" s="6"/>
      <c r="M49" s="6"/>
      <c r="N49" s="6"/>
      <c r="O49" s="6"/>
      <c r="P49" s="6"/>
      <c r="Q49" s="6"/>
      <c r="R49" s="6"/>
      <c r="S49" s="6"/>
      <c r="T49" s="3"/>
    </row>
    <row r="50" spans="1:20" s="1" customFormat="1">
      <c r="A50"/>
      <c r="B50" s="161"/>
      <c r="D50" s="5"/>
      <c r="E50" s="5"/>
      <c r="F50" s="5"/>
      <c r="G50" s="5"/>
      <c r="H50" s="5"/>
      <c r="I50" s="6"/>
      <c r="J50" s="6"/>
      <c r="K50" s="6"/>
      <c r="L50" s="6"/>
      <c r="M50" s="6"/>
      <c r="N50" s="6"/>
      <c r="O50" s="6"/>
      <c r="P50" s="6"/>
      <c r="Q50" s="6"/>
      <c r="R50" s="6"/>
      <c r="S50" s="6"/>
      <c r="T50" s="3"/>
    </row>
    <row r="51" spans="1:20" s="1" customFormat="1">
      <c r="A51"/>
      <c r="B51" s="161"/>
      <c r="D51" s="5"/>
      <c r="E51" s="5"/>
      <c r="F51" s="5"/>
      <c r="G51" s="5"/>
      <c r="H51" s="5"/>
      <c r="I51" s="6"/>
      <c r="J51" s="6"/>
      <c r="K51" s="6"/>
      <c r="L51" s="6"/>
      <c r="M51" s="6"/>
      <c r="N51" s="6"/>
      <c r="O51" s="6"/>
      <c r="P51" s="6"/>
      <c r="Q51" s="6"/>
      <c r="R51" s="6"/>
      <c r="S51" s="6"/>
      <c r="T51" s="3"/>
    </row>
    <row r="52" spans="1:20" s="1" customFormat="1">
      <c r="A52"/>
      <c r="B52" s="161"/>
      <c r="D52" s="5"/>
      <c r="E52" s="5"/>
      <c r="F52" s="5"/>
      <c r="G52" s="5"/>
      <c r="H52" s="5"/>
      <c r="I52" s="6"/>
      <c r="J52" s="6"/>
      <c r="K52" s="6"/>
      <c r="L52" s="6"/>
      <c r="M52" s="6"/>
      <c r="N52" s="6"/>
      <c r="O52" s="6"/>
      <c r="P52" s="6"/>
      <c r="Q52" s="6"/>
      <c r="R52" s="6"/>
      <c r="S52" s="6"/>
      <c r="T52" s="3"/>
    </row>
    <row r="53" spans="1:20" s="1" customFormat="1">
      <c r="A53"/>
      <c r="B53" s="161"/>
      <c r="D53" s="5"/>
      <c r="E53" s="5"/>
      <c r="F53" s="5"/>
      <c r="G53" s="5"/>
      <c r="H53" s="5"/>
      <c r="I53" s="6"/>
      <c r="J53" s="6"/>
      <c r="K53" s="6"/>
      <c r="L53" s="6"/>
      <c r="M53" s="6"/>
      <c r="N53" s="6"/>
      <c r="O53" s="6"/>
      <c r="P53" s="6"/>
      <c r="Q53" s="6"/>
      <c r="R53" s="6"/>
      <c r="S53" s="6"/>
      <c r="T53" s="3"/>
    </row>
    <row r="54" spans="1:20" s="1" customFormat="1">
      <c r="A54"/>
      <c r="B54" s="161"/>
      <c r="D54" s="5"/>
      <c r="E54" s="5"/>
      <c r="F54" s="5"/>
      <c r="G54" s="5"/>
      <c r="H54" s="5"/>
      <c r="I54" s="6"/>
      <c r="J54" s="6"/>
      <c r="K54" s="6"/>
      <c r="L54" s="6"/>
      <c r="M54" s="6"/>
      <c r="N54" s="6"/>
      <c r="O54" s="6"/>
      <c r="P54" s="6"/>
      <c r="Q54" s="6"/>
      <c r="R54" s="6"/>
      <c r="S54" s="6"/>
      <c r="T54" s="3"/>
    </row>
    <row r="55" spans="1:20" s="1" customFormat="1">
      <c r="A55"/>
      <c r="B55" s="161" t="s">
        <v>255</v>
      </c>
      <c r="D55" s="5"/>
      <c r="E55" s="5"/>
      <c r="F55" s="5"/>
      <c r="G55" s="5"/>
      <c r="H55" s="5"/>
      <c r="I55" s="6"/>
      <c r="J55" s="6"/>
      <c r="K55" s="6"/>
      <c r="L55" s="6"/>
      <c r="M55" s="6"/>
      <c r="N55" s="6"/>
      <c r="O55" s="6"/>
      <c r="P55" s="6"/>
      <c r="Q55" s="6"/>
      <c r="R55" s="6"/>
      <c r="S55" s="6"/>
      <c r="T55" s="3"/>
    </row>
    <row r="56" spans="1:20" s="1" customFormat="1">
      <c r="A56"/>
      <c r="B56" s="161"/>
      <c r="D56" s="5"/>
      <c r="E56" s="5"/>
      <c r="F56" s="5"/>
      <c r="G56" s="5"/>
      <c r="H56" s="5"/>
      <c r="I56" s="6"/>
      <c r="J56" s="6"/>
      <c r="K56" s="6"/>
      <c r="L56" s="6"/>
      <c r="M56" s="6"/>
      <c r="N56" s="6"/>
      <c r="O56" s="6"/>
      <c r="P56" s="6"/>
      <c r="Q56" s="6"/>
      <c r="R56" s="6"/>
      <c r="S56" s="6"/>
      <c r="T56" s="3"/>
    </row>
    <row r="57" spans="1:20" s="1" customFormat="1">
      <c r="A57"/>
      <c r="B57" s="161" t="s">
        <v>273</v>
      </c>
      <c r="D57" s="5"/>
      <c r="E57" s="5"/>
      <c r="F57" s="5"/>
      <c r="G57" s="5"/>
      <c r="H57" s="5"/>
      <c r="I57" s="6"/>
      <c r="J57" s="6"/>
      <c r="K57" s="6"/>
      <c r="L57" s="6"/>
      <c r="M57" s="6"/>
      <c r="N57" s="6"/>
      <c r="O57" s="6"/>
      <c r="P57" s="6"/>
      <c r="Q57" s="6"/>
      <c r="R57" s="6"/>
      <c r="S57" s="6"/>
      <c r="T57" s="3"/>
    </row>
    <row r="58" spans="1:20" s="1" customFormat="1">
      <c r="A58"/>
      <c r="D58" s="5"/>
      <c r="E58" s="5"/>
      <c r="F58" s="5"/>
      <c r="G58" s="5"/>
      <c r="H58" s="5"/>
      <c r="I58" s="6"/>
      <c r="J58" s="6"/>
      <c r="K58" s="6"/>
      <c r="L58" s="6"/>
      <c r="M58" s="6"/>
      <c r="N58" s="6"/>
      <c r="O58" s="6"/>
      <c r="P58" s="6"/>
      <c r="Q58" s="6"/>
      <c r="R58" s="6"/>
      <c r="S58" s="6"/>
      <c r="T58" s="3"/>
    </row>
    <row r="59" spans="1:20" s="1" customFormat="1">
      <c r="A59"/>
      <c r="B59" s="161" t="s">
        <v>410</v>
      </c>
      <c r="D59" s="5"/>
      <c r="E59" s="5"/>
      <c r="F59" s="5"/>
      <c r="G59" s="5"/>
      <c r="H59" s="5"/>
      <c r="I59" s="6"/>
      <c r="J59" s="6"/>
      <c r="K59" s="6"/>
      <c r="L59" s="6"/>
      <c r="M59" s="6"/>
      <c r="N59" s="6"/>
      <c r="O59" s="6"/>
      <c r="P59" s="6"/>
      <c r="Q59" s="6"/>
      <c r="R59" s="6"/>
      <c r="S59" s="6"/>
      <c r="T59" s="3"/>
    </row>
    <row r="60" spans="1:20" s="1" customFormat="1">
      <c r="A60"/>
      <c r="D60" s="5"/>
      <c r="E60" s="5"/>
      <c r="F60" s="5"/>
      <c r="G60" s="5"/>
      <c r="H60" s="5"/>
      <c r="I60" s="6"/>
      <c r="J60" s="6"/>
      <c r="K60" s="6"/>
      <c r="L60" s="6"/>
      <c r="M60" s="6"/>
      <c r="N60" s="6"/>
      <c r="O60" s="6"/>
      <c r="P60" s="6"/>
      <c r="Q60" s="6"/>
      <c r="R60" s="6"/>
      <c r="S60" s="6"/>
      <c r="T60" s="3"/>
    </row>
    <row r="61" spans="1:20" s="1" customFormat="1">
      <c r="A61"/>
      <c r="D61" s="5"/>
      <c r="E61" s="5"/>
      <c r="F61" s="5"/>
      <c r="G61" s="5"/>
      <c r="H61" s="5"/>
      <c r="I61" s="6"/>
      <c r="J61" s="6"/>
      <c r="K61" s="6"/>
      <c r="L61" s="6"/>
      <c r="M61" s="6"/>
      <c r="N61" s="6"/>
      <c r="O61" s="6"/>
      <c r="P61" s="6"/>
      <c r="Q61" s="6"/>
      <c r="R61" s="6"/>
      <c r="S61" s="6"/>
      <c r="T61" s="3"/>
    </row>
    <row r="62" spans="1:20" s="1" customFormat="1">
      <c r="A62"/>
      <c r="D62" s="5"/>
      <c r="E62" s="5"/>
      <c r="F62" s="5"/>
      <c r="G62" s="5"/>
      <c r="H62" s="5"/>
      <c r="I62" s="6"/>
      <c r="J62" s="6"/>
      <c r="K62" s="6"/>
      <c r="L62" s="6"/>
      <c r="M62" s="6"/>
      <c r="N62" s="6"/>
      <c r="O62" s="6"/>
      <c r="P62" s="6"/>
      <c r="Q62" s="6"/>
      <c r="R62" s="6"/>
      <c r="S62" s="6"/>
      <c r="T62" s="3"/>
    </row>
    <row r="63" spans="1:20" s="1" customFormat="1">
      <c r="A63"/>
      <c r="D63" s="5"/>
      <c r="E63" s="5"/>
      <c r="F63" s="5"/>
      <c r="G63" s="5"/>
      <c r="H63" s="5"/>
      <c r="I63" s="6"/>
      <c r="J63" s="6"/>
      <c r="K63" s="6"/>
      <c r="L63" s="6"/>
      <c r="M63" s="6"/>
      <c r="N63" s="6"/>
      <c r="O63" s="6"/>
      <c r="P63" s="6"/>
      <c r="Q63" s="6"/>
      <c r="R63" s="6"/>
      <c r="S63" s="6"/>
      <c r="T63" s="3"/>
    </row>
    <row r="64" spans="1:20" s="1" customFormat="1">
      <c r="A64"/>
      <c r="D64" s="5"/>
      <c r="E64" s="5"/>
      <c r="F64" s="5"/>
      <c r="G64" s="5"/>
      <c r="H64" s="5"/>
      <c r="I64" s="6"/>
      <c r="J64" s="6"/>
      <c r="K64" s="6"/>
      <c r="L64" s="6"/>
      <c r="M64" s="6"/>
      <c r="N64" s="6"/>
      <c r="O64" s="6"/>
      <c r="P64" s="6"/>
      <c r="Q64" s="6"/>
      <c r="R64" s="6"/>
      <c r="S64" s="6"/>
      <c r="T64" s="3"/>
    </row>
    <row r="65" spans="1:20" s="1" customFormat="1">
      <c r="A65"/>
      <c r="D65" s="5"/>
      <c r="E65" s="5"/>
      <c r="F65" s="5"/>
      <c r="G65" s="5"/>
      <c r="H65" s="5"/>
      <c r="I65" s="6"/>
      <c r="J65" s="6"/>
      <c r="K65" s="6"/>
      <c r="L65" s="6"/>
      <c r="M65" s="6"/>
      <c r="N65" s="6"/>
      <c r="O65" s="6"/>
      <c r="P65" s="6"/>
      <c r="Q65" s="6"/>
      <c r="R65" s="6"/>
      <c r="S65" s="6"/>
      <c r="T65" s="3"/>
    </row>
    <row r="66" spans="1:20" s="1" customFormat="1">
      <c r="A66"/>
      <c r="D66" s="5"/>
      <c r="E66" s="5"/>
      <c r="F66" s="5"/>
      <c r="G66" s="5"/>
      <c r="H66" s="5"/>
      <c r="I66" s="6"/>
      <c r="J66" s="6"/>
      <c r="K66" s="6"/>
      <c r="L66" s="6"/>
      <c r="M66" s="6"/>
      <c r="N66" s="6"/>
      <c r="O66" s="6"/>
      <c r="P66" s="6"/>
      <c r="Q66" s="6"/>
      <c r="R66" s="6"/>
      <c r="S66" s="6"/>
      <c r="T66" s="3"/>
    </row>
    <row r="67" spans="1:20" s="1" customFormat="1">
      <c r="A67"/>
      <c r="D67" s="5"/>
      <c r="E67" s="5"/>
      <c r="F67" s="5"/>
      <c r="G67" s="5"/>
      <c r="H67" s="5"/>
      <c r="I67" s="6"/>
      <c r="J67" s="6"/>
      <c r="K67" s="6"/>
      <c r="L67" s="6"/>
      <c r="M67" s="6"/>
      <c r="N67" s="6"/>
      <c r="O67" s="6"/>
      <c r="P67" s="6"/>
      <c r="Q67" s="6"/>
      <c r="R67" s="6"/>
      <c r="S67" s="6"/>
      <c r="T67" s="3"/>
    </row>
    <row r="68" spans="1:20" s="1" customFormat="1">
      <c r="A68"/>
      <c r="D68" s="5"/>
      <c r="E68" s="5"/>
      <c r="F68" s="5"/>
      <c r="G68" s="5"/>
      <c r="H68" s="5"/>
      <c r="I68" s="6"/>
      <c r="J68" s="6"/>
      <c r="K68" s="6"/>
      <c r="L68" s="6"/>
      <c r="M68" s="6"/>
      <c r="N68" s="6"/>
      <c r="O68" s="6"/>
      <c r="P68" s="6"/>
      <c r="Q68" s="6"/>
      <c r="R68" s="6"/>
      <c r="S68" s="6"/>
      <c r="T68" s="3"/>
    </row>
    <row r="69" spans="1:20" s="1" customFormat="1">
      <c r="A69"/>
      <c r="B69" s="161" t="s">
        <v>411</v>
      </c>
      <c r="D69" s="5"/>
      <c r="E69" s="5"/>
      <c r="F69" s="5"/>
      <c r="G69" s="5"/>
      <c r="H69" s="5"/>
      <c r="I69" s="6"/>
      <c r="J69" s="6"/>
      <c r="K69" s="6"/>
      <c r="L69" s="6"/>
      <c r="M69" s="6"/>
      <c r="N69" s="6"/>
      <c r="O69" s="6"/>
      <c r="P69" s="6"/>
      <c r="Q69" s="6"/>
      <c r="R69" s="6"/>
      <c r="S69" s="6"/>
      <c r="T69" s="3"/>
    </row>
    <row r="70" spans="1:20" s="1" customFormat="1">
      <c r="A70"/>
      <c r="D70" s="5"/>
      <c r="E70" s="5"/>
      <c r="F70" s="5"/>
      <c r="G70" s="5"/>
      <c r="H70" s="5"/>
      <c r="I70" s="6"/>
      <c r="J70" s="6"/>
      <c r="K70" s="6"/>
      <c r="L70" s="6"/>
      <c r="M70" s="6"/>
      <c r="N70" s="6"/>
      <c r="O70" s="6"/>
      <c r="P70" s="6"/>
      <c r="Q70" s="6"/>
      <c r="R70" s="6"/>
      <c r="S70" s="6"/>
      <c r="T70" s="3"/>
    </row>
    <row r="71" spans="1:20" s="1" customFormat="1">
      <c r="A71"/>
      <c r="D71" s="5"/>
      <c r="E71" s="5"/>
      <c r="F71" s="5"/>
      <c r="G71" s="5"/>
      <c r="H71" s="5"/>
      <c r="I71" s="6"/>
      <c r="J71" s="6"/>
      <c r="K71" s="6"/>
      <c r="L71" s="6"/>
      <c r="M71" s="6"/>
      <c r="N71" s="6"/>
      <c r="O71" s="6"/>
      <c r="P71" s="6"/>
      <c r="Q71" s="6"/>
      <c r="R71" s="6"/>
      <c r="S71" s="6"/>
      <c r="T71" s="3"/>
    </row>
    <row r="72" spans="1:20" s="1" customFormat="1">
      <c r="A72"/>
      <c r="D72" s="5"/>
      <c r="E72" s="5"/>
      <c r="F72" s="5"/>
      <c r="G72" s="5"/>
      <c r="H72" s="5"/>
      <c r="I72" s="6"/>
      <c r="J72" s="6"/>
      <c r="K72" s="6"/>
      <c r="L72" s="6"/>
      <c r="M72" s="6"/>
      <c r="N72" s="6"/>
      <c r="O72" s="6"/>
      <c r="P72" s="6"/>
      <c r="Q72" s="6"/>
      <c r="R72" s="6"/>
      <c r="S72" s="6"/>
      <c r="T72" s="3"/>
    </row>
    <row r="73" spans="1:20" s="1" customFormat="1">
      <c r="A73"/>
      <c r="D73" s="5"/>
      <c r="E73" s="5"/>
      <c r="F73" s="5"/>
      <c r="G73" s="5"/>
      <c r="H73" s="5"/>
      <c r="I73" s="6"/>
      <c r="J73" s="6"/>
      <c r="K73" s="6"/>
      <c r="L73" s="6"/>
      <c r="M73" s="6"/>
      <c r="N73" s="6"/>
      <c r="O73" s="6"/>
      <c r="P73" s="6"/>
      <c r="Q73" s="6"/>
      <c r="R73" s="6"/>
      <c r="S73" s="6"/>
      <c r="T73" s="3"/>
    </row>
    <row r="74" spans="1:20" s="1" customFormat="1">
      <c r="A74"/>
      <c r="D74" s="5"/>
      <c r="E74" s="5"/>
      <c r="F74" s="5"/>
      <c r="G74" s="5"/>
      <c r="H74" s="5"/>
      <c r="I74" s="6"/>
      <c r="J74" s="6"/>
      <c r="K74" s="6"/>
      <c r="L74" s="6"/>
      <c r="M74" s="6"/>
      <c r="N74" s="6"/>
      <c r="O74" s="6"/>
      <c r="P74" s="6"/>
      <c r="Q74" s="6"/>
      <c r="R74" s="6"/>
      <c r="S74" s="6"/>
      <c r="T74" s="3"/>
    </row>
    <row r="75" spans="1:20" s="1" customFormat="1">
      <c r="A75"/>
      <c r="D75" s="5"/>
      <c r="E75" s="5"/>
      <c r="F75" s="5"/>
      <c r="G75" s="5"/>
      <c r="H75" s="5"/>
      <c r="I75" s="6"/>
      <c r="J75" s="6"/>
      <c r="K75" s="6"/>
      <c r="L75" s="6"/>
      <c r="M75" s="6"/>
      <c r="N75" s="6"/>
      <c r="O75" s="6"/>
      <c r="P75" s="6"/>
      <c r="Q75" s="6"/>
      <c r="R75" s="6"/>
      <c r="S75" s="6"/>
      <c r="T75" s="3"/>
    </row>
    <row r="76" spans="1:20" s="1" customFormat="1">
      <c r="A76"/>
      <c r="D76" s="5"/>
      <c r="E76" s="5"/>
      <c r="F76" s="5"/>
      <c r="G76" s="5"/>
      <c r="H76" s="5"/>
      <c r="I76" s="6"/>
      <c r="J76" s="6"/>
      <c r="K76" s="6"/>
      <c r="L76" s="6"/>
      <c r="M76" s="6"/>
      <c r="N76" s="6"/>
      <c r="O76" s="6"/>
      <c r="P76" s="6"/>
      <c r="Q76" s="6"/>
      <c r="R76" s="6"/>
      <c r="S76" s="6"/>
      <c r="T76" s="3"/>
    </row>
    <row r="77" spans="1:20" s="1" customFormat="1">
      <c r="A77"/>
      <c r="D77" s="5"/>
      <c r="E77" s="5"/>
      <c r="F77" s="5"/>
      <c r="G77" s="5"/>
      <c r="H77" s="5"/>
      <c r="I77" s="6"/>
      <c r="J77" s="6"/>
      <c r="K77" s="6"/>
      <c r="L77" s="6"/>
      <c r="M77" s="6"/>
      <c r="N77" s="6"/>
      <c r="O77" s="6"/>
      <c r="P77" s="6"/>
      <c r="Q77" s="6"/>
      <c r="R77" s="6"/>
      <c r="S77" s="6"/>
      <c r="T77" s="3"/>
    </row>
    <row r="78" spans="1:20" s="1" customFormat="1">
      <c r="A78"/>
      <c r="D78" s="5"/>
      <c r="E78" s="5"/>
      <c r="F78" s="5"/>
      <c r="G78" s="5"/>
      <c r="H78" s="5"/>
      <c r="I78" s="6"/>
      <c r="J78" s="6"/>
      <c r="K78" s="6"/>
      <c r="L78" s="6"/>
      <c r="M78" s="6"/>
      <c r="N78" s="6"/>
      <c r="O78" s="6"/>
      <c r="P78" s="6"/>
      <c r="Q78" s="6"/>
      <c r="R78" s="6"/>
      <c r="S78" s="6"/>
      <c r="T78" s="3"/>
    </row>
    <row r="79" spans="1:20" s="1" customFormat="1">
      <c r="A79"/>
      <c r="D79" s="5"/>
      <c r="E79" s="5"/>
      <c r="F79" s="5"/>
      <c r="G79" s="5"/>
      <c r="H79" s="5"/>
      <c r="I79" s="6"/>
      <c r="J79" s="6"/>
      <c r="K79" s="6"/>
      <c r="L79" s="6"/>
      <c r="M79" s="6"/>
      <c r="N79" s="6"/>
      <c r="O79" s="6"/>
      <c r="P79" s="6"/>
      <c r="Q79" s="6"/>
      <c r="R79" s="6"/>
      <c r="S79" s="6"/>
      <c r="T79" s="3"/>
    </row>
    <row r="80" spans="1:20" s="1" customFormat="1">
      <c r="A80"/>
      <c r="B80" s="161" t="s">
        <v>414</v>
      </c>
      <c r="D80" s="5"/>
      <c r="E80" s="5"/>
      <c r="F80" s="5"/>
      <c r="G80" s="5"/>
      <c r="H80" s="5"/>
      <c r="I80" s="6"/>
      <c r="J80" s="6"/>
      <c r="K80" s="6"/>
      <c r="L80" s="6"/>
      <c r="M80" s="6"/>
      <c r="N80" s="6"/>
      <c r="O80" s="6"/>
      <c r="P80" s="6"/>
      <c r="Q80" s="6"/>
      <c r="R80" s="6"/>
      <c r="S80" s="6"/>
      <c r="T80" s="3"/>
    </row>
    <row r="81" spans="1:20" s="1" customFormat="1">
      <c r="A81"/>
      <c r="B81" s="161"/>
      <c r="D81" s="5"/>
      <c r="E81" s="5"/>
      <c r="F81" s="5"/>
      <c r="G81" s="5"/>
      <c r="H81" s="5"/>
      <c r="I81" s="6"/>
      <c r="J81" s="6"/>
      <c r="K81" s="6"/>
      <c r="L81" s="6"/>
      <c r="M81" s="6"/>
      <c r="N81" s="6"/>
      <c r="O81" s="6"/>
      <c r="P81" s="6"/>
      <c r="Q81" s="6"/>
      <c r="R81" s="6"/>
      <c r="S81" s="6"/>
      <c r="T81" s="3"/>
    </row>
    <row r="82" spans="1:20" s="1" customFormat="1">
      <c r="A82"/>
      <c r="B82" s="161"/>
      <c r="D82" s="5"/>
      <c r="E82" s="5"/>
      <c r="F82" s="5"/>
      <c r="G82" s="5"/>
      <c r="H82" s="5"/>
      <c r="I82" s="6"/>
      <c r="J82" s="6"/>
      <c r="K82" s="6"/>
      <c r="L82" s="6"/>
      <c r="M82" s="6"/>
      <c r="N82" s="6"/>
      <c r="O82" s="6"/>
      <c r="P82" s="6"/>
      <c r="Q82" s="6"/>
      <c r="R82" s="6"/>
      <c r="S82" s="6"/>
      <c r="T82" s="3"/>
    </row>
    <row r="83" spans="1:20" s="1" customFormat="1">
      <c r="A83"/>
      <c r="B83" s="161"/>
      <c r="D83" s="5"/>
      <c r="E83" s="5"/>
      <c r="F83" s="5"/>
      <c r="G83" s="5"/>
      <c r="H83" s="5"/>
      <c r="I83" s="6"/>
      <c r="J83" s="6"/>
      <c r="K83" s="6"/>
      <c r="L83" s="6"/>
      <c r="M83" s="6"/>
      <c r="N83" s="6"/>
      <c r="O83" s="6"/>
      <c r="P83" s="6"/>
      <c r="Q83" s="6"/>
      <c r="R83" s="6"/>
      <c r="S83" s="6"/>
      <c r="T83" s="3"/>
    </row>
    <row r="84" spans="1:20" s="1" customFormat="1">
      <c r="A84"/>
      <c r="B84" s="161"/>
      <c r="D84" s="5"/>
      <c r="E84" s="5"/>
      <c r="F84" s="5"/>
      <c r="G84" s="5"/>
      <c r="H84" s="5"/>
      <c r="I84" s="6"/>
      <c r="J84" s="6"/>
      <c r="K84" s="6"/>
      <c r="L84" s="6"/>
      <c r="M84" s="6"/>
      <c r="N84" s="6"/>
      <c r="O84" s="6"/>
      <c r="P84" s="6"/>
      <c r="Q84" s="6"/>
      <c r="R84" s="6"/>
      <c r="S84" s="6"/>
      <c r="T84" s="3"/>
    </row>
    <row r="85" spans="1:20" s="1" customFormat="1">
      <c r="A85"/>
      <c r="B85" s="161"/>
      <c r="D85" s="5"/>
      <c r="E85" s="5"/>
      <c r="F85" s="5"/>
      <c r="G85" s="5"/>
      <c r="H85" s="5"/>
      <c r="I85" s="6"/>
      <c r="J85" s="6"/>
      <c r="K85" s="6"/>
      <c r="L85" s="6"/>
      <c r="M85" s="6"/>
      <c r="N85" s="6"/>
      <c r="O85" s="6"/>
      <c r="P85" s="6"/>
      <c r="Q85" s="6"/>
      <c r="R85" s="6"/>
      <c r="S85" s="6"/>
      <c r="T85" s="3"/>
    </row>
    <row r="86" spans="1:20" s="1" customFormat="1">
      <c r="A86"/>
      <c r="B86" s="161"/>
      <c r="D86" s="5"/>
      <c r="E86" s="5"/>
      <c r="F86" s="5"/>
      <c r="G86" s="5"/>
      <c r="H86" s="5"/>
      <c r="I86" s="6"/>
      <c r="J86" s="6"/>
      <c r="K86" s="6"/>
      <c r="L86" s="6"/>
      <c r="M86" s="6"/>
      <c r="N86" s="6"/>
      <c r="O86" s="6"/>
      <c r="P86" s="6"/>
      <c r="Q86" s="6"/>
      <c r="R86" s="6"/>
      <c r="S86" s="6"/>
      <c r="T86" s="3"/>
    </row>
    <row r="87" spans="1:20" s="1" customFormat="1">
      <c r="A87"/>
      <c r="B87" s="161"/>
      <c r="D87" s="5"/>
      <c r="E87" s="5"/>
      <c r="F87" s="5"/>
      <c r="G87" s="5"/>
      <c r="H87" s="5"/>
      <c r="I87" s="6"/>
      <c r="J87" s="6"/>
      <c r="K87" s="6"/>
      <c r="L87" s="6"/>
      <c r="M87" s="6"/>
      <c r="N87" s="6"/>
      <c r="O87" s="6"/>
      <c r="P87" s="6"/>
      <c r="Q87" s="6"/>
      <c r="R87" s="6"/>
      <c r="S87" s="6"/>
      <c r="T87" s="3"/>
    </row>
    <row r="88" spans="1:20" s="1" customFormat="1">
      <c r="A88"/>
      <c r="B88" s="161"/>
      <c r="D88" s="5"/>
      <c r="E88" s="5"/>
      <c r="F88" s="5"/>
      <c r="G88" s="5"/>
      <c r="H88" s="5"/>
      <c r="I88" s="6"/>
      <c r="J88" s="6"/>
      <c r="K88" s="6"/>
      <c r="L88" s="6"/>
      <c r="M88" s="6"/>
      <c r="N88" s="6"/>
      <c r="O88" s="6"/>
      <c r="P88" s="6"/>
      <c r="Q88" s="6"/>
      <c r="R88" s="6"/>
      <c r="S88" s="6"/>
      <c r="T88" s="3"/>
    </row>
    <row r="89" spans="1:20" s="1" customFormat="1" ht="17" customHeight="1">
      <c r="A89"/>
      <c r="B89" s="161"/>
      <c r="D89" s="5"/>
      <c r="E89" s="5"/>
      <c r="F89" s="5"/>
      <c r="G89" s="5"/>
      <c r="H89" s="5"/>
      <c r="I89" s="6"/>
      <c r="J89" s="6"/>
      <c r="K89" s="6"/>
      <c r="L89" s="6"/>
      <c r="M89" s="6"/>
      <c r="N89" s="6"/>
      <c r="O89" s="6"/>
      <c r="P89" s="6"/>
      <c r="Q89" s="6"/>
      <c r="R89" s="6"/>
      <c r="S89" s="6"/>
      <c r="T89" s="3"/>
    </row>
    <row r="90" spans="1:20" s="1" customFormat="1">
      <c r="A90"/>
      <c r="B90" s="161"/>
      <c r="D90" s="5"/>
      <c r="E90" s="5"/>
      <c r="F90" s="5"/>
      <c r="G90" s="5"/>
      <c r="H90" s="5"/>
      <c r="I90" s="6"/>
      <c r="J90" s="6"/>
      <c r="K90" s="6"/>
      <c r="L90" s="6"/>
      <c r="M90" s="6"/>
      <c r="N90" s="6"/>
      <c r="O90" s="6"/>
      <c r="P90" s="6"/>
      <c r="Q90" s="6"/>
      <c r="R90" s="6"/>
      <c r="S90" s="6"/>
      <c r="T90" s="3"/>
    </row>
    <row r="91" spans="1:20" s="1" customFormat="1" ht="12.5" customHeight="1">
      <c r="A91"/>
      <c r="B91" s="161" t="s">
        <v>415</v>
      </c>
      <c r="D91" s="5"/>
      <c r="E91" s="5"/>
      <c r="F91" s="5"/>
      <c r="G91" s="5"/>
      <c r="H91" s="5"/>
      <c r="I91" s="6"/>
      <c r="J91" s="6"/>
      <c r="K91" s="6"/>
      <c r="L91" s="6"/>
      <c r="M91" s="6"/>
      <c r="N91" s="6"/>
      <c r="O91" s="6"/>
      <c r="P91" s="6"/>
      <c r="Q91" s="6"/>
      <c r="R91" s="6"/>
      <c r="S91" s="6"/>
      <c r="T91" s="3"/>
    </row>
    <row r="92" spans="1:20" s="1" customFormat="1" ht="12.5" customHeight="1">
      <c r="A92"/>
      <c r="B92" s="161"/>
      <c r="D92" s="5"/>
      <c r="E92" s="5"/>
      <c r="F92" s="5"/>
      <c r="G92" s="5"/>
      <c r="H92" s="5"/>
      <c r="I92" s="6"/>
      <c r="J92" s="6"/>
      <c r="K92" s="6"/>
      <c r="L92" s="6"/>
      <c r="M92" s="6"/>
      <c r="N92" s="6"/>
      <c r="O92" s="6"/>
      <c r="P92" s="6"/>
      <c r="Q92" s="6"/>
      <c r="R92" s="6"/>
      <c r="S92" s="6"/>
      <c r="T92" s="3"/>
    </row>
    <row r="93" spans="1:20" s="1" customFormat="1" ht="12.5" customHeight="1">
      <c r="A93"/>
      <c r="B93" s="161"/>
      <c r="D93" s="5"/>
      <c r="E93" s="5"/>
      <c r="F93" s="5"/>
      <c r="G93" s="5"/>
      <c r="H93" s="5"/>
      <c r="I93" s="6"/>
      <c r="J93" s="6"/>
      <c r="K93" s="6"/>
      <c r="L93" s="6"/>
      <c r="M93" s="6"/>
      <c r="N93" s="6"/>
      <c r="O93" s="6"/>
      <c r="P93" s="6"/>
      <c r="Q93" s="6"/>
      <c r="R93" s="6"/>
      <c r="S93" s="6"/>
      <c r="T93" s="3"/>
    </row>
    <row r="94" spans="1:20" s="1" customFormat="1" ht="12.5" customHeight="1">
      <c r="A94"/>
      <c r="B94" s="161"/>
      <c r="D94" s="5"/>
      <c r="E94" s="5"/>
      <c r="F94" s="5"/>
      <c r="G94" s="5"/>
      <c r="H94" s="5"/>
      <c r="I94" s="6"/>
      <c r="J94" s="6"/>
      <c r="K94" s="6"/>
      <c r="L94" s="6"/>
      <c r="M94" s="6"/>
      <c r="N94" s="6"/>
      <c r="O94" s="6"/>
      <c r="P94" s="6"/>
      <c r="Q94" s="6"/>
      <c r="R94" s="6"/>
      <c r="S94" s="6"/>
      <c r="T94" s="3"/>
    </row>
    <row r="95" spans="1:20" s="1" customFormat="1" ht="12.5" customHeight="1">
      <c r="A95"/>
      <c r="B95" s="161"/>
      <c r="D95" s="5"/>
      <c r="E95" s="5"/>
      <c r="F95" s="5"/>
      <c r="G95" s="5"/>
      <c r="H95" s="5"/>
      <c r="I95" s="6"/>
      <c r="J95" s="6"/>
      <c r="K95" s="6"/>
      <c r="L95" s="6"/>
      <c r="M95" s="6"/>
      <c r="N95" s="6"/>
      <c r="O95" s="6"/>
      <c r="P95" s="6"/>
      <c r="Q95" s="6"/>
      <c r="R95" s="6"/>
      <c r="S95" s="6"/>
      <c r="T95" s="3"/>
    </row>
    <row r="96" spans="1:20" s="1" customFormat="1" ht="12.5" customHeight="1">
      <c r="A96"/>
      <c r="B96" s="161"/>
      <c r="D96" s="5"/>
      <c r="E96" s="5"/>
      <c r="F96" s="5"/>
      <c r="G96" s="5"/>
      <c r="H96" s="5"/>
      <c r="I96" s="6"/>
      <c r="J96" s="6"/>
      <c r="K96" s="6"/>
      <c r="L96" s="6"/>
      <c r="M96" s="6"/>
      <c r="N96" s="6"/>
      <c r="O96" s="6"/>
      <c r="P96" s="6"/>
      <c r="Q96" s="6"/>
      <c r="R96" s="6"/>
      <c r="S96" s="6"/>
      <c r="T96" s="3"/>
    </row>
    <row r="97" spans="1:20" s="1" customFormat="1" ht="12.5" customHeight="1">
      <c r="A97"/>
      <c r="B97" s="161"/>
      <c r="D97" s="5"/>
      <c r="E97" s="5"/>
      <c r="F97" s="5"/>
      <c r="G97" s="5"/>
      <c r="H97" s="5"/>
      <c r="I97" s="6"/>
      <c r="J97" s="6"/>
      <c r="K97" s="6"/>
      <c r="L97" s="6"/>
      <c r="M97" s="6"/>
      <c r="N97" s="6"/>
      <c r="O97" s="6"/>
      <c r="P97" s="6"/>
      <c r="Q97" s="6"/>
      <c r="R97" s="6"/>
      <c r="S97" s="6"/>
      <c r="T97" s="3"/>
    </row>
    <row r="98" spans="1:20" s="1" customFormat="1" ht="12.5" customHeight="1">
      <c r="A98"/>
      <c r="B98" s="161"/>
      <c r="D98" s="5"/>
      <c r="E98" s="5"/>
      <c r="F98" s="5"/>
      <c r="G98" s="5"/>
      <c r="H98" s="5"/>
      <c r="I98" s="6"/>
      <c r="J98" s="6"/>
      <c r="K98" s="6"/>
      <c r="L98" s="6"/>
      <c r="M98" s="6"/>
      <c r="N98" s="6"/>
      <c r="O98" s="6"/>
      <c r="P98" s="6"/>
      <c r="Q98" s="6"/>
      <c r="R98" s="6"/>
      <c r="S98" s="6"/>
      <c r="T98" s="3"/>
    </row>
    <row r="99" spans="1:20" s="1" customFormat="1" ht="12.5" customHeight="1">
      <c r="A99"/>
      <c r="B99" s="161"/>
      <c r="D99" s="5"/>
      <c r="E99" s="5"/>
      <c r="F99" s="5"/>
      <c r="G99" s="5"/>
      <c r="H99" s="5"/>
      <c r="I99" s="6"/>
      <c r="J99" s="6"/>
      <c r="K99" s="6"/>
      <c r="L99" s="6"/>
      <c r="M99" s="6"/>
      <c r="N99" s="6"/>
      <c r="O99" s="6"/>
      <c r="P99" s="6"/>
      <c r="Q99" s="6"/>
      <c r="R99" s="6"/>
      <c r="S99" s="6"/>
      <c r="T99" s="3"/>
    </row>
    <row r="100" spans="1:20" s="1" customFormat="1" ht="12.5" customHeight="1">
      <c r="A100"/>
      <c r="B100" s="161"/>
      <c r="D100" s="5"/>
      <c r="E100" s="5"/>
      <c r="F100" s="5"/>
      <c r="G100" s="5"/>
      <c r="H100" s="5"/>
      <c r="I100" s="6"/>
      <c r="J100" s="6"/>
      <c r="K100" s="6"/>
      <c r="L100" s="6"/>
      <c r="M100" s="6"/>
      <c r="N100" s="6"/>
      <c r="O100" s="6"/>
      <c r="P100" s="6"/>
      <c r="Q100" s="6"/>
      <c r="R100" s="6"/>
      <c r="S100" s="6"/>
      <c r="T100" s="3"/>
    </row>
    <row r="101" spans="1:20" s="1" customFormat="1" ht="12.5" customHeight="1">
      <c r="A101"/>
      <c r="B101" s="161"/>
      <c r="D101" s="5"/>
      <c r="E101" s="5"/>
      <c r="F101" s="5"/>
      <c r="G101" s="5"/>
      <c r="H101" s="5"/>
      <c r="I101" s="6"/>
      <c r="J101" s="6"/>
      <c r="K101" s="6"/>
      <c r="L101" s="6"/>
      <c r="M101" s="6"/>
      <c r="N101" s="6"/>
      <c r="O101" s="6"/>
      <c r="P101" s="6"/>
      <c r="Q101" s="6"/>
      <c r="R101" s="6"/>
      <c r="S101" s="6"/>
      <c r="T101" s="3"/>
    </row>
    <row r="102" spans="1:20" s="1" customFormat="1" ht="12.5" customHeight="1">
      <c r="A102"/>
      <c r="B102" s="161"/>
      <c r="D102" s="5"/>
      <c r="E102" s="5"/>
      <c r="F102" s="5"/>
      <c r="G102" s="5"/>
      <c r="H102" s="5"/>
      <c r="I102" s="6"/>
      <c r="J102" s="6"/>
      <c r="K102" s="6"/>
      <c r="L102" s="6"/>
      <c r="M102" s="6"/>
      <c r="N102" s="6"/>
      <c r="O102" s="6"/>
      <c r="P102" s="6"/>
      <c r="Q102" s="6"/>
      <c r="R102" s="6"/>
      <c r="S102" s="6"/>
      <c r="T102" s="3"/>
    </row>
    <row r="103" spans="1:20" s="1" customFormat="1" ht="12.5" customHeight="1">
      <c r="A103"/>
      <c r="B103" s="161"/>
      <c r="D103" s="5"/>
      <c r="E103" s="5"/>
      <c r="F103" s="5"/>
      <c r="G103" s="5"/>
      <c r="H103" s="5"/>
      <c r="I103" s="6"/>
      <c r="J103" s="6"/>
      <c r="K103" s="6"/>
      <c r="L103" s="6"/>
      <c r="M103" s="6"/>
      <c r="N103" s="6"/>
      <c r="O103" s="6"/>
      <c r="P103" s="6"/>
      <c r="Q103" s="6"/>
      <c r="R103" s="6"/>
      <c r="S103" s="6"/>
      <c r="T103" s="3"/>
    </row>
    <row r="104" spans="1:20" s="1" customFormat="1" ht="14.55" customHeight="1">
      <c r="A104"/>
      <c r="B104" s="161"/>
      <c r="D104" s="5"/>
      <c r="E104" s="5"/>
      <c r="F104" s="5"/>
      <c r="G104" s="5"/>
      <c r="H104" s="5"/>
      <c r="I104" s="6"/>
      <c r="J104" s="6"/>
      <c r="K104" s="6"/>
      <c r="L104" s="6"/>
      <c r="M104" s="6"/>
      <c r="N104" s="6"/>
      <c r="O104" s="6"/>
      <c r="P104" s="6"/>
      <c r="Q104" s="6"/>
      <c r="R104" s="6"/>
      <c r="S104" s="6"/>
      <c r="T104" s="3"/>
    </row>
    <row r="105" spans="1:20" s="1" customFormat="1">
      <c r="A105"/>
      <c r="B105" s="161" t="s">
        <v>416</v>
      </c>
      <c r="D105" s="5"/>
      <c r="E105" s="5"/>
      <c r="F105" s="5"/>
      <c r="G105" s="5"/>
      <c r="H105" s="5"/>
      <c r="I105" s="6"/>
      <c r="J105" s="6"/>
      <c r="K105" s="6"/>
      <c r="L105" s="6"/>
      <c r="M105" s="6"/>
      <c r="N105" s="6"/>
      <c r="O105" s="6"/>
      <c r="P105" s="6"/>
      <c r="Q105" s="6"/>
      <c r="R105" s="6"/>
      <c r="S105" s="6"/>
      <c r="T105" s="3"/>
    </row>
    <row r="106" spans="1:20" s="1" customFormat="1">
      <c r="A106"/>
      <c r="B106" s="161"/>
      <c r="D106" s="5"/>
      <c r="E106" s="5"/>
      <c r="F106" s="5"/>
      <c r="G106" s="5"/>
      <c r="H106" s="5"/>
      <c r="I106" s="6"/>
      <c r="J106" s="6"/>
      <c r="K106" s="6"/>
      <c r="L106" s="6"/>
      <c r="M106" s="6"/>
      <c r="N106" s="6"/>
      <c r="O106" s="6"/>
      <c r="P106" s="6"/>
      <c r="Q106" s="6"/>
      <c r="R106" s="6"/>
      <c r="S106" s="6"/>
      <c r="T106" s="3"/>
    </row>
    <row r="107" spans="1:20" s="1" customFormat="1">
      <c r="A107"/>
      <c r="B107" s="161"/>
      <c r="D107" s="5"/>
      <c r="E107" s="5"/>
      <c r="F107" s="5"/>
      <c r="G107" s="5"/>
      <c r="H107" s="5"/>
      <c r="I107" s="6"/>
      <c r="J107" s="6"/>
      <c r="K107" s="6"/>
      <c r="L107" s="6"/>
      <c r="M107" s="6"/>
      <c r="N107" s="6"/>
      <c r="O107" s="6"/>
      <c r="P107" s="6"/>
      <c r="Q107" s="6"/>
      <c r="R107" s="6"/>
      <c r="S107" s="6"/>
      <c r="T107" s="3"/>
    </row>
    <row r="108" spans="1:20" s="1" customFormat="1">
      <c r="A108"/>
      <c r="B108" s="161"/>
      <c r="D108" s="5"/>
      <c r="E108" s="5"/>
      <c r="F108" s="5"/>
      <c r="G108" s="5"/>
      <c r="H108" s="5"/>
      <c r="I108" s="6"/>
      <c r="J108" s="6"/>
      <c r="K108" s="6"/>
      <c r="L108" s="6"/>
      <c r="M108" s="6"/>
      <c r="N108" s="6"/>
      <c r="O108" s="6"/>
      <c r="P108" s="6"/>
      <c r="Q108" s="6"/>
      <c r="R108" s="6"/>
      <c r="S108" s="6"/>
      <c r="T108" s="3"/>
    </row>
    <row r="109" spans="1:20" s="1" customFormat="1">
      <c r="A109"/>
      <c r="B109" s="161"/>
      <c r="D109" s="5"/>
      <c r="E109" s="5"/>
      <c r="F109" s="5"/>
      <c r="G109" s="5"/>
      <c r="H109" s="5"/>
      <c r="I109" s="6"/>
      <c r="J109" s="6"/>
      <c r="K109" s="6"/>
      <c r="L109" s="6"/>
      <c r="M109" s="6"/>
      <c r="N109" s="6"/>
      <c r="O109" s="6"/>
      <c r="P109" s="6"/>
      <c r="Q109" s="6"/>
      <c r="R109" s="6"/>
      <c r="S109" s="6"/>
      <c r="T109" s="3"/>
    </row>
    <row r="110" spans="1:20" s="1" customFormat="1">
      <c r="A110"/>
      <c r="B110" s="161"/>
      <c r="D110" s="5"/>
      <c r="E110" s="5"/>
      <c r="F110" s="5"/>
      <c r="G110" s="5"/>
      <c r="H110" s="5"/>
      <c r="I110" s="6"/>
      <c r="J110" s="6"/>
      <c r="K110" s="6"/>
      <c r="L110" s="6"/>
      <c r="M110" s="6"/>
      <c r="N110" s="6"/>
      <c r="O110" s="6"/>
      <c r="P110" s="6"/>
      <c r="Q110" s="6"/>
      <c r="R110" s="6"/>
      <c r="S110" s="6"/>
      <c r="T110" s="3"/>
    </row>
    <row r="111" spans="1:20" s="1" customFormat="1">
      <c r="A111"/>
      <c r="B111" s="161"/>
      <c r="D111" s="5"/>
      <c r="E111" s="5"/>
      <c r="F111" s="5"/>
      <c r="G111" s="5"/>
      <c r="H111" s="5"/>
      <c r="I111" s="6"/>
      <c r="J111" s="6"/>
      <c r="K111" s="6"/>
      <c r="L111" s="6"/>
      <c r="M111" s="6"/>
      <c r="N111" s="6"/>
      <c r="O111" s="6"/>
      <c r="P111" s="6"/>
      <c r="Q111" s="6"/>
      <c r="R111" s="6"/>
      <c r="S111" s="6"/>
      <c r="T111" s="3"/>
    </row>
    <row r="112" spans="1:20" s="1" customFormat="1">
      <c r="A112"/>
      <c r="B112" s="161"/>
      <c r="D112" s="5"/>
      <c r="E112" s="5"/>
      <c r="F112" s="5"/>
      <c r="G112" s="5"/>
      <c r="H112" s="5"/>
      <c r="I112" s="6"/>
      <c r="J112" s="6"/>
      <c r="K112" s="6"/>
      <c r="L112" s="6"/>
      <c r="M112" s="6"/>
      <c r="N112" s="6"/>
      <c r="O112" s="6"/>
      <c r="P112" s="6"/>
      <c r="Q112" s="6"/>
      <c r="R112" s="6"/>
      <c r="S112" s="6"/>
      <c r="T112" s="3"/>
    </row>
    <row r="113" spans="1:20" s="1" customFormat="1">
      <c r="A113"/>
      <c r="B113" s="161"/>
      <c r="D113" s="5"/>
      <c r="E113" s="5"/>
      <c r="F113" s="5"/>
      <c r="G113" s="5"/>
      <c r="H113" s="5"/>
      <c r="I113" s="6"/>
      <c r="J113" s="6"/>
      <c r="K113" s="6"/>
      <c r="L113" s="6"/>
      <c r="M113" s="6"/>
      <c r="N113" s="6"/>
      <c r="O113" s="6"/>
      <c r="P113" s="6"/>
      <c r="Q113" s="6"/>
      <c r="R113" s="6"/>
      <c r="S113" s="6"/>
      <c r="T113" s="3"/>
    </row>
    <row r="114" spans="1:20" s="1" customFormat="1">
      <c r="A114"/>
      <c r="B114" s="161"/>
      <c r="D114" s="5"/>
      <c r="E114" s="5"/>
      <c r="F114" s="5"/>
      <c r="G114" s="5"/>
      <c r="H114" s="5"/>
      <c r="I114" s="6"/>
      <c r="J114" s="6"/>
      <c r="K114" s="6"/>
      <c r="L114" s="6"/>
      <c r="M114" s="6"/>
      <c r="N114" s="6"/>
      <c r="O114" s="6"/>
      <c r="P114" s="6"/>
      <c r="Q114" s="6"/>
      <c r="R114" s="6"/>
      <c r="S114" s="6"/>
      <c r="T114" s="3"/>
    </row>
    <row r="115" spans="1:20" s="1" customFormat="1">
      <c r="A115"/>
      <c r="B115" s="161"/>
      <c r="D115" s="5"/>
      <c r="E115" s="5"/>
      <c r="F115" s="5"/>
      <c r="G115" s="5"/>
      <c r="H115" s="5"/>
      <c r="I115" s="6"/>
      <c r="J115" s="6"/>
      <c r="K115" s="6"/>
      <c r="L115" s="6"/>
      <c r="M115" s="6"/>
      <c r="N115" s="6"/>
      <c r="O115" s="6"/>
      <c r="P115" s="6"/>
      <c r="Q115" s="6"/>
      <c r="R115" s="6"/>
      <c r="S115" s="6"/>
      <c r="T115" s="3"/>
    </row>
    <row r="116" spans="1:20" s="1" customFormat="1">
      <c r="A116"/>
      <c r="D116" s="5"/>
      <c r="E116" s="5"/>
      <c r="F116" s="5"/>
      <c r="H116" s="5"/>
      <c r="I116" s="6"/>
      <c r="J116" s="6"/>
      <c r="K116" s="6"/>
      <c r="L116" s="6"/>
      <c r="M116" s="6"/>
      <c r="N116" s="6"/>
      <c r="O116" s="6"/>
      <c r="P116" s="6"/>
      <c r="Q116" s="6"/>
      <c r="R116" s="6"/>
      <c r="S116" s="6"/>
      <c r="T116" s="3"/>
    </row>
    <row r="117" spans="1:20" s="1" customFormat="1">
      <c r="A117"/>
      <c r="B117" s="161" t="s">
        <v>427</v>
      </c>
      <c r="D117" s="5"/>
      <c r="E117" s="5"/>
      <c r="F117" s="5"/>
      <c r="G117" s="5"/>
      <c r="H117" s="5"/>
      <c r="I117" s="6"/>
      <c r="J117" s="6"/>
      <c r="K117" s="6"/>
      <c r="L117" s="6"/>
      <c r="M117" s="6"/>
      <c r="N117" s="6"/>
      <c r="O117" s="6"/>
      <c r="P117" s="6"/>
      <c r="Q117" s="6"/>
      <c r="R117" s="6"/>
      <c r="S117" s="6"/>
      <c r="T117" s="3"/>
    </row>
    <row r="118" spans="1:20" s="1" customFormat="1">
      <c r="A118"/>
      <c r="D118" s="5"/>
      <c r="E118" s="5"/>
      <c r="F118" s="5"/>
      <c r="G118" s="5"/>
      <c r="H118" s="5"/>
      <c r="I118" s="192"/>
      <c r="J118" s="193">
        <v>2016</v>
      </c>
      <c r="K118" s="193">
        <v>2022</v>
      </c>
      <c r="L118" s="6"/>
      <c r="M118" s="6"/>
      <c r="N118" s="6"/>
      <c r="O118" s="6"/>
      <c r="P118" s="6"/>
      <c r="Q118" s="6"/>
      <c r="R118" s="6"/>
      <c r="S118" s="6"/>
      <c r="T118" s="3"/>
    </row>
    <row r="119" spans="1:20" s="1" customFormat="1">
      <c r="A119"/>
      <c r="D119" s="5"/>
      <c r="E119" s="5"/>
      <c r="F119" s="5"/>
      <c r="G119" s="5"/>
      <c r="H119" s="5"/>
      <c r="I119" s="192" t="s">
        <v>417</v>
      </c>
      <c r="J119" s="194">
        <v>0.19</v>
      </c>
      <c r="K119" s="194" t="e">
        <f>CloudTotal!Q113/TotalMarket!AB147</f>
        <v>#DIV/0!</v>
      </c>
      <c r="L119" s="6"/>
      <c r="M119" s="6"/>
      <c r="N119" s="6"/>
      <c r="O119" s="6"/>
      <c r="P119" s="6"/>
      <c r="Q119" s="6"/>
      <c r="R119" s="6"/>
      <c r="S119" s="6"/>
      <c r="T119" s="3"/>
    </row>
    <row r="120" spans="1:20" s="1" customFormat="1">
      <c r="A120"/>
      <c r="D120" s="5"/>
      <c r="E120" s="5"/>
      <c r="F120" s="5"/>
      <c r="G120" s="5"/>
      <c r="H120" s="5"/>
      <c r="I120" s="192" t="s">
        <v>221</v>
      </c>
      <c r="J120" s="194">
        <v>0.04</v>
      </c>
      <c r="K120" s="194" t="e">
        <f>Enterprise!Q113/TotalMarket!AB147</f>
        <v>#DIV/0!</v>
      </c>
      <c r="L120" s="6"/>
      <c r="M120" s="6"/>
      <c r="N120" s="6"/>
      <c r="O120" s="6"/>
      <c r="P120" s="6"/>
      <c r="Q120" s="6"/>
      <c r="R120" s="6"/>
      <c r="S120" s="6"/>
      <c r="T120" s="3"/>
    </row>
    <row r="121" spans="1:20" s="1" customFormat="1">
      <c r="A121"/>
      <c r="D121" s="5"/>
      <c r="E121" s="5"/>
      <c r="F121" s="5"/>
      <c r="G121" s="5"/>
      <c r="H121" s="5"/>
      <c r="I121" s="192" t="s">
        <v>220</v>
      </c>
      <c r="J121" s="194">
        <v>0.77</v>
      </c>
      <c r="K121" s="194" t="e">
        <f>Telecom!Q113/TotalMarket!AB147</f>
        <v>#DIV/0!</v>
      </c>
      <c r="L121" s="6"/>
      <c r="M121" s="6"/>
      <c r="N121" s="6"/>
      <c r="O121" s="6"/>
      <c r="P121" s="6"/>
      <c r="Q121" s="6"/>
      <c r="R121" s="6"/>
      <c r="S121" s="6"/>
      <c r="T121" s="3"/>
    </row>
    <row r="122" spans="1:20" s="1" customFormat="1">
      <c r="A122"/>
      <c r="D122" s="5"/>
      <c r="E122" s="5"/>
      <c r="F122" s="5"/>
      <c r="G122" s="5"/>
      <c r="H122" s="5"/>
      <c r="I122" s="192"/>
      <c r="J122" s="171"/>
      <c r="K122" s="171"/>
      <c r="L122" s="6"/>
      <c r="M122" s="6"/>
      <c r="N122" s="6"/>
      <c r="O122" s="6"/>
      <c r="P122" s="6"/>
      <c r="Q122" s="6"/>
      <c r="R122" s="6"/>
      <c r="S122" s="6"/>
      <c r="T122" s="3"/>
    </row>
    <row r="123" spans="1:20" s="1" customFormat="1">
      <c r="A123"/>
      <c r="D123" s="5"/>
      <c r="E123" s="5"/>
      <c r="F123" s="5"/>
      <c r="G123" s="5"/>
      <c r="H123" s="5"/>
      <c r="I123" s="6"/>
      <c r="J123" s="6"/>
      <c r="K123" s="6"/>
      <c r="L123" s="6"/>
      <c r="M123" s="6"/>
      <c r="N123" s="6"/>
      <c r="O123" s="6"/>
      <c r="P123" s="6"/>
      <c r="Q123" s="6"/>
      <c r="R123" s="6"/>
      <c r="S123" s="6"/>
      <c r="T123" s="3"/>
    </row>
    <row r="124" spans="1:20" s="1" customFormat="1">
      <c r="A124"/>
      <c r="D124" s="5"/>
      <c r="E124" s="5"/>
      <c r="F124" s="5"/>
      <c r="G124" s="5"/>
      <c r="H124" s="5"/>
      <c r="I124" s="6"/>
      <c r="J124" s="6"/>
      <c r="K124" s="6"/>
      <c r="L124" s="6"/>
      <c r="M124" s="6"/>
      <c r="N124" s="6"/>
      <c r="O124" s="6"/>
      <c r="P124" s="6"/>
      <c r="Q124" s="6"/>
      <c r="R124" s="6"/>
      <c r="S124" s="6"/>
      <c r="T124" s="3"/>
    </row>
    <row r="125" spans="1:20" s="1" customFormat="1">
      <c r="A125"/>
      <c r="D125" s="5"/>
      <c r="E125" s="5"/>
      <c r="F125" s="5"/>
      <c r="G125" s="5"/>
      <c r="H125" s="5"/>
      <c r="I125" s="6"/>
      <c r="J125" s="6"/>
      <c r="K125" s="6"/>
      <c r="L125" s="6"/>
      <c r="M125" s="6"/>
      <c r="N125" s="6"/>
      <c r="O125" s="6"/>
      <c r="P125" s="6"/>
      <c r="Q125" s="6"/>
      <c r="R125" s="6"/>
      <c r="S125" s="6"/>
      <c r="T125" s="3"/>
    </row>
    <row r="126" spans="1:20" s="1" customFormat="1">
      <c r="A126"/>
      <c r="D126" s="5"/>
      <c r="E126" s="5"/>
      <c r="F126" s="5"/>
      <c r="G126" s="5"/>
      <c r="H126" s="5"/>
      <c r="I126" s="6"/>
      <c r="J126" s="6"/>
      <c r="K126" s="6"/>
      <c r="L126" s="6"/>
      <c r="M126" s="6"/>
      <c r="N126" s="6"/>
      <c r="O126" s="6"/>
      <c r="P126" s="6"/>
      <c r="Q126" s="6"/>
      <c r="R126" s="6"/>
      <c r="S126" s="6"/>
      <c r="T126" s="3"/>
    </row>
    <row r="127" spans="1:20" s="1" customFormat="1">
      <c r="A127"/>
      <c r="D127" s="5"/>
      <c r="E127" s="5"/>
      <c r="F127" s="5"/>
      <c r="G127" s="5"/>
      <c r="H127" s="5"/>
      <c r="I127" s="6"/>
      <c r="J127" s="6"/>
      <c r="K127" s="6"/>
      <c r="L127" s="6"/>
      <c r="M127" s="6"/>
      <c r="N127" s="6"/>
      <c r="O127" s="6"/>
      <c r="P127" s="6"/>
      <c r="Q127" s="6"/>
      <c r="R127" s="6"/>
      <c r="S127" s="6"/>
      <c r="T127" s="3"/>
    </row>
    <row r="128" spans="1:20" s="1" customFormat="1">
      <c r="A128"/>
      <c r="D128" s="5"/>
      <c r="E128" s="5"/>
      <c r="F128" s="5"/>
      <c r="G128" s="5"/>
      <c r="H128" s="5"/>
      <c r="I128" s="6"/>
      <c r="J128" s="6"/>
      <c r="K128" s="6"/>
      <c r="L128" s="6"/>
      <c r="M128" s="6"/>
      <c r="N128" s="6"/>
      <c r="O128" s="6"/>
      <c r="P128" s="6"/>
      <c r="Q128" s="6"/>
      <c r="R128" s="6"/>
      <c r="S128" s="6"/>
      <c r="T128" s="3"/>
    </row>
    <row r="129" spans="1:20" s="1" customFormat="1">
      <c r="A129"/>
      <c r="B129" s="161" t="s">
        <v>256</v>
      </c>
      <c r="D129" s="5"/>
      <c r="E129" s="5"/>
      <c r="F129" s="5"/>
      <c r="G129" s="5"/>
      <c r="H129" s="5"/>
      <c r="I129" s="6"/>
      <c r="J129" s="6"/>
      <c r="K129" s="6"/>
      <c r="L129" s="6"/>
      <c r="M129" s="6"/>
      <c r="N129" s="6"/>
      <c r="O129" s="6"/>
      <c r="P129" s="6"/>
      <c r="Q129" s="6"/>
      <c r="R129" s="6"/>
      <c r="S129" s="6"/>
      <c r="T129" s="3"/>
    </row>
    <row r="130" spans="1:20" s="1" customFormat="1">
      <c r="A130"/>
      <c r="D130" s="5"/>
      <c r="E130" s="5"/>
      <c r="F130" s="5"/>
      <c r="G130" s="5"/>
      <c r="H130" s="5"/>
      <c r="I130" s="6"/>
      <c r="J130" s="6"/>
      <c r="K130" s="6"/>
      <c r="L130" s="6"/>
      <c r="M130" s="6"/>
      <c r="N130" s="6"/>
      <c r="O130" s="6"/>
      <c r="P130" s="6"/>
      <c r="Q130" s="6"/>
      <c r="R130" s="6"/>
      <c r="S130" s="6"/>
      <c r="T130" s="3"/>
    </row>
    <row r="131" spans="1:20" s="1" customFormat="1">
      <c r="A131"/>
      <c r="D131" s="5"/>
      <c r="E131" s="5"/>
      <c r="F131" s="5"/>
      <c r="G131" s="5"/>
      <c r="H131" s="5"/>
      <c r="I131" s="6"/>
      <c r="J131" s="6"/>
      <c r="K131" s="6"/>
      <c r="L131" s="6"/>
      <c r="M131" s="6"/>
      <c r="N131" s="6"/>
      <c r="O131" s="6"/>
      <c r="P131" s="6"/>
      <c r="Q131" s="6"/>
      <c r="R131" s="6"/>
      <c r="S131" s="6"/>
      <c r="T131" s="3"/>
    </row>
    <row r="132" spans="1:20" s="1" customFormat="1">
      <c r="A132"/>
      <c r="D132" s="5"/>
      <c r="E132" s="5"/>
      <c r="F132" s="5"/>
      <c r="G132" s="5"/>
      <c r="H132" s="5"/>
      <c r="I132" s="6"/>
      <c r="J132" s="6"/>
      <c r="K132" s="6"/>
      <c r="L132" s="6"/>
      <c r="M132" s="6"/>
      <c r="N132" s="6"/>
      <c r="O132" s="6"/>
      <c r="P132" s="6"/>
      <c r="Q132" s="6"/>
      <c r="R132" s="6"/>
      <c r="S132" s="6"/>
      <c r="T132" s="3"/>
    </row>
    <row r="133" spans="1:20" s="1" customFormat="1">
      <c r="A133"/>
      <c r="D133" s="5"/>
      <c r="E133" s="5"/>
      <c r="F133" s="5"/>
      <c r="G133" s="5"/>
      <c r="H133" s="5"/>
      <c r="I133" s="6"/>
      <c r="J133" s="6"/>
      <c r="K133" s="6"/>
      <c r="L133" s="6"/>
      <c r="M133" s="6"/>
      <c r="N133" s="6"/>
      <c r="O133" s="6"/>
      <c r="P133" s="6"/>
      <c r="Q133" s="6"/>
      <c r="R133" s="6"/>
      <c r="S133" s="6"/>
      <c r="T133" s="3"/>
    </row>
    <row r="134" spans="1:20" s="1" customFormat="1">
      <c r="A134"/>
      <c r="D134" s="5"/>
      <c r="E134" s="5"/>
      <c r="F134" s="5"/>
      <c r="G134" s="5"/>
      <c r="H134" s="5"/>
      <c r="I134" s="6"/>
      <c r="J134" s="6"/>
      <c r="K134" s="6"/>
      <c r="L134" s="6"/>
      <c r="M134" s="6"/>
      <c r="N134" s="6"/>
      <c r="O134" s="6"/>
      <c r="P134" s="6"/>
      <c r="Q134" s="6"/>
      <c r="R134" s="6"/>
      <c r="S134" s="6"/>
      <c r="T134" s="3"/>
    </row>
    <row r="135" spans="1:20" s="1" customFormat="1">
      <c r="A135"/>
      <c r="D135" s="5"/>
      <c r="E135" s="5"/>
      <c r="F135" s="5"/>
      <c r="G135" s="5"/>
      <c r="H135" s="5"/>
      <c r="I135" s="6"/>
      <c r="J135" s="6"/>
      <c r="K135" s="6"/>
      <c r="L135" s="6"/>
      <c r="M135" s="6"/>
      <c r="N135" s="6"/>
      <c r="O135" s="6"/>
      <c r="P135" s="6"/>
      <c r="Q135" s="6"/>
      <c r="R135" s="6"/>
      <c r="S135" s="6"/>
      <c r="T135" s="3"/>
    </row>
    <row r="136" spans="1:20" s="1" customFormat="1">
      <c r="A136"/>
      <c r="D136" s="5"/>
      <c r="E136" s="5"/>
      <c r="F136" s="5"/>
      <c r="G136" s="5"/>
      <c r="H136" s="5"/>
      <c r="I136" s="6"/>
      <c r="J136" s="6"/>
      <c r="K136" s="6"/>
      <c r="L136" s="6"/>
      <c r="M136" s="6"/>
      <c r="N136" s="6"/>
      <c r="O136" s="6"/>
      <c r="P136" s="6"/>
      <c r="Q136" s="6"/>
      <c r="R136" s="6"/>
      <c r="S136" s="6"/>
      <c r="T136" s="3"/>
    </row>
    <row r="137" spans="1:20" s="1" customFormat="1">
      <c r="A137"/>
      <c r="D137" s="5"/>
      <c r="E137" s="5"/>
      <c r="F137" s="5"/>
      <c r="G137" s="5"/>
      <c r="H137" s="5"/>
      <c r="I137" s="6"/>
      <c r="J137" s="6"/>
      <c r="K137" s="6"/>
      <c r="L137" s="6"/>
      <c r="M137" s="6"/>
      <c r="N137" s="6"/>
      <c r="O137" s="6"/>
      <c r="P137" s="6"/>
      <c r="Q137" s="6"/>
      <c r="R137" s="6"/>
      <c r="S137" s="6"/>
      <c r="T137" s="3"/>
    </row>
    <row r="138" spans="1:20" s="1" customFormat="1">
      <c r="A138"/>
      <c r="D138" s="5"/>
      <c r="E138" s="5"/>
      <c r="F138" s="5"/>
      <c r="G138" s="5"/>
      <c r="H138" s="5"/>
      <c r="I138" s="6"/>
      <c r="J138" s="6"/>
      <c r="K138" s="6"/>
      <c r="L138" s="6"/>
      <c r="M138" s="6"/>
      <c r="N138" s="6"/>
      <c r="O138" s="6"/>
      <c r="P138" s="6"/>
      <c r="Q138" s="6"/>
      <c r="R138" s="6"/>
      <c r="S138" s="6"/>
      <c r="T138" s="3"/>
    </row>
    <row r="139" spans="1:20" s="1" customFormat="1">
      <c r="A139"/>
      <c r="D139" s="5"/>
      <c r="E139" s="5"/>
      <c r="F139" s="5"/>
      <c r="G139" s="5"/>
      <c r="H139" s="5"/>
      <c r="I139" s="6"/>
      <c r="J139" s="6"/>
      <c r="K139" s="6"/>
      <c r="L139" s="6"/>
      <c r="M139" s="6"/>
      <c r="N139" s="6"/>
      <c r="O139" s="6"/>
      <c r="P139" s="6"/>
      <c r="Q139" s="6"/>
      <c r="R139" s="6"/>
      <c r="S139" s="6"/>
      <c r="T139" s="3"/>
    </row>
    <row r="140" spans="1:20" s="1" customFormat="1">
      <c r="A140"/>
      <c r="D140" s="5"/>
      <c r="E140" s="5"/>
      <c r="F140" s="5"/>
      <c r="G140" s="5"/>
      <c r="H140" s="5"/>
      <c r="I140" s="6"/>
      <c r="J140" s="6"/>
      <c r="K140" s="6"/>
      <c r="L140" s="6"/>
      <c r="M140" s="6"/>
      <c r="N140" s="6"/>
      <c r="O140" s="6"/>
      <c r="P140" s="6"/>
      <c r="Q140" s="6"/>
      <c r="R140" s="6"/>
      <c r="S140" s="6"/>
      <c r="T140" s="3"/>
    </row>
    <row r="141" spans="1:20" s="1" customFormat="1">
      <c r="A141"/>
      <c r="B141" s="161" t="s">
        <v>257</v>
      </c>
      <c r="D141" s="5"/>
      <c r="E141" s="5"/>
      <c r="F141" s="5"/>
      <c r="G141" s="5"/>
      <c r="H141" s="5"/>
      <c r="I141" s="6"/>
      <c r="J141" s="6"/>
      <c r="K141" s="6"/>
      <c r="L141" s="6"/>
      <c r="M141" s="6"/>
      <c r="N141" s="6"/>
      <c r="O141" s="6"/>
      <c r="P141" s="6"/>
      <c r="Q141" s="6"/>
      <c r="R141" s="6"/>
      <c r="S141" s="6"/>
      <c r="T141" s="3"/>
    </row>
    <row r="142" spans="1:20" s="1" customFormat="1">
      <c r="A142"/>
      <c r="B142" s="161"/>
      <c r="D142" s="5"/>
      <c r="E142" s="5"/>
      <c r="F142" s="5"/>
      <c r="G142" s="5"/>
      <c r="H142" s="5"/>
      <c r="I142" s="6"/>
      <c r="J142" s="6"/>
      <c r="K142" s="6"/>
      <c r="L142" s="6"/>
      <c r="M142" s="6"/>
      <c r="N142" s="6"/>
      <c r="O142" s="6"/>
      <c r="P142" s="6"/>
      <c r="Q142" s="6"/>
      <c r="R142" s="6"/>
      <c r="S142" s="6"/>
      <c r="T142" s="3"/>
    </row>
    <row r="143" spans="1:20" s="1" customFormat="1">
      <c r="A143"/>
      <c r="B143" s="161"/>
      <c r="D143" s="5"/>
      <c r="E143" s="5"/>
      <c r="F143" s="5"/>
      <c r="G143" s="5"/>
      <c r="H143" s="5"/>
      <c r="I143" s="6"/>
      <c r="J143" s="6"/>
      <c r="K143" s="6"/>
      <c r="L143" s="6"/>
      <c r="M143" s="6"/>
      <c r="N143" s="6"/>
      <c r="O143" s="6"/>
      <c r="P143" s="6"/>
      <c r="Q143" s="6"/>
      <c r="R143" s="6"/>
      <c r="S143" s="6"/>
      <c r="T143" s="3"/>
    </row>
    <row r="144" spans="1:20" s="1" customFormat="1">
      <c r="A144"/>
      <c r="B144" s="161"/>
      <c r="D144" s="5"/>
      <c r="E144" s="5"/>
      <c r="F144" s="5"/>
      <c r="G144" s="5"/>
      <c r="H144" s="5"/>
      <c r="I144" s="6"/>
      <c r="J144" s="6"/>
      <c r="K144" s="6"/>
      <c r="L144" s="6"/>
      <c r="M144" s="6"/>
      <c r="N144" s="6"/>
      <c r="O144" s="6"/>
      <c r="P144" s="6"/>
      <c r="Q144" s="6"/>
      <c r="R144" s="6"/>
      <c r="S144" s="6"/>
      <c r="T144" s="3"/>
    </row>
    <row r="145" spans="1:20" s="1" customFormat="1">
      <c r="A145"/>
      <c r="B145" s="161"/>
      <c r="D145" s="5"/>
      <c r="E145" s="5"/>
      <c r="F145" s="5"/>
      <c r="G145" s="5"/>
      <c r="H145" s="5"/>
      <c r="I145" s="6"/>
      <c r="J145" s="6"/>
      <c r="K145" s="6"/>
      <c r="L145" s="6"/>
      <c r="M145" s="6"/>
      <c r="N145" s="6"/>
      <c r="O145" s="6"/>
      <c r="P145" s="6"/>
      <c r="Q145" s="6"/>
      <c r="R145" s="6"/>
      <c r="S145" s="6"/>
      <c r="T145" s="3"/>
    </row>
    <row r="146" spans="1:20" s="1" customFormat="1">
      <c r="A146"/>
      <c r="B146" s="161"/>
      <c r="D146" s="5"/>
      <c r="E146" s="5"/>
      <c r="F146" s="5"/>
      <c r="G146" s="5"/>
      <c r="H146" s="5"/>
      <c r="I146" s="6"/>
      <c r="J146" s="6"/>
      <c r="K146" s="6"/>
      <c r="L146" s="6"/>
      <c r="M146" s="6"/>
      <c r="N146" s="6"/>
      <c r="O146" s="6"/>
      <c r="P146" s="6"/>
      <c r="Q146" s="6"/>
      <c r="R146" s="6"/>
      <c r="S146" s="6"/>
      <c r="T146" s="3"/>
    </row>
    <row r="147" spans="1:20" s="1" customFormat="1">
      <c r="A147"/>
      <c r="B147" s="161"/>
      <c r="D147" s="5"/>
      <c r="E147" s="5"/>
      <c r="F147" s="5"/>
      <c r="G147" s="5"/>
      <c r="H147" s="5"/>
      <c r="I147" s="6"/>
      <c r="J147" s="6"/>
      <c r="K147" s="6"/>
      <c r="L147" s="6"/>
      <c r="M147" s="6"/>
      <c r="N147" s="6"/>
      <c r="O147" s="6"/>
      <c r="P147" s="6"/>
      <c r="Q147" s="6"/>
      <c r="R147" s="6"/>
      <c r="S147" s="6"/>
      <c r="T147" s="3"/>
    </row>
    <row r="148" spans="1:20" s="1" customFormat="1">
      <c r="A148"/>
      <c r="B148" s="161"/>
      <c r="D148" s="5"/>
      <c r="E148" s="5"/>
      <c r="F148" s="5"/>
      <c r="G148" s="5"/>
      <c r="H148" s="5"/>
      <c r="I148" s="6"/>
      <c r="J148" s="6"/>
      <c r="K148" s="6"/>
      <c r="L148" s="6"/>
      <c r="M148" s="6"/>
      <c r="N148" s="6"/>
      <c r="O148" s="6"/>
      <c r="P148" s="6"/>
      <c r="Q148" s="6"/>
      <c r="R148" s="6"/>
      <c r="S148" s="6"/>
      <c r="T148" s="3"/>
    </row>
    <row r="149" spans="1:20" s="1" customFormat="1">
      <c r="A149"/>
      <c r="B149" s="161"/>
      <c r="D149" s="5"/>
      <c r="E149" s="5"/>
      <c r="F149" s="5"/>
      <c r="G149" s="5"/>
      <c r="H149" s="5"/>
      <c r="I149" s="6"/>
      <c r="J149" s="6"/>
      <c r="K149" s="6"/>
      <c r="L149" s="6"/>
      <c r="M149" s="6"/>
      <c r="N149" s="6"/>
      <c r="O149" s="6"/>
      <c r="P149" s="6"/>
      <c r="Q149" s="6"/>
      <c r="R149" s="6"/>
      <c r="S149" s="6"/>
      <c r="T149" s="3"/>
    </row>
    <row r="150" spans="1:20" s="1" customFormat="1">
      <c r="A150"/>
      <c r="B150" s="161"/>
      <c r="D150" s="5"/>
      <c r="E150" s="5"/>
      <c r="F150" s="5"/>
      <c r="G150" s="5"/>
      <c r="H150" s="5"/>
      <c r="I150" s="6"/>
      <c r="J150" s="6"/>
      <c r="K150" s="6"/>
      <c r="L150" s="6"/>
      <c r="M150" s="6"/>
      <c r="N150" s="6"/>
      <c r="O150" s="6"/>
      <c r="P150" s="6"/>
      <c r="Q150" s="6"/>
      <c r="R150" s="6"/>
      <c r="S150" s="6"/>
      <c r="T150" s="3"/>
    </row>
    <row r="151" spans="1:20" s="1" customFormat="1">
      <c r="A151"/>
      <c r="B151" s="161"/>
      <c r="D151" s="5"/>
      <c r="E151" s="5"/>
      <c r="F151" s="5"/>
      <c r="G151" s="5"/>
      <c r="H151" s="5"/>
      <c r="I151" s="6"/>
      <c r="J151" s="6"/>
      <c r="K151" s="6"/>
      <c r="L151" s="6"/>
      <c r="M151" s="6"/>
      <c r="N151" s="6"/>
      <c r="O151" s="6"/>
      <c r="P151" s="6"/>
      <c r="Q151" s="6"/>
      <c r="R151" s="6"/>
      <c r="S151" s="6"/>
      <c r="T151" s="3"/>
    </row>
    <row r="152" spans="1:20" s="1" customFormat="1">
      <c r="A152"/>
      <c r="B152" s="161"/>
      <c r="D152" s="5"/>
      <c r="E152" s="5"/>
      <c r="F152" s="5"/>
      <c r="G152" s="5"/>
      <c r="H152" s="5"/>
      <c r="I152" s="6"/>
      <c r="J152" s="6"/>
      <c r="K152" s="6"/>
      <c r="L152" s="6"/>
      <c r="M152" s="6"/>
      <c r="N152" s="6"/>
      <c r="O152" s="6"/>
      <c r="P152" s="6"/>
      <c r="Q152" s="6"/>
      <c r="R152" s="6"/>
      <c r="S152" s="6"/>
      <c r="T152" s="3"/>
    </row>
    <row r="153" spans="1:20" s="1" customFormat="1">
      <c r="A153"/>
      <c r="B153" s="161"/>
      <c r="D153" s="5"/>
      <c r="E153" s="5"/>
      <c r="F153" s="5"/>
      <c r="G153" s="5"/>
      <c r="H153" s="5"/>
      <c r="I153" s="6"/>
      <c r="J153" s="6"/>
      <c r="K153" s="6"/>
      <c r="L153" s="6"/>
      <c r="M153" s="6"/>
      <c r="N153" s="6"/>
      <c r="O153" s="6"/>
      <c r="P153" s="6"/>
      <c r="Q153" s="6"/>
      <c r="R153" s="6"/>
      <c r="S153" s="6"/>
      <c r="T153" s="3"/>
    </row>
    <row r="154" spans="1:20" s="1" customFormat="1">
      <c r="A154"/>
      <c r="B154" s="161"/>
      <c r="D154" s="5"/>
      <c r="E154" s="5"/>
      <c r="F154" s="5"/>
      <c r="G154" s="5"/>
      <c r="H154" s="5"/>
      <c r="I154" s="6"/>
      <c r="J154" s="6"/>
      <c r="K154" s="6"/>
      <c r="L154" s="6"/>
      <c r="M154" s="6"/>
      <c r="N154" s="6"/>
      <c r="O154" s="6"/>
      <c r="P154" s="6"/>
      <c r="Q154" s="6"/>
      <c r="R154" s="6"/>
      <c r="S154" s="6"/>
      <c r="T154" s="3"/>
    </row>
    <row r="155" spans="1:20" s="1" customFormat="1">
      <c r="A155"/>
      <c r="B155" s="161"/>
      <c r="D155" s="5"/>
      <c r="E155" s="5"/>
      <c r="F155" s="5"/>
      <c r="G155" s="5"/>
      <c r="H155" s="5"/>
      <c r="I155" s="6"/>
      <c r="J155" s="6"/>
      <c r="K155" s="6"/>
      <c r="L155" s="6"/>
      <c r="M155" s="6"/>
      <c r="N155" s="6"/>
      <c r="O155" s="6"/>
      <c r="P155" s="6"/>
      <c r="Q155" s="6"/>
      <c r="R155" s="6"/>
      <c r="S155" s="6"/>
      <c r="T155" s="3"/>
    </row>
    <row r="156" spans="1:20" s="1" customFormat="1">
      <c r="A156"/>
      <c r="B156" s="161"/>
      <c r="D156" s="5"/>
      <c r="E156" s="5"/>
      <c r="F156" s="5"/>
      <c r="G156" s="5"/>
      <c r="H156" s="5"/>
      <c r="I156" s="6"/>
      <c r="J156" s="6"/>
      <c r="K156" s="6"/>
      <c r="L156" s="6"/>
      <c r="M156" s="6"/>
      <c r="N156" s="6"/>
      <c r="O156" s="6"/>
      <c r="P156" s="6"/>
      <c r="Q156" s="6"/>
      <c r="R156" s="6"/>
      <c r="S156" s="6"/>
      <c r="T156" s="3"/>
    </row>
    <row r="157" spans="1:20" s="1" customFormat="1">
      <c r="A157"/>
      <c r="B157" s="161"/>
      <c r="D157" s="5"/>
      <c r="E157" s="5"/>
      <c r="F157" s="5"/>
      <c r="G157" s="5"/>
      <c r="H157" s="5"/>
      <c r="I157" s="6"/>
      <c r="J157" s="6"/>
      <c r="K157" s="6"/>
      <c r="L157" s="6"/>
      <c r="M157" s="6"/>
      <c r="N157" s="6"/>
      <c r="O157" s="6"/>
      <c r="P157" s="6"/>
      <c r="Q157" s="6"/>
      <c r="R157" s="6"/>
      <c r="S157" s="6"/>
      <c r="T157" s="3"/>
    </row>
    <row r="158" spans="1:20" s="1" customFormat="1">
      <c r="A158"/>
      <c r="B158" s="161"/>
      <c r="D158" s="5"/>
      <c r="E158" s="5"/>
      <c r="F158" s="5"/>
      <c r="G158" s="5"/>
      <c r="H158" s="5"/>
      <c r="I158" s="6"/>
      <c r="J158" s="6"/>
      <c r="K158" s="6"/>
      <c r="L158" s="6"/>
      <c r="M158" s="6"/>
      <c r="N158" s="6"/>
      <c r="O158" s="6"/>
      <c r="P158" s="6"/>
      <c r="Q158" s="6"/>
      <c r="R158" s="6"/>
      <c r="S158" s="6"/>
      <c r="T158" s="3"/>
    </row>
    <row r="159" spans="1:20" s="1" customFormat="1">
      <c r="A159"/>
      <c r="B159" s="161" t="s">
        <v>258</v>
      </c>
      <c r="D159" s="5"/>
      <c r="E159" s="5"/>
      <c r="F159" s="5"/>
      <c r="G159" s="5"/>
      <c r="H159" s="5"/>
      <c r="I159" s="6"/>
      <c r="J159" s="6"/>
      <c r="K159" s="6"/>
      <c r="L159" s="6"/>
      <c r="M159" s="6"/>
      <c r="N159" s="6"/>
      <c r="O159" s="6"/>
      <c r="P159" s="6"/>
      <c r="Q159" s="6"/>
      <c r="R159" s="6"/>
      <c r="S159" s="6"/>
      <c r="T159" s="3"/>
    </row>
    <row r="160" spans="1:20" s="1" customFormat="1">
      <c r="A160"/>
      <c r="B160" s="161"/>
      <c r="D160" s="5"/>
      <c r="E160" s="5"/>
      <c r="F160" s="5"/>
      <c r="G160" s="5"/>
      <c r="H160" s="5"/>
      <c r="I160" s="6"/>
      <c r="J160" s="6"/>
      <c r="K160" s="6"/>
      <c r="L160" s="6"/>
      <c r="M160" s="6"/>
      <c r="N160" s="6"/>
      <c r="O160" s="6"/>
      <c r="P160" s="6"/>
      <c r="Q160" s="6"/>
      <c r="R160" s="6"/>
      <c r="S160" s="6"/>
      <c r="T160" s="3"/>
    </row>
    <row r="161" spans="1:32" s="1" customFormat="1">
      <c r="A161"/>
      <c r="B161" s="161"/>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row>
    <row r="162" spans="1:32" s="1" customFormat="1">
      <c r="A162"/>
      <c r="B162" s="161"/>
      <c r="D162" s="5"/>
      <c r="E162" s="5"/>
      <c r="F162" s="5"/>
      <c r="G162" s="5"/>
      <c r="H162" s="5"/>
      <c r="I162" s="5"/>
      <c r="J162" s="5"/>
      <c r="K162" s="5"/>
      <c r="L162" s="5"/>
      <c r="M162" s="5"/>
      <c r="N162" s="5"/>
      <c r="O162" s="5"/>
      <c r="P162" s="5"/>
      <c r="Q162" s="5"/>
      <c r="R162" s="5"/>
      <c r="S162" s="5"/>
      <c r="T162" s="5"/>
      <c r="U162" s="5"/>
      <c r="V162" s="5"/>
      <c r="W162" s="5"/>
      <c r="X162" s="5"/>
      <c r="Y162" s="5"/>
      <c r="Z162" s="5"/>
    </row>
    <row r="163" spans="1:32" s="1" customFormat="1">
      <c r="A163"/>
      <c r="B163" s="161"/>
      <c r="D163" s="5"/>
      <c r="E163" s="5"/>
      <c r="F163" s="5"/>
      <c r="G163" s="5"/>
      <c r="H163" s="5"/>
      <c r="I163" s="6"/>
      <c r="J163" s="6"/>
      <c r="K163" s="6"/>
      <c r="L163" s="6"/>
      <c r="M163" s="6"/>
      <c r="N163" s="6"/>
      <c r="O163" s="6"/>
      <c r="P163" s="6"/>
      <c r="Q163" s="6"/>
      <c r="R163" s="6"/>
      <c r="S163" s="6"/>
      <c r="T163" s="3"/>
    </row>
    <row r="164" spans="1:32" s="1" customFormat="1">
      <c r="A164"/>
      <c r="B164" s="161"/>
      <c r="D164" s="5"/>
      <c r="E164" s="5"/>
      <c r="F164" s="5"/>
      <c r="G164" s="5"/>
      <c r="I164" s="195" t="s">
        <v>424</v>
      </c>
      <c r="J164" s="173"/>
      <c r="K164" s="173"/>
      <c r="L164" s="173"/>
      <c r="M164" s="173"/>
      <c r="N164" s="173"/>
      <c r="O164" s="173"/>
      <c r="P164" s="173"/>
      <c r="Q164" s="173"/>
      <c r="R164" s="173"/>
      <c r="S164" s="173"/>
      <c r="T164" s="173"/>
      <c r="U164" s="173"/>
    </row>
    <row r="165" spans="1:32" s="1" customFormat="1">
      <c r="A165"/>
      <c r="B165" s="161"/>
      <c r="D165" s="5"/>
      <c r="E165" s="5"/>
      <c r="F165" s="5"/>
      <c r="G165" s="5"/>
      <c r="I165" s="182" t="s">
        <v>425</v>
      </c>
      <c r="J165" s="183">
        <v>2007</v>
      </c>
      <c r="K165" s="183">
        <v>2008</v>
      </c>
      <c r="L165" s="183">
        <v>2009</v>
      </c>
      <c r="M165" s="183">
        <v>2010</v>
      </c>
      <c r="N165" s="183">
        <v>2011</v>
      </c>
      <c r="O165" s="183">
        <v>2012</v>
      </c>
      <c r="P165" s="183">
        <v>2013</v>
      </c>
      <c r="Q165" s="183">
        <v>2014</v>
      </c>
      <c r="R165" s="184">
        <v>2015</v>
      </c>
      <c r="S165" s="185">
        <v>2016</v>
      </c>
      <c r="T165" s="185">
        <v>2017</v>
      </c>
      <c r="U165" s="185">
        <v>2018</v>
      </c>
      <c r="V165" s="185">
        <v>2019</v>
      </c>
      <c r="W165" s="185">
        <v>2020</v>
      </c>
      <c r="X165" s="185">
        <v>2021</v>
      </c>
      <c r="Y165" s="185">
        <v>2022</v>
      </c>
      <c r="Z165" s="185">
        <v>2023</v>
      </c>
      <c r="AA165" s="185">
        <v>2024</v>
      </c>
      <c r="AB165" s="185">
        <v>2025</v>
      </c>
      <c r="AC165" s="185">
        <v>2026</v>
      </c>
      <c r="AD165" s="185">
        <v>2027</v>
      </c>
      <c r="AE165" s="185">
        <v>2028</v>
      </c>
    </row>
    <row r="166" spans="1:32" s="1" customFormat="1">
      <c r="A166"/>
      <c r="B166" s="161"/>
      <c r="D166" s="5"/>
      <c r="E166" s="5"/>
      <c r="F166" s="5"/>
      <c r="G166" s="5"/>
      <c r="I166" s="186" t="s">
        <v>426</v>
      </c>
      <c r="J166" s="187">
        <v>0.45098039215686292</v>
      </c>
      <c r="K166" s="187">
        <v>0.41891891891891886</v>
      </c>
      <c r="L166" s="187">
        <v>0.39999999999999991</v>
      </c>
      <c r="M166" s="187">
        <v>0.38775510204081631</v>
      </c>
      <c r="N166" s="187">
        <v>0.38</v>
      </c>
      <c r="O166" s="187">
        <v>0.37</v>
      </c>
      <c r="P166" s="187">
        <v>0.36</v>
      </c>
      <c r="Q166" s="187">
        <v>0.35</v>
      </c>
      <c r="R166" s="187">
        <v>0.33</v>
      </c>
      <c r="S166" s="187">
        <v>0.31</v>
      </c>
      <c r="T166" s="187">
        <v>0.3</v>
      </c>
      <c r="U166" s="187">
        <v>0.28999999999999998</v>
      </c>
      <c r="V166" s="187">
        <v>0.28999999999999998</v>
      </c>
      <c r="W166" s="187">
        <v>0.5</v>
      </c>
      <c r="X166" s="187">
        <v>0.35</v>
      </c>
      <c r="Y166" s="187">
        <v>0.3</v>
      </c>
      <c r="Z166" s="187">
        <v>0.28999999999999998</v>
      </c>
      <c r="AA166" s="187">
        <v>0.28000000000000003</v>
      </c>
      <c r="AB166" s="187">
        <v>0.27</v>
      </c>
      <c r="AC166" s="187">
        <v>0.25800000000000001</v>
      </c>
      <c r="AD166" s="187">
        <v>0.246</v>
      </c>
      <c r="AE166" s="187">
        <v>0.23399999999999999</v>
      </c>
    </row>
    <row r="167" spans="1:32" s="1" customFormat="1">
      <c r="A167"/>
      <c r="B167" s="161"/>
      <c r="D167" s="5"/>
      <c r="E167" s="5"/>
      <c r="F167" s="5"/>
      <c r="G167" s="5"/>
      <c r="I167" s="186" t="s">
        <v>213</v>
      </c>
      <c r="J167" s="188">
        <v>0.2363366825514075</v>
      </c>
      <c r="K167" s="188">
        <v>0.26126010671388444</v>
      </c>
      <c r="L167" s="188">
        <v>0.25114039004710653</v>
      </c>
      <c r="M167" s="188">
        <v>0.38417207079295546</v>
      </c>
      <c r="N167" s="188">
        <v>0.42417382322831676</v>
      </c>
      <c r="O167" s="188">
        <v>0.37489363230622441</v>
      </c>
      <c r="P167" s="188">
        <v>0.43190873335062818</v>
      </c>
      <c r="Q167" s="188">
        <v>0.49082663568861773</v>
      </c>
      <c r="R167" s="188">
        <v>0.39953696134919681</v>
      </c>
      <c r="S167" s="188">
        <v>0.41922148072449872</v>
      </c>
      <c r="T167" s="188">
        <v>0.464032235755518</v>
      </c>
      <c r="U167" s="188">
        <v>0.48390006358873805</v>
      </c>
      <c r="V167" s="189">
        <f>TotalMarket!C161</f>
        <v>0.39212607883261286</v>
      </c>
      <c r="W167" s="189">
        <f>TotalMarket!D161</f>
        <v>0</v>
      </c>
      <c r="X167" s="189">
        <f>TotalMarket!E161</f>
        <v>0</v>
      </c>
      <c r="Y167" s="189">
        <f>TotalMarket!F161</f>
        <v>0</v>
      </c>
      <c r="Z167" s="189">
        <f>TotalMarket!G161</f>
        <v>0</v>
      </c>
      <c r="AA167" s="189">
        <f>TotalMarket!H161</f>
        <v>0</v>
      </c>
      <c r="AB167" s="189">
        <f>TotalMarket!I161</f>
        <v>0</v>
      </c>
      <c r="AC167" s="189">
        <f>TotalMarket!J161</f>
        <v>0</v>
      </c>
      <c r="AD167" s="189">
        <f>TotalMarket!K161</f>
        <v>0</v>
      </c>
      <c r="AE167" s="189">
        <f>TotalMarket!L161</f>
        <v>0</v>
      </c>
    </row>
    <row r="168" spans="1:32" s="1" customFormat="1">
      <c r="A168"/>
      <c r="B168" s="161"/>
      <c r="D168" s="5"/>
      <c r="E168" s="5"/>
      <c r="F168" s="5"/>
      <c r="G168" s="5"/>
      <c r="I168" s="186" t="s">
        <v>214</v>
      </c>
      <c r="J168" s="188">
        <v>0.40606751301296207</v>
      </c>
      <c r="K168" s="188">
        <v>0.50744472069135105</v>
      </c>
      <c r="L168" s="188">
        <v>0.24842156785301661</v>
      </c>
      <c r="M168" s="188">
        <v>0.22001159553324645</v>
      </c>
      <c r="N168" s="188">
        <v>0.31682528349686678</v>
      </c>
      <c r="O168" s="188">
        <v>0.38660684502076625</v>
      </c>
      <c r="P168" s="188">
        <v>0.41913726843312915</v>
      </c>
      <c r="Q168" s="188">
        <v>0.42631212042630495</v>
      </c>
      <c r="R168" s="188">
        <v>0.44820797319536432</v>
      </c>
      <c r="S168" s="188">
        <v>0.54001448252248263</v>
      </c>
      <c r="T168" s="188">
        <v>0.43822789139532881</v>
      </c>
      <c r="U168" s="188">
        <v>0.39453901742709951</v>
      </c>
      <c r="V168" s="189">
        <f>TotalMarket!C166</f>
        <v>0.53714589683157077</v>
      </c>
      <c r="W168" s="189">
        <f>TotalMarket!D166</f>
        <v>0</v>
      </c>
      <c r="X168" s="189">
        <f>TotalMarket!E166</f>
        <v>0</v>
      </c>
      <c r="Y168" s="189">
        <f>TotalMarket!F166</f>
        <v>0</v>
      </c>
      <c r="Z168" s="189">
        <f>TotalMarket!G166</f>
        <v>0</v>
      </c>
      <c r="AA168" s="189">
        <f>TotalMarket!H166</f>
        <v>0</v>
      </c>
      <c r="AB168" s="189">
        <f>TotalMarket!I166</f>
        <v>0</v>
      </c>
      <c r="AC168" s="189">
        <f>TotalMarket!J166</f>
        <v>0</v>
      </c>
      <c r="AD168" s="189">
        <f>TotalMarket!K166</f>
        <v>0</v>
      </c>
      <c r="AE168" s="189">
        <f>TotalMarket!L166</f>
        <v>0</v>
      </c>
    </row>
    <row r="169" spans="1:32" s="1" customFormat="1">
      <c r="A169"/>
      <c r="B169" s="161"/>
      <c r="D169" s="5"/>
      <c r="E169" s="5"/>
      <c r="F169" s="5"/>
      <c r="G169" s="5"/>
      <c r="J169" s="34"/>
    </row>
    <row r="170" spans="1:32" s="1" customFormat="1">
      <c r="A170"/>
      <c r="B170" s="161"/>
      <c r="D170" s="5"/>
      <c r="E170" s="5"/>
      <c r="F170" s="5"/>
      <c r="G170" s="5"/>
    </row>
    <row r="171" spans="1:32" s="1" customFormat="1">
      <c r="A171"/>
      <c r="B171" s="161"/>
      <c r="D171" s="5"/>
      <c r="E171" s="5"/>
      <c r="F171" s="5"/>
      <c r="G171" s="5"/>
      <c r="H171" s="5"/>
      <c r="I171" s="6"/>
      <c r="J171" s="6"/>
      <c r="K171" s="6"/>
      <c r="L171" s="6"/>
      <c r="M171" s="6"/>
      <c r="N171" s="6"/>
      <c r="O171" s="6"/>
      <c r="P171" s="6"/>
      <c r="Q171" s="6"/>
      <c r="R171" s="6"/>
      <c r="S171" s="6"/>
      <c r="T171" s="3"/>
    </row>
    <row r="172" spans="1:32" s="1" customFormat="1">
      <c r="A172"/>
      <c r="B172" s="161"/>
      <c r="D172" s="5"/>
      <c r="E172" s="5"/>
      <c r="F172" s="5"/>
      <c r="G172" s="5"/>
      <c r="H172" s="5"/>
      <c r="I172" s="6"/>
      <c r="J172" s="6"/>
      <c r="K172" s="6"/>
      <c r="L172" s="6"/>
      <c r="M172" s="6"/>
      <c r="N172" s="6"/>
      <c r="O172" s="6"/>
      <c r="P172" s="6"/>
      <c r="Q172" s="6"/>
      <c r="R172" s="6"/>
      <c r="S172" s="6"/>
      <c r="T172" s="3"/>
    </row>
    <row r="173" spans="1:32" s="1" customFormat="1">
      <c r="A173"/>
      <c r="B173" s="161"/>
      <c r="D173" s="5"/>
      <c r="E173" s="5"/>
      <c r="F173" s="5"/>
      <c r="G173" s="5"/>
      <c r="H173" s="5"/>
      <c r="I173" s="6"/>
      <c r="J173" s="6"/>
      <c r="K173" s="6"/>
      <c r="L173" s="6"/>
      <c r="M173" s="6"/>
      <c r="N173" s="6"/>
      <c r="O173" s="6"/>
      <c r="P173" s="6"/>
      <c r="Q173" s="6"/>
      <c r="R173" s="6"/>
      <c r="S173" s="6"/>
      <c r="T173" s="3"/>
    </row>
    <row r="174" spans="1:32" s="1" customFormat="1">
      <c r="A174"/>
      <c r="B174" s="161" t="s">
        <v>259</v>
      </c>
      <c r="D174" s="5"/>
      <c r="E174" s="5"/>
      <c r="F174" s="5"/>
      <c r="G174" s="5"/>
      <c r="H174" s="5"/>
      <c r="I174" s="6"/>
      <c r="J174" s="6"/>
      <c r="K174" s="6"/>
      <c r="L174" s="6"/>
      <c r="M174" s="6"/>
      <c r="N174" s="6"/>
      <c r="O174" s="6"/>
      <c r="P174" s="6"/>
      <c r="Q174" s="6"/>
      <c r="R174" s="6"/>
      <c r="S174" s="6"/>
      <c r="T174" s="3"/>
    </row>
    <row r="175" spans="1:32" s="1" customFormat="1">
      <c r="A175"/>
      <c r="B175" s="161"/>
      <c r="D175" s="5"/>
      <c r="E175" s="5"/>
      <c r="F175" s="5"/>
      <c r="G175" s="5"/>
      <c r="H175" s="5"/>
      <c r="I175" s="6"/>
      <c r="J175" s="6"/>
      <c r="K175" s="6"/>
      <c r="L175" s="6"/>
      <c r="M175" s="6"/>
      <c r="N175" s="6"/>
      <c r="O175" s="6"/>
      <c r="P175" s="6"/>
      <c r="Q175" s="6"/>
      <c r="R175" s="6"/>
      <c r="S175" s="6"/>
      <c r="T175" s="3"/>
    </row>
    <row r="176" spans="1:32" s="1" customFormat="1">
      <c r="A176"/>
      <c r="B176" s="161"/>
      <c r="D176" s="5"/>
      <c r="E176" s="5"/>
      <c r="F176" s="5"/>
      <c r="G176" s="5"/>
      <c r="H176" s="5"/>
      <c r="I176" s="198"/>
      <c r="J176" s="190">
        <v>2019</v>
      </c>
      <c r="K176" s="190">
        <v>2020</v>
      </c>
      <c r="L176" s="190">
        <v>2021</v>
      </c>
      <c r="M176" s="190">
        <v>2022</v>
      </c>
      <c r="N176" s="190">
        <v>2023</v>
      </c>
      <c r="O176" s="190">
        <v>2024</v>
      </c>
      <c r="P176" s="190">
        <v>2025</v>
      </c>
      <c r="Q176" s="190">
        <v>2026</v>
      </c>
      <c r="R176" s="190">
        <v>2027</v>
      </c>
      <c r="S176" s="190">
        <v>2028</v>
      </c>
    </row>
    <row r="177" spans="1:20" s="1" customFormat="1">
      <c r="A177"/>
      <c r="B177" s="161"/>
      <c r="D177" s="5"/>
      <c r="E177" s="5"/>
      <c r="F177" s="5"/>
      <c r="G177" s="5"/>
      <c r="H177" s="5"/>
      <c r="I177" s="196" t="s">
        <v>221</v>
      </c>
      <c r="J177" s="189">
        <f>Enterprise!C138</f>
        <v>0.78573162996203627</v>
      </c>
      <c r="K177" s="189">
        <f>Enterprise!D138</f>
        <v>0</v>
      </c>
      <c r="L177" s="189">
        <f>Enterprise!E138</f>
        <v>0</v>
      </c>
      <c r="M177" s="189">
        <f>Enterprise!F138</f>
        <v>0</v>
      </c>
      <c r="N177" s="189">
        <f>Enterprise!G138</f>
        <v>0</v>
      </c>
      <c r="O177" s="189">
        <f>Enterprise!H138</f>
        <v>0</v>
      </c>
      <c r="P177" s="189">
        <f>Enterprise!I138</f>
        <v>0</v>
      </c>
      <c r="Q177" s="189">
        <f>Enterprise!J138</f>
        <v>0</v>
      </c>
      <c r="R177" s="189">
        <f>Enterprise!K138</f>
        <v>0</v>
      </c>
      <c r="S177" s="189">
        <f>Enterprise!L138</f>
        <v>0</v>
      </c>
    </row>
    <row r="178" spans="1:20" s="1" customFormat="1">
      <c r="A178"/>
      <c r="B178" s="161"/>
      <c r="D178" s="5"/>
      <c r="E178" s="5"/>
      <c r="F178" s="5"/>
      <c r="G178" s="5"/>
      <c r="H178" s="5"/>
      <c r="I178" s="196" t="s">
        <v>220</v>
      </c>
      <c r="J178" s="189">
        <f>Telecom!C138</f>
        <v>0.90167831433563528</v>
      </c>
      <c r="K178" s="189">
        <f>Telecom!D138</f>
        <v>0</v>
      </c>
      <c r="L178" s="189">
        <f>Telecom!E138</f>
        <v>0</v>
      </c>
      <c r="M178" s="189">
        <f>Telecom!F138</f>
        <v>0</v>
      </c>
      <c r="N178" s="189">
        <f>Telecom!G138</f>
        <v>0</v>
      </c>
      <c r="O178" s="189">
        <f>Telecom!H138</f>
        <v>0</v>
      </c>
      <c r="P178" s="189">
        <f>Telecom!I138</f>
        <v>0</v>
      </c>
      <c r="Q178" s="189">
        <f>Telecom!J138</f>
        <v>0</v>
      </c>
      <c r="R178" s="189">
        <f>Telecom!K138</f>
        <v>0</v>
      </c>
      <c r="S178" s="189">
        <f>Telecom!L138</f>
        <v>0</v>
      </c>
    </row>
    <row r="179" spans="1:20" s="1" customFormat="1">
      <c r="A179"/>
      <c r="B179" s="161"/>
      <c r="D179" s="5"/>
      <c r="E179" s="5"/>
      <c r="F179" s="5"/>
      <c r="G179" s="5"/>
      <c r="H179" s="5"/>
      <c r="I179" s="196" t="s">
        <v>417</v>
      </c>
      <c r="J179" s="189">
        <f>CloudTotal!C137</f>
        <v>1.2351269500344495</v>
      </c>
      <c r="K179" s="189">
        <f>CloudTotal!D137</f>
        <v>0</v>
      </c>
      <c r="L179" s="189">
        <f>CloudTotal!E137</f>
        <v>0</v>
      </c>
      <c r="M179" s="189">
        <f>CloudTotal!F137</f>
        <v>0</v>
      </c>
      <c r="N179" s="189">
        <f>CloudTotal!G137</f>
        <v>0</v>
      </c>
      <c r="O179" s="189">
        <f>CloudTotal!H137</f>
        <v>0</v>
      </c>
      <c r="P179" s="189">
        <f>CloudTotal!I137</f>
        <v>0</v>
      </c>
      <c r="Q179" s="189">
        <f>CloudTotal!J137</f>
        <v>0</v>
      </c>
      <c r="R179" s="189">
        <f>CloudTotal!K137</f>
        <v>0</v>
      </c>
      <c r="S179" s="189">
        <f>CloudTotal!L137</f>
        <v>0</v>
      </c>
    </row>
    <row r="180" spans="1:20" s="1" customFormat="1">
      <c r="A180"/>
      <c r="B180" s="161"/>
      <c r="D180" s="5"/>
      <c r="E180" s="5"/>
      <c r="F180" s="5"/>
      <c r="G180" s="5"/>
      <c r="H180" s="5"/>
      <c r="I180" s="197"/>
      <c r="J180" s="6"/>
      <c r="K180" s="6"/>
      <c r="L180" s="6"/>
      <c r="M180" s="6"/>
      <c r="N180" s="6"/>
      <c r="O180" s="6"/>
      <c r="P180" s="6"/>
      <c r="Q180" s="6"/>
      <c r="R180" s="6"/>
      <c r="S180" s="3"/>
    </row>
    <row r="181" spans="1:20" s="1" customFormat="1">
      <c r="A181"/>
      <c r="B181" s="161"/>
      <c r="D181" s="5"/>
      <c r="E181" s="5"/>
      <c r="F181" s="5"/>
      <c r="G181" s="5"/>
      <c r="H181" s="5"/>
      <c r="I181" s="6"/>
      <c r="J181" s="6"/>
      <c r="K181" s="6"/>
      <c r="L181" s="6"/>
      <c r="M181" s="6"/>
      <c r="N181" s="6"/>
      <c r="O181" s="6"/>
      <c r="P181" s="6"/>
      <c r="Q181" s="6"/>
      <c r="R181" s="6"/>
      <c r="S181" s="6"/>
      <c r="T181" s="3"/>
    </row>
    <row r="182" spans="1:20" s="1" customFormat="1">
      <c r="A182"/>
      <c r="B182" s="161"/>
      <c r="D182" s="5"/>
      <c r="E182" s="5"/>
      <c r="F182" s="5"/>
      <c r="G182" s="5"/>
      <c r="H182" s="5"/>
      <c r="I182" s="6"/>
      <c r="J182" s="6"/>
      <c r="K182" s="6"/>
      <c r="L182" s="6"/>
      <c r="M182" s="6"/>
      <c r="N182" s="6"/>
      <c r="O182" s="6"/>
      <c r="P182" s="6"/>
      <c r="Q182" s="6"/>
      <c r="R182" s="6"/>
      <c r="S182" s="6"/>
      <c r="T182" s="3"/>
    </row>
    <row r="183" spans="1:20" s="1" customFormat="1">
      <c r="A183"/>
      <c r="B183" s="161"/>
      <c r="D183" s="5"/>
      <c r="E183" s="5"/>
      <c r="F183" s="5"/>
      <c r="G183" s="5"/>
      <c r="H183" s="5"/>
      <c r="I183" s="6"/>
      <c r="J183" s="6"/>
      <c r="K183" s="6"/>
      <c r="L183" s="6"/>
      <c r="M183" s="6"/>
      <c r="N183" s="6"/>
      <c r="O183" s="6"/>
      <c r="P183" s="6"/>
      <c r="Q183" s="6"/>
      <c r="R183" s="6"/>
      <c r="S183" s="6"/>
      <c r="T183" s="3"/>
    </row>
    <row r="184" spans="1:20" s="1" customFormat="1">
      <c r="A184"/>
      <c r="B184" s="161"/>
      <c r="D184" s="5"/>
      <c r="E184" s="5"/>
      <c r="F184" s="5"/>
      <c r="G184" s="5"/>
      <c r="H184" s="5"/>
      <c r="I184" s="6"/>
      <c r="J184" s="6"/>
      <c r="K184" s="6"/>
      <c r="L184" s="6"/>
      <c r="M184" s="6"/>
      <c r="N184" s="6"/>
      <c r="O184" s="6"/>
      <c r="P184" s="6"/>
      <c r="Q184" s="6"/>
      <c r="R184" s="6"/>
      <c r="S184" s="6"/>
      <c r="T184" s="3"/>
    </row>
    <row r="185" spans="1:20" s="1" customFormat="1">
      <c r="A185"/>
      <c r="B185" s="161"/>
      <c r="D185" s="5"/>
      <c r="E185" s="5"/>
      <c r="F185" s="5"/>
      <c r="G185" s="5"/>
      <c r="H185" s="5"/>
      <c r="I185" s="6"/>
      <c r="J185" s="6"/>
      <c r="K185" s="6"/>
      <c r="L185" s="6"/>
      <c r="M185" s="6"/>
      <c r="N185" s="6"/>
      <c r="O185" s="6"/>
      <c r="P185" s="6"/>
      <c r="Q185" s="6"/>
      <c r="R185" s="6"/>
      <c r="S185" s="6"/>
      <c r="T185" s="3"/>
    </row>
    <row r="186" spans="1:20" s="1" customFormat="1">
      <c r="A186"/>
      <c r="B186" s="161"/>
      <c r="D186" s="5"/>
      <c r="E186" s="5"/>
      <c r="F186" s="5"/>
      <c r="G186" s="5"/>
      <c r="H186" s="5"/>
      <c r="I186" s="6"/>
      <c r="J186" s="6"/>
      <c r="K186" s="6"/>
      <c r="L186" s="6"/>
      <c r="M186" s="6"/>
      <c r="N186" s="6"/>
      <c r="O186" s="6"/>
      <c r="P186" s="6"/>
      <c r="Q186" s="6"/>
      <c r="R186" s="6"/>
      <c r="S186" s="6"/>
      <c r="T186" s="3"/>
    </row>
    <row r="187" spans="1:20" s="1" customFormat="1">
      <c r="A187"/>
      <c r="B187" s="161" t="s">
        <v>418</v>
      </c>
      <c r="D187" s="5"/>
      <c r="E187" s="5"/>
      <c r="F187" s="5"/>
      <c r="G187" s="5"/>
      <c r="H187" s="5"/>
      <c r="I187" s="6"/>
      <c r="J187" s="6"/>
      <c r="K187" s="6"/>
      <c r="L187" s="6"/>
      <c r="M187" s="6"/>
      <c r="N187" s="6"/>
      <c r="O187" s="6"/>
      <c r="P187" s="6"/>
      <c r="Q187" s="6"/>
      <c r="R187" s="6"/>
      <c r="S187" s="6"/>
      <c r="T187" s="3"/>
    </row>
    <row r="188" spans="1:20" s="1" customFormat="1">
      <c r="A188"/>
      <c r="B188" s="161"/>
      <c r="D188" s="5"/>
      <c r="E188" s="5"/>
      <c r="F188" s="5"/>
      <c r="G188" s="5"/>
      <c r="H188" s="5"/>
      <c r="I188" s="6"/>
      <c r="J188" s="6"/>
      <c r="K188" s="6"/>
      <c r="L188" s="6"/>
      <c r="M188" s="6"/>
      <c r="N188" s="6"/>
      <c r="O188" s="6"/>
      <c r="P188" s="6"/>
      <c r="Q188" s="6"/>
      <c r="R188" s="6"/>
      <c r="S188" s="6"/>
      <c r="T188" s="3"/>
    </row>
    <row r="189" spans="1:20" s="1" customFormat="1">
      <c r="A189"/>
      <c r="B189" s="161"/>
      <c r="D189" s="5"/>
      <c r="E189" s="5"/>
      <c r="F189" s="5"/>
      <c r="G189" s="5"/>
      <c r="H189" s="5"/>
      <c r="I189" s="199"/>
      <c r="J189" s="190">
        <v>2019</v>
      </c>
      <c r="K189" s="190">
        <v>2020</v>
      </c>
      <c r="L189" s="190">
        <v>2021</v>
      </c>
      <c r="M189" s="190">
        <v>2022</v>
      </c>
      <c r="N189" s="190">
        <v>2023</v>
      </c>
      <c r="O189" s="190">
        <v>2024</v>
      </c>
      <c r="P189" s="190">
        <v>2025</v>
      </c>
      <c r="Q189" s="190">
        <v>2026</v>
      </c>
      <c r="R189" s="190">
        <v>2027</v>
      </c>
      <c r="S189" s="190">
        <v>2028</v>
      </c>
    </row>
    <row r="190" spans="1:20" s="1" customFormat="1">
      <c r="A190"/>
      <c r="B190" s="161"/>
      <c r="D190" s="5"/>
      <c r="E190" s="5"/>
      <c r="F190" s="5"/>
      <c r="G190" s="5"/>
      <c r="H190" s="5"/>
      <c r="I190" s="168" t="s">
        <v>421</v>
      </c>
      <c r="J190" s="169">
        <f>CloudTotal!C136-CloudAllOther!C123</f>
        <v>1211.3154895716984</v>
      </c>
      <c r="K190" s="169">
        <f>CloudTotal!D136-CloudAllOther!D123</f>
        <v>1211.3154895716984</v>
      </c>
      <c r="L190" s="169">
        <f>CloudTotal!E136-CloudAllOther!E123</f>
        <v>1211.3154895716984</v>
      </c>
      <c r="M190" s="169">
        <f>CloudTotal!F136-CloudAllOther!F123</f>
        <v>1211.3154895716984</v>
      </c>
      <c r="N190" s="169">
        <f>CloudTotal!G136-CloudAllOther!G123</f>
        <v>1211.3154895716984</v>
      </c>
      <c r="O190" s="169">
        <f>CloudTotal!H136-CloudAllOther!H123</f>
        <v>1211.3154895716984</v>
      </c>
      <c r="P190" s="169">
        <f>CloudTotal!I136-CloudAllOther!I123</f>
        <v>1211.3154895716984</v>
      </c>
      <c r="Q190" s="169">
        <f>CloudTotal!J136-CloudAllOther!J123</f>
        <v>1211.3154895716984</v>
      </c>
      <c r="R190" s="169">
        <f>CloudTotal!K136-CloudAllOther!K123</f>
        <v>1211.3154895716984</v>
      </c>
      <c r="S190" s="169">
        <f>CloudTotal!L136-CloudAllOther!L123</f>
        <v>1211.3154895716984</v>
      </c>
    </row>
    <row r="191" spans="1:20" s="1" customFormat="1">
      <c r="A191"/>
      <c r="B191" s="161"/>
      <c r="D191" s="5"/>
      <c r="E191" s="5"/>
      <c r="F191" s="5"/>
      <c r="G191" s="5"/>
      <c r="H191" s="5"/>
      <c r="I191" s="197" t="s">
        <v>420</v>
      </c>
      <c r="J191" s="166">
        <v>1.27</v>
      </c>
      <c r="K191" s="166">
        <f t="shared" ref="K191:S191" si="0">K190/J190-1</f>
        <v>0</v>
      </c>
      <c r="L191" s="166">
        <f t="shared" si="0"/>
        <v>0</v>
      </c>
      <c r="M191" s="166">
        <f t="shared" si="0"/>
        <v>0</v>
      </c>
      <c r="N191" s="166">
        <f t="shared" si="0"/>
        <v>0</v>
      </c>
      <c r="O191" s="166">
        <f t="shared" si="0"/>
        <v>0</v>
      </c>
      <c r="P191" s="166">
        <f t="shared" si="0"/>
        <v>0</v>
      </c>
      <c r="Q191" s="166">
        <f t="shared" si="0"/>
        <v>0</v>
      </c>
      <c r="R191" s="166">
        <f t="shared" si="0"/>
        <v>0</v>
      </c>
      <c r="S191" s="166">
        <f t="shared" si="0"/>
        <v>0</v>
      </c>
    </row>
    <row r="192" spans="1:20" s="1" customFormat="1">
      <c r="A192"/>
      <c r="B192" s="161"/>
      <c r="D192" s="5"/>
      <c r="E192" s="5"/>
      <c r="F192" s="5"/>
      <c r="G192" s="5"/>
      <c r="H192" s="5"/>
      <c r="I192" s="197" t="s">
        <v>419</v>
      </c>
      <c r="J192" s="166">
        <f>CloudAllOther!C124</f>
        <v>1.1520954470827669</v>
      </c>
      <c r="K192" s="166">
        <f>CloudAllOther!D124</f>
        <v>0</v>
      </c>
      <c r="L192" s="166">
        <f>CloudAllOther!E124</f>
        <v>0</v>
      </c>
      <c r="M192" s="166">
        <f>CloudAllOther!F124</f>
        <v>0</v>
      </c>
      <c r="N192" s="166">
        <f>CloudAllOther!G124</f>
        <v>0</v>
      </c>
      <c r="O192" s="166">
        <f>CloudAllOther!H124</f>
        <v>0</v>
      </c>
      <c r="P192" s="166">
        <f>CloudAllOther!I124</f>
        <v>0</v>
      </c>
      <c r="Q192" s="166">
        <f>CloudAllOther!J124</f>
        <v>0</v>
      </c>
      <c r="R192" s="166">
        <f>CloudAllOther!K124</f>
        <v>0</v>
      </c>
      <c r="S192" s="166">
        <f>CloudAllOther!L124</f>
        <v>0</v>
      </c>
    </row>
    <row r="193" spans="1:27" s="1" customFormat="1">
      <c r="A193"/>
      <c r="B193" s="161"/>
      <c r="D193" s="5"/>
      <c r="E193" s="5"/>
      <c r="F193" s="5"/>
      <c r="G193" s="5"/>
      <c r="H193" s="5"/>
      <c r="I193" s="6"/>
      <c r="J193" s="6"/>
      <c r="K193" s="6"/>
      <c r="L193" s="6"/>
      <c r="M193" s="6"/>
      <c r="N193" s="6"/>
      <c r="O193" s="6"/>
      <c r="P193" s="6"/>
      <c r="Q193" s="6"/>
      <c r="R193" s="6"/>
      <c r="S193" s="6"/>
      <c r="T193" s="3"/>
    </row>
    <row r="194" spans="1:27" s="1" customFormat="1">
      <c r="A194"/>
      <c r="B194" s="161"/>
      <c r="D194" s="5"/>
      <c r="E194" s="5"/>
      <c r="F194" s="5"/>
      <c r="G194" s="5"/>
      <c r="H194" s="5"/>
      <c r="I194" s="6"/>
      <c r="J194" s="6"/>
      <c r="K194" s="6"/>
      <c r="L194" s="6"/>
      <c r="M194" s="6"/>
      <c r="N194" s="6"/>
      <c r="O194" s="6"/>
      <c r="P194" s="6"/>
      <c r="Q194" s="6"/>
      <c r="R194" s="6"/>
      <c r="S194" s="6"/>
      <c r="T194" s="3"/>
    </row>
    <row r="195" spans="1:27" s="1" customFormat="1">
      <c r="A195"/>
      <c r="B195" s="161"/>
      <c r="D195" s="5"/>
      <c r="E195" s="5"/>
      <c r="F195" s="5"/>
      <c r="G195" s="5"/>
      <c r="H195" s="5"/>
      <c r="I195" s="6"/>
      <c r="J195" s="6"/>
      <c r="K195" s="6"/>
      <c r="L195" s="6"/>
      <c r="M195" s="6"/>
      <c r="N195" s="6"/>
      <c r="O195" s="6"/>
      <c r="P195" s="6"/>
      <c r="Q195" s="6"/>
      <c r="R195" s="6"/>
      <c r="S195" s="6"/>
      <c r="T195" s="3"/>
    </row>
    <row r="196" spans="1:27" s="1" customFormat="1">
      <c r="A196"/>
      <c r="B196" s="161"/>
      <c r="D196" s="5"/>
      <c r="E196" s="5"/>
      <c r="F196" s="5"/>
      <c r="G196" s="5"/>
      <c r="H196" s="5"/>
      <c r="I196" s="6"/>
      <c r="J196" s="6"/>
      <c r="K196" s="6"/>
      <c r="L196" s="6"/>
      <c r="M196" s="6"/>
      <c r="N196" s="6"/>
      <c r="O196" s="6"/>
      <c r="P196" s="6"/>
      <c r="Q196" s="6"/>
      <c r="R196" s="6"/>
      <c r="S196" s="6"/>
      <c r="T196" s="3"/>
    </row>
    <row r="197" spans="1:27" s="1" customFormat="1">
      <c r="A197"/>
      <c r="B197" s="161"/>
      <c r="D197" s="5"/>
      <c r="E197" s="5"/>
      <c r="F197" s="5"/>
      <c r="G197" s="5"/>
      <c r="H197" s="5"/>
      <c r="I197" s="6"/>
      <c r="J197" s="6"/>
      <c r="K197" s="6"/>
      <c r="L197" s="6"/>
      <c r="M197" s="6"/>
      <c r="N197" s="6"/>
      <c r="O197" s="6"/>
      <c r="P197" s="6"/>
      <c r="Q197" s="6"/>
      <c r="R197" s="6"/>
      <c r="S197" s="6"/>
      <c r="T197" s="3"/>
    </row>
    <row r="198" spans="1:27" s="1" customFormat="1">
      <c r="A198"/>
      <c r="B198" s="161"/>
      <c r="D198" s="5"/>
      <c r="E198" s="5"/>
      <c r="F198" s="5"/>
      <c r="G198" s="5"/>
      <c r="H198" s="5"/>
      <c r="I198" s="6"/>
      <c r="J198" s="6"/>
      <c r="K198" s="6"/>
      <c r="L198" s="6"/>
      <c r="M198" s="6"/>
      <c r="N198" s="6"/>
      <c r="O198" s="6"/>
      <c r="P198" s="6"/>
      <c r="Q198" s="6"/>
      <c r="R198" s="6"/>
      <c r="S198" s="6"/>
      <c r="T198" s="3"/>
    </row>
    <row r="199" spans="1:27" s="1" customFormat="1">
      <c r="A199"/>
      <c r="B199" s="161"/>
      <c r="D199" s="5"/>
      <c r="E199" s="5"/>
      <c r="F199" s="5"/>
      <c r="G199" s="5"/>
      <c r="H199" s="5"/>
      <c r="I199" s="6"/>
      <c r="J199" s="6"/>
      <c r="K199" s="6"/>
      <c r="L199" s="6"/>
      <c r="M199" s="6"/>
      <c r="N199" s="6"/>
      <c r="O199" s="6"/>
      <c r="P199" s="6"/>
      <c r="Q199" s="6"/>
      <c r="R199" s="6"/>
      <c r="S199" s="6"/>
      <c r="T199" s="3"/>
    </row>
    <row r="200" spans="1:27" s="1" customFormat="1">
      <c r="A200"/>
      <c r="B200" s="161"/>
      <c r="D200" s="5"/>
      <c r="E200" s="5"/>
      <c r="F200" s="5"/>
      <c r="G200" s="5"/>
      <c r="H200" s="5"/>
      <c r="I200" s="6"/>
      <c r="J200" s="6"/>
      <c r="K200" s="6"/>
      <c r="L200" s="6"/>
      <c r="M200" s="6"/>
      <c r="N200" s="6"/>
      <c r="O200" s="6"/>
      <c r="P200" s="6"/>
      <c r="Q200" s="6"/>
      <c r="R200" s="6"/>
      <c r="S200" s="6"/>
      <c r="T200" s="3"/>
    </row>
    <row r="201" spans="1:27" s="1" customFormat="1">
      <c r="A201"/>
      <c r="B201" s="161" t="s">
        <v>260</v>
      </c>
      <c r="D201" s="5"/>
      <c r="E201" s="5"/>
      <c r="F201" s="5"/>
      <c r="G201" s="5"/>
      <c r="H201" s="5"/>
      <c r="I201" s="6"/>
      <c r="J201" s="6"/>
      <c r="K201" s="6"/>
      <c r="L201" s="6"/>
      <c r="M201" s="6"/>
      <c r="N201" s="6"/>
      <c r="O201" s="6"/>
      <c r="P201" s="6"/>
      <c r="Q201" s="6"/>
      <c r="R201" s="6"/>
      <c r="S201" s="6"/>
      <c r="T201" s="3"/>
    </row>
    <row r="202" spans="1:27" s="1" customFormat="1">
      <c r="A202"/>
      <c r="B202" s="161"/>
      <c r="D202" s="5"/>
      <c r="E202" s="5"/>
      <c r="F202" s="5"/>
      <c r="G202" s="5"/>
      <c r="H202"/>
      <c r="I202"/>
      <c r="J202"/>
      <c r="K202"/>
      <c r="L202"/>
      <c r="M202"/>
      <c r="N202"/>
      <c r="O202"/>
      <c r="P202"/>
      <c r="Q202"/>
      <c r="R202"/>
      <c r="S202"/>
      <c r="T202"/>
      <c r="U202"/>
      <c r="V202"/>
      <c r="W202"/>
      <c r="X202"/>
      <c r="Y202"/>
      <c r="Z202"/>
      <c r="AA202"/>
    </row>
    <row r="203" spans="1:27" s="1" customFormat="1">
      <c r="A203"/>
      <c r="B203" s="161"/>
      <c r="D203" s="5"/>
      <c r="E203" s="5"/>
      <c r="F203" s="5"/>
      <c r="G203" s="5"/>
      <c r="H203"/>
      <c r="I203"/>
      <c r="J203"/>
      <c r="K203"/>
      <c r="L203"/>
      <c r="M203"/>
      <c r="N203"/>
      <c r="O203"/>
      <c r="P203"/>
      <c r="Q203"/>
      <c r="R203"/>
      <c r="S203"/>
      <c r="T203"/>
      <c r="U203"/>
      <c r="V203"/>
      <c r="W203"/>
      <c r="X203"/>
      <c r="Y203"/>
      <c r="Z203"/>
      <c r="AA203"/>
    </row>
    <row r="204" spans="1:27" s="1" customFormat="1">
      <c r="A204"/>
      <c r="B204" s="161"/>
      <c r="D204" s="5"/>
      <c r="E204" s="5"/>
      <c r="F204" s="5"/>
      <c r="G204" s="5"/>
      <c r="H204" s="170"/>
      <c r="I204" s="174"/>
      <c r="J204" s="174"/>
      <c r="K204" s="174"/>
      <c r="L204" s="174"/>
      <c r="M204" s="174"/>
      <c r="N204" s="174"/>
      <c r="O204" s="174"/>
      <c r="P204" s="174"/>
      <c r="Q204" s="174"/>
      <c r="R204" s="174"/>
      <c r="S204" s="174"/>
      <c r="T204" s="174"/>
      <c r="U204" s="174"/>
      <c r="V204" s="174"/>
      <c r="W204" s="174"/>
      <c r="X204" s="174"/>
      <c r="Y204" s="174"/>
      <c r="Z204" s="174"/>
    </row>
    <row r="205" spans="1:27" s="1" customFormat="1">
      <c r="A205"/>
      <c r="B205" s="161"/>
      <c r="D205" s="5"/>
      <c r="E205" s="5"/>
      <c r="F205" s="5"/>
      <c r="G205" s="5"/>
      <c r="H205" s="5"/>
      <c r="I205" s="5"/>
      <c r="J205" s="6"/>
      <c r="K205" s="6"/>
      <c r="L205" s="6"/>
      <c r="M205" s="6"/>
      <c r="N205" s="6"/>
      <c r="O205" s="6"/>
      <c r="P205" s="6"/>
      <c r="Q205" s="6"/>
      <c r="R205" s="6"/>
      <c r="S205" s="6"/>
      <c r="T205" s="6"/>
      <c r="U205" s="3"/>
    </row>
    <row r="206" spans="1:27" s="1" customFormat="1">
      <c r="A206"/>
      <c r="B206" s="161"/>
      <c r="D206" s="5"/>
      <c r="E206" s="5"/>
      <c r="F206" s="5"/>
      <c r="G206" s="5"/>
      <c r="H206" s="5"/>
      <c r="I206" s="5"/>
      <c r="J206" s="6"/>
      <c r="K206" s="6"/>
      <c r="L206" s="6"/>
      <c r="M206" s="6"/>
      <c r="N206" s="6"/>
      <c r="O206" s="6"/>
      <c r="P206" s="6"/>
      <c r="Q206" s="6"/>
      <c r="R206" s="6"/>
      <c r="S206" s="6"/>
      <c r="T206" s="6"/>
      <c r="U206" s="3"/>
    </row>
    <row r="207" spans="1:27" s="1" customFormat="1">
      <c r="A207"/>
      <c r="B207" s="161"/>
      <c r="D207" s="5"/>
      <c r="E207" s="5"/>
      <c r="F207" s="5"/>
      <c r="G207" s="5"/>
      <c r="H207" s="5"/>
      <c r="I207" s="5"/>
      <c r="J207" s="6"/>
      <c r="K207" s="6"/>
      <c r="L207" s="6"/>
      <c r="M207" s="6"/>
      <c r="N207" s="6"/>
      <c r="O207" s="6"/>
      <c r="P207" s="6"/>
      <c r="Q207" s="6"/>
      <c r="R207" s="6"/>
      <c r="S207" s="6"/>
      <c r="T207" s="6"/>
      <c r="U207" s="3"/>
    </row>
    <row r="208" spans="1:27" s="1" customFormat="1">
      <c r="A208"/>
      <c r="B208" s="161"/>
      <c r="D208" s="5"/>
      <c r="E208" s="5"/>
      <c r="F208" s="5"/>
      <c r="G208" s="5"/>
      <c r="H208" s="5"/>
      <c r="I208" s="5"/>
      <c r="J208" s="6"/>
      <c r="K208" s="6"/>
      <c r="L208" s="6"/>
      <c r="M208" s="6"/>
      <c r="N208" s="6"/>
      <c r="O208" s="6"/>
      <c r="P208" s="6"/>
      <c r="Q208" s="6"/>
      <c r="R208" s="6"/>
      <c r="S208" s="6"/>
      <c r="T208" s="6"/>
      <c r="U208" s="3"/>
    </row>
    <row r="209" spans="1:21" s="1" customFormat="1">
      <c r="A209"/>
      <c r="B209" s="161"/>
      <c r="D209" s="5"/>
      <c r="E209" s="5"/>
      <c r="F209" s="5"/>
      <c r="G209" s="5"/>
      <c r="H209" s="5"/>
      <c r="I209" s="5"/>
      <c r="J209" s="6"/>
      <c r="K209" s="6"/>
      <c r="L209" s="6"/>
      <c r="M209" s="6"/>
      <c r="N209" s="6"/>
      <c r="O209" s="6"/>
      <c r="P209" s="6"/>
      <c r="Q209" s="6"/>
      <c r="R209" s="6"/>
      <c r="S209" s="6"/>
      <c r="T209" s="6"/>
      <c r="U209" s="3"/>
    </row>
    <row r="210" spans="1:21" s="1" customFormat="1">
      <c r="A210"/>
      <c r="B210" s="161"/>
      <c r="D210" s="5"/>
      <c r="E210" s="5"/>
      <c r="F210" s="5"/>
      <c r="G210" s="5"/>
      <c r="H210" s="5"/>
      <c r="I210" s="5"/>
      <c r="J210" s="6"/>
      <c r="K210" s="6"/>
      <c r="L210" s="6"/>
      <c r="M210" s="6"/>
      <c r="N210" s="6"/>
      <c r="O210" s="6"/>
      <c r="P210" s="6"/>
      <c r="Q210" s="6"/>
      <c r="R210" s="6"/>
      <c r="S210" s="6"/>
      <c r="T210" s="6"/>
      <c r="U210" s="3"/>
    </row>
    <row r="211" spans="1:21" s="1" customFormat="1">
      <c r="A211"/>
      <c r="B211" s="161"/>
      <c r="D211" s="5"/>
      <c r="E211" s="5"/>
      <c r="F211" s="5"/>
      <c r="G211" s="5"/>
      <c r="H211" s="5"/>
      <c r="I211" s="5"/>
      <c r="J211" s="6"/>
      <c r="K211" s="6"/>
      <c r="L211" s="6"/>
      <c r="M211" s="6"/>
      <c r="N211" s="6"/>
      <c r="O211" s="6"/>
      <c r="P211" s="6"/>
      <c r="Q211" s="6"/>
      <c r="R211" s="6"/>
      <c r="S211" s="6"/>
      <c r="T211" s="6"/>
      <c r="U211" s="3"/>
    </row>
    <row r="212" spans="1:21" s="1" customFormat="1">
      <c r="A212"/>
      <c r="B212" s="161"/>
      <c r="D212" s="5"/>
      <c r="E212" s="5"/>
      <c r="F212" s="5"/>
      <c r="G212" s="5"/>
      <c r="H212" s="5"/>
      <c r="I212" s="5"/>
      <c r="J212" s="6"/>
      <c r="K212" s="6"/>
      <c r="L212" s="6"/>
      <c r="M212" s="6"/>
      <c r="N212" s="6"/>
      <c r="O212" s="6"/>
      <c r="P212" s="6"/>
      <c r="Q212" s="6"/>
      <c r="R212" s="6"/>
      <c r="S212" s="6"/>
      <c r="T212" s="6"/>
      <c r="U212" s="3"/>
    </row>
    <row r="213" spans="1:21" s="1" customFormat="1">
      <c r="A213"/>
      <c r="B213" s="161"/>
      <c r="D213" s="5"/>
      <c r="E213" s="5"/>
      <c r="F213" s="5"/>
      <c r="G213" s="5"/>
      <c r="H213" s="5"/>
      <c r="I213" s="5"/>
      <c r="J213" s="6"/>
      <c r="K213" s="6"/>
      <c r="L213" s="6"/>
      <c r="M213" s="6"/>
      <c r="N213" s="6"/>
      <c r="O213" s="6"/>
      <c r="P213" s="6"/>
      <c r="Q213" s="6"/>
      <c r="R213" s="6"/>
      <c r="S213" s="6"/>
      <c r="T213" s="6"/>
      <c r="U213" s="3"/>
    </row>
    <row r="214" spans="1:21" s="1" customFormat="1">
      <c r="A214"/>
      <c r="B214" s="161" t="s">
        <v>261</v>
      </c>
      <c r="D214" s="5"/>
      <c r="E214" s="5"/>
      <c r="F214" s="5"/>
      <c r="G214" s="5"/>
      <c r="H214" s="5"/>
      <c r="I214" s="5"/>
      <c r="J214" s="6"/>
      <c r="K214" s="6"/>
      <c r="L214" s="6"/>
      <c r="M214" s="6"/>
      <c r="N214" s="6"/>
      <c r="O214" s="6"/>
      <c r="P214" s="6"/>
      <c r="Q214" s="6"/>
      <c r="R214" s="6"/>
      <c r="S214" s="6"/>
      <c r="T214" s="6"/>
      <c r="U214" s="3"/>
    </row>
    <row r="215" spans="1:21" s="1" customFormat="1">
      <c r="A215"/>
      <c r="B215" s="161"/>
      <c r="D215" s="5"/>
      <c r="E215" s="5"/>
      <c r="F215" s="5"/>
      <c r="G215" s="5"/>
      <c r="H215" s="5"/>
      <c r="I215" s="5"/>
      <c r="J215" s="6"/>
      <c r="K215" s="6"/>
      <c r="L215" s="6"/>
      <c r="M215" s="6"/>
      <c r="N215" s="6"/>
      <c r="O215" s="6"/>
      <c r="P215" s="6"/>
      <c r="Q215" s="6"/>
      <c r="R215" s="6"/>
      <c r="S215" s="6"/>
      <c r="T215" s="6"/>
      <c r="U215" s="3"/>
    </row>
    <row r="216" spans="1:21" s="1" customFormat="1">
      <c r="A216"/>
      <c r="B216" s="161"/>
      <c r="D216" s="5"/>
      <c r="E216" s="5"/>
      <c r="F216" s="5"/>
      <c r="G216" s="5"/>
      <c r="H216" s="5"/>
      <c r="I216" s="5"/>
      <c r="J216" s="6"/>
      <c r="K216" s="6"/>
      <c r="L216" s="6"/>
      <c r="M216" s="6"/>
      <c r="N216" s="6"/>
      <c r="O216" s="6"/>
      <c r="P216" s="6"/>
      <c r="Q216" s="6"/>
      <c r="R216" s="6"/>
      <c r="S216" s="6"/>
      <c r="T216" s="6"/>
      <c r="U216" s="3"/>
    </row>
    <row r="217" spans="1:21" s="1" customFormat="1">
      <c r="A217"/>
      <c r="B217" s="161"/>
      <c r="D217" s="5"/>
      <c r="E217" s="5"/>
      <c r="F217" s="5"/>
      <c r="G217" s="5"/>
      <c r="H217" s="5"/>
      <c r="I217" s="5"/>
      <c r="J217" s="200">
        <v>2018</v>
      </c>
      <c r="K217" s="200">
        <v>2019</v>
      </c>
      <c r="L217" s="200">
        <v>2020</v>
      </c>
      <c r="M217" s="200">
        <v>2021</v>
      </c>
      <c r="N217" s="200">
        <v>2022</v>
      </c>
      <c r="O217" s="200">
        <v>2023</v>
      </c>
      <c r="P217" s="200">
        <v>2024</v>
      </c>
      <c r="Q217" s="200">
        <v>2025</v>
      </c>
      <c r="R217" s="200">
        <v>2026</v>
      </c>
      <c r="S217" s="200">
        <v>2027</v>
      </c>
      <c r="T217" s="200">
        <v>2028</v>
      </c>
    </row>
    <row r="218" spans="1:21" s="1" customFormat="1">
      <c r="A218"/>
      <c r="B218" s="161"/>
      <c r="D218" s="5"/>
      <c r="E218" s="5"/>
      <c r="F218" s="5"/>
      <c r="G218" s="5"/>
      <c r="H218" s="5"/>
      <c r="I218" s="6" t="s">
        <v>221</v>
      </c>
      <c r="J218" s="167"/>
      <c r="K218" s="166">
        <f>Enterprise!C143</f>
        <v>1.0242784738320898</v>
      </c>
      <c r="L218" s="166">
        <f>Enterprise!D143</f>
        <v>0</v>
      </c>
      <c r="M218" s="166">
        <f>Enterprise!E143</f>
        <v>0</v>
      </c>
      <c r="N218" s="166">
        <f>Enterprise!F143</f>
        <v>0</v>
      </c>
      <c r="O218" s="166">
        <f>Enterprise!G143</f>
        <v>0</v>
      </c>
      <c r="P218" s="166">
        <f>Enterprise!H143</f>
        <v>0</v>
      </c>
      <c r="Q218" s="166">
        <f>Enterprise!I143</f>
        <v>0</v>
      </c>
      <c r="R218" s="166">
        <f>Enterprise!J143</f>
        <v>0</v>
      </c>
      <c r="S218" s="166">
        <f>Enterprise!K143</f>
        <v>0</v>
      </c>
      <c r="T218" s="166">
        <f>Enterprise!L143</f>
        <v>0</v>
      </c>
    </row>
    <row r="219" spans="1:21" s="1" customFormat="1">
      <c r="A219"/>
      <c r="B219" s="161"/>
      <c r="D219" s="5"/>
      <c r="E219" s="5"/>
      <c r="F219" s="5"/>
      <c r="G219" s="5"/>
      <c r="H219" s="5"/>
      <c r="I219" s="6" t="s">
        <v>220</v>
      </c>
      <c r="J219" s="167"/>
      <c r="K219" s="166">
        <f>Telecom!C143</f>
        <v>1.3788154418121574</v>
      </c>
      <c r="L219" s="166">
        <f>Telecom!D143</f>
        <v>0</v>
      </c>
      <c r="M219" s="166">
        <f>Telecom!E143</f>
        <v>0</v>
      </c>
      <c r="N219" s="166">
        <f>Telecom!F143</f>
        <v>0</v>
      </c>
      <c r="O219" s="166">
        <f>Telecom!G143</f>
        <v>0</v>
      </c>
      <c r="P219" s="166">
        <f>Telecom!H143</f>
        <v>0</v>
      </c>
      <c r="Q219" s="166">
        <f>Telecom!I143</f>
        <v>0</v>
      </c>
      <c r="R219" s="166">
        <f>Telecom!J143</f>
        <v>0</v>
      </c>
      <c r="S219" s="166">
        <f>Telecom!K143</f>
        <v>0</v>
      </c>
      <c r="T219" s="166">
        <f>Telecom!L143</f>
        <v>0</v>
      </c>
    </row>
    <row r="220" spans="1:21" s="1" customFormat="1">
      <c r="A220"/>
      <c r="B220" s="161"/>
      <c r="D220" s="5"/>
      <c r="E220" s="5"/>
      <c r="F220" s="5"/>
      <c r="G220" s="5"/>
      <c r="H220" s="5"/>
      <c r="I220" s="6" t="s">
        <v>417</v>
      </c>
      <c r="J220" s="167"/>
      <c r="K220" s="166">
        <f>CloudTotal!C142</f>
        <v>1.4545648399289686</v>
      </c>
      <c r="L220" s="166">
        <f>CloudTotal!D142</f>
        <v>0</v>
      </c>
      <c r="M220" s="166">
        <f>CloudTotal!E142</f>
        <v>0</v>
      </c>
      <c r="N220" s="166">
        <f>CloudTotal!F142</f>
        <v>0</v>
      </c>
      <c r="O220" s="166">
        <f>CloudTotal!G142</f>
        <v>0</v>
      </c>
      <c r="P220" s="166">
        <f>CloudTotal!H142</f>
        <v>0</v>
      </c>
      <c r="Q220" s="166">
        <f>CloudTotal!I142</f>
        <v>0</v>
      </c>
      <c r="R220" s="166">
        <f>CloudTotal!J142</f>
        <v>0</v>
      </c>
      <c r="S220" s="166">
        <f>CloudTotal!K142</f>
        <v>0</v>
      </c>
      <c r="T220" s="166">
        <f>CloudTotal!L142</f>
        <v>0</v>
      </c>
    </row>
    <row r="221" spans="1:21" s="1" customFormat="1">
      <c r="A221"/>
      <c r="B221" s="161"/>
      <c r="D221" s="5"/>
      <c r="E221" s="5"/>
      <c r="F221" s="5"/>
      <c r="G221" s="5"/>
      <c r="H221" s="5"/>
      <c r="I221" s="6"/>
      <c r="J221" s="6"/>
      <c r="K221" s="6"/>
      <c r="L221" s="6"/>
      <c r="M221" s="6"/>
      <c r="N221" s="6"/>
      <c r="O221" s="6"/>
      <c r="P221" s="6"/>
      <c r="Q221" s="6"/>
      <c r="R221" s="6"/>
      <c r="S221" s="6"/>
      <c r="T221" s="3"/>
    </row>
    <row r="222" spans="1:21" s="1" customFormat="1">
      <c r="A222"/>
      <c r="B222" s="161"/>
      <c r="D222" s="5"/>
      <c r="E222" s="5"/>
      <c r="F222" s="5"/>
      <c r="G222" s="5"/>
      <c r="H222" s="5"/>
      <c r="I222" s="6"/>
      <c r="J222" s="6"/>
      <c r="K222" s="6"/>
      <c r="L222" s="6"/>
      <c r="M222" s="6"/>
      <c r="N222" s="6"/>
      <c r="O222" s="6"/>
      <c r="P222" s="6"/>
      <c r="Q222" s="6"/>
      <c r="R222" s="6"/>
      <c r="S222" s="6"/>
      <c r="T222" s="3"/>
    </row>
    <row r="223" spans="1:21" s="1" customFormat="1">
      <c r="A223"/>
      <c r="B223" s="161"/>
      <c r="D223" s="5"/>
      <c r="E223" s="5"/>
      <c r="F223" s="5"/>
      <c r="G223" s="5"/>
      <c r="H223" s="5"/>
      <c r="I223" s="6"/>
      <c r="J223" s="6"/>
      <c r="K223" s="6"/>
      <c r="L223" s="6"/>
      <c r="M223" s="6"/>
      <c r="N223" s="6"/>
      <c r="O223" s="6"/>
      <c r="P223" s="6"/>
      <c r="Q223" s="6"/>
      <c r="R223" s="6"/>
      <c r="S223" s="6"/>
      <c r="T223" s="3"/>
    </row>
    <row r="224" spans="1:21" s="1" customFormat="1">
      <c r="A224"/>
      <c r="B224" s="161"/>
      <c r="D224" s="5"/>
      <c r="E224" s="5"/>
      <c r="F224" s="5"/>
      <c r="G224" s="5"/>
      <c r="H224" s="5"/>
      <c r="I224" s="6"/>
      <c r="J224" s="6"/>
      <c r="K224" s="6"/>
      <c r="L224" s="6"/>
      <c r="M224" s="6"/>
      <c r="N224" s="6"/>
      <c r="O224" s="6"/>
      <c r="P224" s="6"/>
      <c r="Q224" s="6"/>
      <c r="R224" s="6"/>
      <c r="S224" s="6"/>
      <c r="T224" s="3"/>
    </row>
    <row r="225" spans="1:26" s="1" customFormat="1">
      <c r="A225"/>
      <c r="B225" s="161"/>
      <c r="D225" s="5"/>
      <c r="E225" s="5"/>
      <c r="F225" s="5"/>
      <c r="G225" s="5"/>
      <c r="H225" s="5"/>
      <c r="I225" s="6"/>
      <c r="J225" s="6"/>
      <c r="K225" s="6"/>
      <c r="L225" s="6"/>
      <c r="M225" s="6"/>
      <c r="N225" s="6"/>
      <c r="O225" s="6"/>
      <c r="P225" s="6"/>
      <c r="Q225" s="6"/>
      <c r="R225" s="6"/>
      <c r="S225" s="6"/>
      <c r="T225" s="3"/>
    </row>
    <row r="226" spans="1:26" s="1" customFormat="1">
      <c r="A226"/>
      <c r="B226" s="161"/>
      <c r="D226" s="5"/>
      <c r="E226" s="5"/>
      <c r="F226" s="5"/>
      <c r="G226" s="5"/>
      <c r="H226" s="5"/>
      <c r="I226" s="6"/>
      <c r="J226" s="6"/>
      <c r="K226" s="6"/>
      <c r="L226" s="6"/>
      <c r="M226" s="6"/>
      <c r="N226" s="6"/>
      <c r="O226" s="6"/>
      <c r="P226" s="6"/>
      <c r="Q226" s="6"/>
      <c r="R226" s="6"/>
      <c r="S226" s="6"/>
      <c r="T226" s="3"/>
    </row>
    <row r="227" spans="1:26" s="1" customFormat="1">
      <c r="A227"/>
      <c r="B227" s="161"/>
      <c r="D227" s="5"/>
      <c r="E227" s="5"/>
      <c r="F227" s="5"/>
      <c r="G227" s="5"/>
      <c r="H227" s="5"/>
      <c r="I227" s="6"/>
      <c r="J227" s="6"/>
      <c r="K227" s="6"/>
      <c r="L227" s="6"/>
      <c r="M227" s="6"/>
      <c r="N227" s="6"/>
      <c r="O227" s="6"/>
      <c r="P227" s="6"/>
      <c r="Q227" s="6"/>
      <c r="R227" s="6"/>
      <c r="S227" s="6"/>
      <c r="T227" s="3"/>
    </row>
    <row r="228" spans="1:26" s="1" customFormat="1">
      <c r="A228"/>
      <c r="B228" s="161" t="s">
        <v>262</v>
      </c>
      <c r="D228" s="5"/>
      <c r="E228" s="5"/>
      <c r="F228" s="5"/>
      <c r="G228" s="5"/>
      <c r="H228" s="5"/>
      <c r="I228" s="6"/>
      <c r="J228" s="6"/>
      <c r="K228" s="6"/>
      <c r="L228" s="6"/>
      <c r="M228" s="6"/>
      <c r="N228" s="6"/>
      <c r="O228" s="6"/>
      <c r="P228" s="6"/>
      <c r="Q228" s="6"/>
      <c r="R228" s="6"/>
      <c r="S228" s="6"/>
      <c r="T228" s="3"/>
    </row>
    <row r="229" spans="1:26" s="1" customFormat="1">
      <c r="A229"/>
      <c r="B229" s="161" t="s">
        <v>422</v>
      </c>
      <c r="D229" s="5"/>
      <c r="E229" s="5"/>
      <c r="F229" s="5"/>
      <c r="G229" s="5"/>
      <c r="H229" s="5"/>
      <c r="I229" s="172"/>
      <c r="J229" s="6"/>
      <c r="K229" s="6"/>
      <c r="L229" s="6"/>
      <c r="M229" s="6"/>
      <c r="N229" s="6"/>
      <c r="O229" s="6"/>
      <c r="P229" s="6"/>
      <c r="Q229" s="6"/>
      <c r="R229" s="6"/>
      <c r="S229" s="6"/>
      <c r="T229" s="3"/>
    </row>
    <row r="230" spans="1:26" s="1" customFormat="1">
      <c r="A230"/>
      <c r="B230" s="161" t="s">
        <v>263</v>
      </c>
      <c r="D230" s="5"/>
      <c r="E230" s="5"/>
      <c r="F230" s="5"/>
      <c r="G230" s="5"/>
      <c r="H230" s="5"/>
      <c r="I230" s="6"/>
      <c r="L230" s="6"/>
      <c r="M230" s="6"/>
      <c r="N230" s="6"/>
      <c r="O230" s="6"/>
      <c r="P230" s="6"/>
      <c r="Q230" s="6"/>
      <c r="R230" s="6"/>
      <c r="S230" s="6"/>
      <c r="T230" s="3"/>
    </row>
    <row r="231" spans="1:26" s="1" customFormat="1">
      <c r="A231"/>
      <c r="B231" s="161" t="s">
        <v>264</v>
      </c>
      <c r="D231" s="5"/>
      <c r="E231" s="5"/>
      <c r="F231" s="5"/>
      <c r="G231" s="5"/>
      <c r="H231" s="5"/>
      <c r="I231" s="6"/>
      <c r="J231" s="6"/>
      <c r="K231" s="6"/>
      <c r="L231" s="6"/>
      <c r="M231" s="6"/>
      <c r="N231" s="6"/>
      <c r="O231" s="6"/>
      <c r="P231" s="6"/>
      <c r="Q231" s="6"/>
      <c r="R231" s="6"/>
      <c r="S231" s="6"/>
      <c r="T231" s="3"/>
      <c r="Z231" s="161"/>
    </row>
    <row r="232" spans="1:26" s="1" customFormat="1">
      <c r="A232"/>
      <c r="B232" s="161"/>
      <c r="D232" s="5"/>
      <c r="E232" s="5"/>
      <c r="F232" s="5"/>
      <c r="G232" s="5"/>
      <c r="H232" s="5"/>
      <c r="I232" s="6"/>
      <c r="J232" s="6"/>
      <c r="K232" s="6"/>
      <c r="L232" s="6"/>
      <c r="M232" s="6"/>
      <c r="N232" s="6"/>
      <c r="O232" s="6"/>
      <c r="P232" s="6"/>
      <c r="Q232" s="6"/>
      <c r="R232" s="6"/>
      <c r="S232" s="6"/>
      <c r="T232" s="3"/>
    </row>
    <row r="233" spans="1:26" s="1" customFormat="1">
      <c r="A233"/>
      <c r="B233" s="161"/>
      <c r="D233" s="5"/>
      <c r="E233" s="5"/>
      <c r="F233" s="5"/>
      <c r="G233" s="5"/>
      <c r="H233" s="5"/>
      <c r="I233" s="6"/>
      <c r="J233" s="6"/>
      <c r="K233" s="6"/>
      <c r="L233" s="6"/>
      <c r="M233" s="6"/>
      <c r="N233" s="6"/>
      <c r="O233" s="6"/>
      <c r="P233" s="6"/>
      <c r="Q233" s="6"/>
      <c r="R233" s="6"/>
      <c r="S233" s="6"/>
      <c r="T233" s="3"/>
    </row>
    <row r="234" spans="1:26" s="1" customFormat="1">
      <c r="A234"/>
      <c r="B234" s="161"/>
      <c r="D234" s="5"/>
      <c r="E234" s="5"/>
      <c r="F234" s="5"/>
      <c r="G234" s="5"/>
      <c r="H234" s="5"/>
      <c r="I234" s="6"/>
      <c r="J234" s="6"/>
      <c r="K234" s="6"/>
      <c r="L234" s="6"/>
      <c r="M234" s="6"/>
      <c r="N234" s="6"/>
      <c r="O234" s="6"/>
      <c r="P234" s="6"/>
      <c r="Q234" s="6"/>
      <c r="R234" s="6"/>
      <c r="S234" s="6"/>
      <c r="T234" s="3"/>
    </row>
    <row r="235" spans="1:26" s="1" customFormat="1">
      <c r="A235"/>
      <c r="B235" s="161"/>
      <c r="D235" s="5"/>
      <c r="E235" s="5"/>
      <c r="F235" s="5"/>
      <c r="G235" s="5"/>
      <c r="H235" s="5"/>
      <c r="I235" s="6"/>
      <c r="J235" s="6"/>
      <c r="K235" s="6"/>
      <c r="L235" s="6"/>
      <c r="M235" s="6"/>
      <c r="N235" s="6"/>
      <c r="O235" s="6"/>
      <c r="P235" s="6"/>
      <c r="Q235" s="6"/>
      <c r="R235" s="6"/>
      <c r="S235" s="6"/>
      <c r="T235" s="3"/>
    </row>
    <row r="236" spans="1:26" s="1" customFormat="1">
      <c r="A236"/>
      <c r="B236" s="161"/>
      <c r="D236" s="5"/>
      <c r="E236" s="5"/>
      <c r="F236" s="5"/>
      <c r="G236" s="5"/>
      <c r="H236" s="5"/>
      <c r="I236" s="6"/>
      <c r="J236" s="6"/>
      <c r="K236" s="6"/>
      <c r="L236" s="6"/>
      <c r="M236" s="6"/>
      <c r="N236" s="6"/>
      <c r="O236" s="6"/>
      <c r="P236" s="6"/>
      <c r="Q236" s="6"/>
      <c r="R236" s="6"/>
      <c r="S236" s="6"/>
      <c r="T236" s="3"/>
    </row>
    <row r="237" spans="1:26" s="1" customFormat="1">
      <c r="A237"/>
      <c r="B237" s="161"/>
      <c r="D237" s="5"/>
      <c r="E237" s="5"/>
      <c r="F237" s="5"/>
      <c r="G237" s="5"/>
      <c r="H237" s="5"/>
      <c r="I237" s="6"/>
      <c r="J237" s="6"/>
      <c r="K237" s="6"/>
      <c r="L237" s="6"/>
      <c r="M237" s="6"/>
      <c r="N237" s="6"/>
      <c r="O237" s="6"/>
      <c r="P237" s="6"/>
      <c r="Q237" s="6"/>
      <c r="R237" s="6"/>
      <c r="S237" s="6"/>
      <c r="T237" s="3"/>
    </row>
    <row r="238" spans="1:26" s="1" customFormat="1">
      <c r="A238"/>
      <c r="B238" s="161"/>
      <c r="D238" s="5"/>
      <c r="E238" s="5"/>
      <c r="F238" s="5"/>
      <c r="G238" s="5"/>
      <c r="H238" s="5"/>
      <c r="I238" s="6"/>
      <c r="J238" s="6"/>
      <c r="K238" s="6"/>
      <c r="L238" s="6"/>
      <c r="M238" s="6"/>
      <c r="N238" s="6"/>
      <c r="O238" s="6"/>
      <c r="P238" s="6"/>
      <c r="Q238" s="6"/>
      <c r="R238" s="6"/>
      <c r="S238" s="6"/>
      <c r="T238" s="3"/>
    </row>
    <row r="239" spans="1:26" s="1" customFormat="1">
      <c r="A239"/>
      <c r="D239" s="5"/>
      <c r="E239" s="5"/>
      <c r="F239" s="5"/>
      <c r="G239" s="5"/>
      <c r="H239" s="5"/>
      <c r="I239" s="6"/>
      <c r="J239" s="6"/>
      <c r="K239" s="6"/>
      <c r="L239" s="6"/>
      <c r="M239" s="6"/>
      <c r="N239" s="6"/>
      <c r="O239" s="6"/>
      <c r="P239" s="6"/>
      <c r="Q239" s="6"/>
      <c r="R239" s="6"/>
      <c r="S239" s="6"/>
      <c r="T239" s="3"/>
    </row>
    <row r="240" spans="1:26" s="1" customFormat="1">
      <c r="A240"/>
      <c r="B240" s="161"/>
      <c r="D240" s="5"/>
      <c r="E240" s="5"/>
      <c r="F240" s="5"/>
      <c r="G240" s="5"/>
      <c r="H240" s="5"/>
      <c r="I240" s="6"/>
      <c r="J240" s="6"/>
      <c r="K240" s="6"/>
      <c r="L240" s="6"/>
      <c r="M240" s="6"/>
      <c r="N240" s="6"/>
      <c r="O240" s="6"/>
      <c r="P240" s="6"/>
      <c r="Q240" s="6"/>
      <c r="R240" s="6"/>
      <c r="S240" s="6"/>
      <c r="T240" s="3"/>
    </row>
    <row r="241" spans="1:24" s="1" customFormat="1">
      <c r="A241"/>
      <c r="D241" s="5"/>
      <c r="E241" s="5"/>
      <c r="F241" s="5"/>
      <c r="G241" s="5"/>
      <c r="H241" s="5"/>
      <c r="I241" s="6"/>
      <c r="J241" s="6"/>
      <c r="K241" s="6"/>
      <c r="L241" s="6"/>
      <c r="M241" s="6"/>
      <c r="N241" s="6"/>
      <c r="O241" s="6"/>
      <c r="P241" s="6"/>
      <c r="Q241" s="6"/>
      <c r="R241" s="6"/>
      <c r="S241" s="6"/>
      <c r="T241" s="3"/>
    </row>
    <row r="242" spans="1:24" s="1" customFormat="1">
      <c r="A242"/>
      <c r="B242" s="161"/>
      <c r="D242" s="5"/>
      <c r="E242" s="5"/>
      <c r="F242" s="5"/>
      <c r="G242" s="5"/>
      <c r="H242" s="5"/>
      <c r="I242" s="6"/>
      <c r="J242" s="6"/>
      <c r="K242" s="6"/>
      <c r="L242" s="6"/>
      <c r="M242" s="6"/>
      <c r="N242" s="6"/>
      <c r="O242" s="6"/>
      <c r="P242" s="6"/>
      <c r="Q242" s="6"/>
      <c r="R242" s="6"/>
      <c r="S242" s="6"/>
      <c r="T242" s="3"/>
    </row>
    <row r="243" spans="1:24" s="1" customFormat="1">
      <c r="A243"/>
      <c r="D243" s="5"/>
      <c r="E243" s="5"/>
      <c r="F243" s="5"/>
      <c r="G243" s="5"/>
      <c r="H243" s="5"/>
      <c r="I243" s="6"/>
      <c r="J243" s="6"/>
      <c r="K243" s="6"/>
      <c r="L243" s="6"/>
      <c r="M243" s="6"/>
      <c r="N243" s="6"/>
      <c r="O243" s="6"/>
      <c r="P243" s="6"/>
      <c r="Q243" s="6"/>
      <c r="R243" s="6"/>
      <c r="S243" s="6"/>
      <c r="T243" s="3"/>
    </row>
    <row r="244" spans="1:24" s="1" customFormat="1">
      <c r="A244"/>
      <c r="B244" s="161" t="s">
        <v>468</v>
      </c>
      <c r="D244" s="5"/>
      <c r="E244" s="5"/>
      <c r="F244" s="5"/>
      <c r="G244" s="5"/>
      <c r="H244" s="5"/>
      <c r="I244" s="6"/>
      <c r="J244" s="6"/>
      <c r="K244" s="6"/>
      <c r="L244" s="6"/>
      <c r="M244" s="6"/>
      <c r="N244" s="6"/>
      <c r="O244" s="6"/>
      <c r="P244" s="6"/>
      <c r="Q244" s="6"/>
      <c r="R244" s="6"/>
      <c r="S244" s="6"/>
      <c r="T244" s="3"/>
    </row>
    <row r="245" spans="1:24" s="1" customFormat="1">
      <c r="A245"/>
      <c r="B245" s="161"/>
      <c r="D245" s="5"/>
      <c r="E245" s="5"/>
      <c r="F245" s="5"/>
      <c r="G245" s="5"/>
      <c r="H245" s="5"/>
      <c r="I245" s="6"/>
      <c r="J245" s="6"/>
      <c r="K245" s="6"/>
      <c r="L245" s="6"/>
      <c r="M245" s="6"/>
      <c r="N245" s="6"/>
      <c r="O245" s="6"/>
      <c r="P245" s="6"/>
      <c r="Q245" s="6"/>
      <c r="R245" s="6"/>
      <c r="S245" s="6"/>
      <c r="T245" s="3"/>
    </row>
    <row r="246" spans="1:24" s="1" customFormat="1">
      <c r="A246"/>
      <c r="B246" s="161" t="s">
        <v>463</v>
      </c>
      <c r="C246" s="1" t="s">
        <v>465</v>
      </c>
      <c r="D246" s="5"/>
      <c r="E246" s="5"/>
      <c r="F246" s="5"/>
      <c r="G246" s="5"/>
      <c r="H246" s="5"/>
      <c r="I246"/>
      <c r="J246"/>
      <c r="K246"/>
      <c r="L246" s="5"/>
      <c r="M246" t="s">
        <v>434</v>
      </c>
      <c r="N246"/>
      <c r="O246"/>
      <c r="P246"/>
      <c r="Q246"/>
      <c r="R246"/>
      <c r="S246"/>
      <c r="T246"/>
      <c r="U246"/>
      <c r="V246"/>
      <c r="W246"/>
      <c r="X246"/>
    </row>
    <row r="247" spans="1:24" s="1" customFormat="1">
      <c r="A247"/>
      <c r="B247" s="161"/>
      <c r="D247" s="5"/>
      <c r="E247" s="5"/>
      <c r="F247" s="5"/>
      <c r="G247" s="5"/>
      <c r="H247" s="5"/>
      <c r="I247"/>
      <c r="J247" s="206"/>
      <c r="K247" s="206"/>
      <c r="L247" s="5"/>
      <c r="M247" s="17"/>
      <c r="N247" s="191">
        <v>2018</v>
      </c>
      <c r="O247" s="191">
        <v>2019</v>
      </c>
      <c r="P247" s="191">
        <v>2020</v>
      </c>
      <c r="Q247" s="191">
        <v>2021</v>
      </c>
      <c r="R247" s="191">
        <v>2022</v>
      </c>
      <c r="S247" s="191">
        <v>2023</v>
      </c>
      <c r="T247" s="191">
        <v>2024</v>
      </c>
      <c r="U247" s="191">
        <v>2025</v>
      </c>
      <c r="V247" s="191">
        <v>2026</v>
      </c>
      <c r="W247" s="191">
        <v>2027</v>
      </c>
      <c r="X247" s="165">
        <v>2028</v>
      </c>
    </row>
    <row r="248" spans="1:24" s="1" customFormat="1">
      <c r="A248"/>
      <c r="B248" s="161"/>
      <c r="D248" s="5"/>
      <c r="E248" s="5"/>
      <c r="F248" s="5"/>
      <c r="G248" s="5"/>
      <c r="H248" s="5"/>
      <c r="I248" s="25"/>
      <c r="J248" s="207"/>
      <c r="K248" s="207"/>
      <c r="L248" s="5" t="s">
        <v>315</v>
      </c>
      <c r="M248" s="25" t="s">
        <v>147</v>
      </c>
      <c r="N248" s="28">
        <f>Microsoft!B62</f>
        <v>0</v>
      </c>
      <c r="O248" s="28">
        <f>Microsoft!C62</f>
        <v>160</v>
      </c>
      <c r="P248" s="28">
        <f>Microsoft!D62</f>
        <v>0</v>
      </c>
      <c r="Q248" s="28">
        <f>Microsoft!E62</f>
        <v>0</v>
      </c>
      <c r="R248" s="28">
        <f>Microsoft!F62</f>
        <v>0</v>
      </c>
      <c r="S248" s="28">
        <f>Microsoft!G62</f>
        <v>0</v>
      </c>
      <c r="T248" s="28">
        <f>Microsoft!H62</f>
        <v>0</v>
      </c>
      <c r="U248" s="28">
        <f>Microsoft!I62</f>
        <v>0</v>
      </c>
      <c r="V248" s="28">
        <f>Microsoft!J62</f>
        <v>0</v>
      </c>
      <c r="W248" s="28">
        <f>Microsoft!K62</f>
        <v>0</v>
      </c>
      <c r="X248" s="28">
        <f>Microsoft!L62</f>
        <v>0</v>
      </c>
    </row>
    <row r="249" spans="1:24" s="1" customFormat="1">
      <c r="A249"/>
      <c r="B249" s="161"/>
      <c r="D249" s="5"/>
      <c r="E249" s="5"/>
      <c r="F249" s="5"/>
      <c r="G249" s="5"/>
      <c r="H249" s="5"/>
      <c r="I249" s="25"/>
      <c r="J249" s="28"/>
      <c r="K249" s="28"/>
      <c r="L249" s="5"/>
      <c r="M249" s="25" t="s">
        <v>464</v>
      </c>
      <c r="N249" s="28">
        <f>TotalMarket!B118-'Figures in the Report'!N248</f>
        <v>0</v>
      </c>
      <c r="O249" s="28">
        <f>TotalMarket!C118-'Figures in the Report'!O248</f>
        <v>40</v>
      </c>
      <c r="P249" s="28">
        <f>TotalMarket!D118-'Figures in the Report'!P248</f>
        <v>0</v>
      </c>
      <c r="Q249" s="28">
        <f>TotalMarket!E118-'Figures in the Report'!Q248</f>
        <v>0</v>
      </c>
      <c r="R249" s="28">
        <f>TotalMarket!F118-'Figures in the Report'!R248</f>
        <v>0</v>
      </c>
      <c r="S249" s="28">
        <f>TotalMarket!G118-'Figures in the Report'!S248</f>
        <v>0</v>
      </c>
      <c r="T249" s="28">
        <f>TotalMarket!H118-'Figures in the Report'!T248</f>
        <v>0</v>
      </c>
      <c r="U249" s="28">
        <f>TotalMarket!I118-'Figures in the Report'!U248</f>
        <v>0</v>
      </c>
      <c r="V249" s="28">
        <f>TotalMarket!J118-'Figures in the Report'!V248</f>
        <v>0</v>
      </c>
      <c r="W249" s="28">
        <f>TotalMarket!K118-'Figures in the Report'!W248</f>
        <v>0</v>
      </c>
      <c r="X249" s="28">
        <f>TotalMarket!L118-'Figures in the Report'!X248</f>
        <v>0</v>
      </c>
    </row>
    <row r="250" spans="1:24" s="1" customFormat="1">
      <c r="A250"/>
      <c r="B250" s="161"/>
      <c r="D250" s="5"/>
      <c r="E250" s="5"/>
      <c r="F250" s="5"/>
      <c r="G250" s="5"/>
      <c r="H250" s="5"/>
      <c r="I250" s="25"/>
      <c r="J250" s="205"/>
      <c r="K250" s="28"/>
      <c r="L250" s="5" t="s">
        <v>466</v>
      </c>
      <c r="M250" s="25" t="s">
        <v>467</v>
      </c>
      <c r="N250" s="205">
        <f>Amazon!B76</f>
        <v>0</v>
      </c>
      <c r="O250" s="205">
        <f>Amazon!C76</f>
        <v>100</v>
      </c>
      <c r="P250" s="205">
        <f>Amazon!D76</f>
        <v>0</v>
      </c>
      <c r="Q250" s="205">
        <f>Amazon!E76</f>
        <v>0</v>
      </c>
      <c r="R250" s="205">
        <f>Amazon!F76</f>
        <v>0</v>
      </c>
      <c r="S250" s="205">
        <f>Amazon!G76</f>
        <v>0</v>
      </c>
      <c r="T250" s="205">
        <f>Amazon!H76</f>
        <v>0</v>
      </c>
      <c r="U250" s="205">
        <f>Amazon!I76</f>
        <v>0</v>
      </c>
      <c r="V250" s="205">
        <f>Amazon!J76</f>
        <v>0</v>
      </c>
      <c r="W250" s="205">
        <f>Amazon!K76</f>
        <v>0</v>
      </c>
      <c r="X250" s="205">
        <f>Amazon!L76</f>
        <v>0</v>
      </c>
    </row>
    <row r="251" spans="1:24" s="1" customFormat="1">
      <c r="A251"/>
      <c r="B251" s="161"/>
      <c r="D251" s="5"/>
      <c r="E251" s="5"/>
      <c r="F251" s="5"/>
      <c r="G251" s="5"/>
      <c r="H251" s="5"/>
      <c r="I251" s="25"/>
      <c r="J251" s="205"/>
      <c r="K251" s="28"/>
      <c r="L251" s="5"/>
      <c r="M251" s="25" t="s">
        <v>464</v>
      </c>
      <c r="N251" s="205">
        <f>TotalMarket!B119-'Figures in the Report'!N250</f>
        <v>0</v>
      </c>
      <c r="O251" s="205">
        <f>TotalMarket!C119-'Figures in the Report'!O250</f>
        <v>0</v>
      </c>
      <c r="P251" s="205">
        <f>TotalMarket!D119-'Figures in the Report'!P250</f>
        <v>0</v>
      </c>
      <c r="Q251" s="205">
        <f>TotalMarket!E119-'Figures in the Report'!Q250</f>
        <v>0</v>
      </c>
      <c r="R251" s="205">
        <f>TotalMarket!F119-'Figures in the Report'!R250</f>
        <v>0</v>
      </c>
      <c r="S251" s="205">
        <f>TotalMarket!G119-'Figures in the Report'!S250</f>
        <v>0</v>
      </c>
      <c r="T251" s="205">
        <f>TotalMarket!H119-'Figures in the Report'!T250</f>
        <v>0</v>
      </c>
      <c r="U251" s="205">
        <f>TotalMarket!I119-'Figures in the Report'!U250</f>
        <v>0</v>
      </c>
      <c r="V251" s="205">
        <f>TotalMarket!J119-'Figures in the Report'!V250</f>
        <v>0</v>
      </c>
      <c r="W251" s="205">
        <f>TotalMarket!K119-'Figures in the Report'!W250</f>
        <v>0</v>
      </c>
      <c r="X251" s="205">
        <f>TotalMarket!L119-'Figures in the Report'!X250</f>
        <v>0</v>
      </c>
    </row>
    <row r="252" spans="1:24" s="1" customFormat="1">
      <c r="A252"/>
      <c r="B252" s="161"/>
      <c r="D252" s="5"/>
      <c r="E252" s="5"/>
      <c r="F252" s="5"/>
      <c r="G252" s="5"/>
      <c r="H252" s="5"/>
      <c r="I252" s="6"/>
      <c r="J252" s="6"/>
      <c r="K252" s="6"/>
      <c r="L252" s="6"/>
      <c r="M252" s="6"/>
      <c r="N252" s="6"/>
      <c r="O252" s="6"/>
      <c r="P252" s="6"/>
      <c r="Q252" s="6"/>
      <c r="R252" s="6"/>
      <c r="S252" s="6"/>
      <c r="T252" s="3"/>
    </row>
    <row r="253" spans="1:24" s="1" customFormat="1">
      <c r="A253"/>
      <c r="B253" s="161"/>
      <c r="D253" s="5"/>
      <c r="E253" s="5"/>
      <c r="F253" s="5"/>
      <c r="G253" s="5"/>
      <c r="H253" s="5"/>
      <c r="I253" s="6"/>
      <c r="J253" s="6"/>
      <c r="K253" s="6"/>
      <c r="L253" s="6"/>
      <c r="M253" s="6"/>
      <c r="N253" s="6"/>
      <c r="O253" s="6"/>
      <c r="P253" s="6"/>
      <c r="Q253" s="6"/>
      <c r="R253" s="6"/>
      <c r="S253" s="6"/>
      <c r="T253" s="3"/>
    </row>
    <row r="254" spans="1:24" s="1" customFormat="1">
      <c r="A254"/>
      <c r="B254" s="161"/>
      <c r="D254" s="5"/>
      <c r="E254" s="5"/>
      <c r="F254" s="5"/>
      <c r="G254" s="5"/>
      <c r="H254" s="5"/>
      <c r="I254" s="6"/>
      <c r="J254" s="6"/>
      <c r="K254" s="6"/>
      <c r="L254" s="6"/>
      <c r="M254" s="6"/>
      <c r="N254" s="6"/>
      <c r="O254" s="6"/>
      <c r="P254" s="6"/>
      <c r="Q254" s="6"/>
      <c r="R254" s="6"/>
      <c r="S254" s="6"/>
      <c r="T254" s="3"/>
    </row>
    <row r="255" spans="1:24" s="1" customFormat="1">
      <c r="A255"/>
      <c r="B255" s="161"/>
      <c r="D255" s="5"/>
      <c r="E255" s="5"/>
      <c r="F255" s="5"/>
      <c r="G255" s="5"/>
      <c r="H255" s="5"/>
      <c r="I255" s="6"/>
      <c r="J255" s="6"/>
      <c r="K255" s="6"/>
      <c r="L255" s="6"/>
      <c r="M255" s="6"/>
      <c r="N255" s="6"/>
      <c r="O255" s="6"/>
      <c r="P255" s="6"/>
      <c r="Q255" s="6"/>
      <c r="R255" s="6"/>
      <c r="S255" s="6"/>
      <c r="T255" s="3"/>
    </row>
    <row r="256" spans="1:24" s="1" customFormat="1">
      <c r="A256"/>
      <c r="B256" s="161"/>
      <c r="D256" s="5"/>
      <c r="E256" s="5"/>
      <c r="F256" s="5"/>
      <c r="G256" s="5"/>
      <c r="H256" s="5"/>
      <c r="I256" s="6"/>
      <c r="J256" s="6"/>
      <c r="K256" s="6"/>
      <c r="L256" s="6"/>
      <c r="M256" s="6"/>
      <c r="N256" s="6"/>
      <c r="O256" s="6"/>
      <c r="P256" s="6"/>
      <c r="Q256" s="6"/>
      <c r="R256" s="6"/>
      <c r="S256" s="6"/>
      <c r="T256" s="3"/>
    </row>
    <row r="257" spans="1:20" s="1" customFormat="1">
      <c r="A257"/>
      <c r="B257" s="161"/>
      <c r="D257" s="5"/>
      <c r="E257" s="5"/>
      <c r="F257" s="5"/>
      <c r="G257" s="5"/>
      <c r="H257" s="5"/>
      <c r="I257" s="6"/>
      <c r="J257" s="6"/>
      <c r="K257" s="6"/>
      <c r="L257" s="6"/>
      <c r="M257" s="6"/>
      <c r="N257" s="6"/>
      <c r="O257" s="6"/>
      <c r="P257" s="6"/>
      <c r="Q257" s="6"/>
      <c r="R257" s="6"/>
      <c r="S257" s="6"/>
      <c r="T257" s="3"/>
    </row>
    <row r="258" spans="1:20" s="1" customFormat="1">
      <c r="A258"/>
      <c r="B258" s="161"/>
      <c r="D258" s="5"/>
      <c r="E258" s="5"/>
      <c r="F258" s="5"/>
      <c r="G258" s="5"/>
      <c r="H258" s="5"/>
      <c r="I258" s="6"/>
      <c r="J258" s="6"/>
      <c r="K258" s="6"/>
      <c r="L258" s="6"/>
      <c r="M258" s="6"/>
      <c r="N258" s="6"/>
      <c r="O258" s="6"/>
      <c r="P258" s="6"/>
      <c r="Q258" s="6"/>
      <c r="R258" s="6"/>
      <c r="S258" s="6"/>
      <c r="T258" s="3"/>
    </row>
    <row r="259" spans="1:20" s="1" customFormat="1">
      <c r="A259"/>
      <c r="B259" s="161"/>
      <c r="D259" s="5"/>
      <c r="E259" s="5"/>
      <c r="F259" s="5"/>
      <c r="G259" s="5"/>
      <c r="H259" s="5"/>
      <c r="I259" s="6"/>
      <c r="J259" s="6"/>
      <c r="K259" s="6"/>
      <c r="L259" s="6"/>
      <c r="M259" s="6"/>
      <c r="N259" s="6"/>
      <c r="O259" s="6"/>
      <c r="P259" s="6"/>
      <c r="Q259" s="6"/>
      <c r="R259" s="6"/>
      <c r="S259" s="6"/>
      <c r="T259" s="3"/>
    </row>
    <row r="260" spans="1:20" s="1" customFormat="1">
      <c r="A260"/>
      <c r="B260" s="161"/>
      <c r="D260" s="5"/>
      <c r="E260" s="5"/>
      <c r="F260" s="5"/>
      <c r="G260" s="5"/>
      <c r="H260" s="5"/>
      <c r="I260" s="6"/>
      <c r="J260" s="6"/>
      <c r="K260" s="6"/>
      <c r="L260" s="6"/>
      <c r="M260" s="6"/>
      <c r="N260" s="6"/>
      <c r="O260" s="6"/>
      <c r="P260" s="6"/>
      <c r="Q260" s="6"/>
      <c r="R260" s="6"/>
      <c r="S260" s="6"/>
      <c r="T260" s="3"/>
    </row>
    <row r="261" spans="1:20" s="1" customFormat="1">
      <c r="A261"/>
      <c r="B261" s="161"/>
      <c r="D261" s="5"/>
      <c r="E261" s="5"/>
      <c r="F261" s="5"/>
      <c r="G261" s="5"/>
      <c r="H261" s="5"/>
      <c r="I261" s="6"/>
      <c r="J261" s="6"/>
      <c r="K261" s="6"/>
      <c r="L261" s="6"/>
      <c r="M261" s="6"/>
      <c r="N261" s="6"/>
      <c r="O261" s="6"/>
      <c r="P261" s="6"/>
      <c r="Q261" s="6"/>
      <c r="R261" s="6"/>
      <c r="S261" s="6"/>
      <c r="T261" s="3"/>
    </row>
    <row r="262" spans="1:20" s="1" customFormat="1">
      <c r="A262"/>
      <c r="B262" s="161"/>
      <c r="D262" s="5"/>
      <c r="E262" s="5"/>
      <c r="F262" s="5"/>
      <c r="G262" s="5"/>
      <c r="H262" s="5"/>
      <c r="I262" s="6"/>
      <c r="J262" s="6"/>
      <c r="K262" s="6"/>
      <c r="L262" s="6"/>
      <c r="M262" s="6"/>
      <c r="N262" s="6"/>
      <c r="O262" s="6"/>
      <c r="P262" s="6"/>
      <c r="Q262" s="6"/>
      <c r="R262" s="6"/>
      <c r="S262" s="6"/>
      <c r="T262" s="3"/>
    </row>
    <row r="263" spans="1:20">
      <c r="B263" s="161" t="s">
        <v>439</v>
      </c>
    </row>
    <row r="264" spans="1:20">
      <c r="B264" s="161"/>
    </row>
    <row r="265" spans="1:20">
      <c r="B265" s="161"/>
      <c r="I265" t="s">
        <v>434</v>
      </c>
    </row>
    <row r="266" spans="1:20">
      <c r="B266" s="161"/>
      <c r="I266" s="17"/>
      <c r="J266" s="191">
        <v>2018</v>
      </c>
      <c r="K266" s="191">
        <v>2019</v>
      </c>
      <c r="L266" s="191">
        <v>2020</v>
      </c>
      <c r="M266" s="191">
        <v>2021</v>
      </c>
      <c r="N266" s="191">
        <v>2022</v>
      </c>
      <c r="O266" s="191">
        <v>2023</v>
      </c>
      <c r="P266" s="191">
        <v>2024</v>
      </c>
      <c r="Q266" s="191">
        <v>2025</v>
      </c>
      <c r="R266" s="191">
        <v>2026</v>
      </c>
      <c r="S266" s="191">
        <v>2027</v>
      </c>
      <c r="T266" s="165">
        <v>2028</v>
      </c>
    </row>
    <row r="267" spans="1:20">
      <c r="B267" s="161"/>
      <c r="I267" s="25" t="s">
        <v>417</v>
      </c>
      <c r="J267" s="92">
        <f>CloudTotal!M123</f>
        <v>2230.065508552691</v>
      </c>
      <c r="K267" s="92">
        <f>CloudTotal!N123</f>
        <v>1835.0885586473089</v>
      </c>
      <c r="L267" s="92">
        <f>CloudTotal!O123</f>
        <v>0</v>
      </c>
      <c r="M267" s="92">
        <f>CloudTotal!P123</f>
        <v>0</v>
      </c>
      <c r="N267" s="92">
        <f>CloudTotal!Q123</f>
        <v>0</v>
      </c>
      <c r="O267" s="92">
        <f>CloudTotal!R123</f>
        <v>0</v>
      </c>
      <c r="P267" s="92">
        <f>CloudTotal!S123</f>
        <v>0</v>
      </c>
      <c r="Q267" s="92">
        <f>CloudTotal!T123</f>
        <v>0</v>
      </c>
      <c r="R267" s="92">
        <f>CloudTotal!U123</f>
        <v>0</v>
      </c>
      <c r="S267" s="92">
        <f>CloudTotal!V123</f>
        <v>0</v>
      </c>
      <c r="T267" s="179">
        <f>CloudTotal!W123</f>
        <v>0</v>
      </c>
    </row>
    <row r="268" spans="1:20">
      <c r="B268" s="161"/>
      <c r="I268" s="25" t="s">
        <v>221</v>
      </c>
      <c r="J268" s="92">
        <f>Enterprise!M112</f>
        <v>599.75039966718089</v>
      </c>
      <c r="K268" s="92">
        <f>Enterprise!N112</f>
        <v>544.53745540715943</v>
      </c>
      <c r="L268" s="92">
        <f>Enterprise!O112</f>
        <v>0</v>
      </c>
      <c r="M268" s="92">
        <f>Enterprise!P112</f>
        <v>0</v>
      </c>
      <c r="N268" s="92">
        <f>Enterprise!Q112</f>
        <v>0</v>
      </c>
      <c r="O268" s="92">
        <f>Enterprise!R112</f>
        <v>0</v>
      </c>
      <c r="P268" s="92">
        <f>Enterprise!S112</f>
        <v>0</v>
      </c>
      <c r="Q268" s="92">
        <f>Enterprise!T112</f>
        <v>0</v>
      </c>
      <c r="R268" s="92">
        <f>Enterprise!U112</f>
        <v>0</v>
      </c>
      <c r="S268" s="92">
        <f>Enterprise!V112</f>
        <v>0</v>
      </c>
      <c r="T268" s="179">
        <f>Enterprise!W112</f>
        <v>0</v>
      </c>
    </row>
    <row r="269" spans="1:20">
      <c r="B269" s="161"/>
      <c r="I269" s="25" t="s">
        <v>220</v>
      </c>
      <c r="J269" s="92">
        <f>Telecom!M112</f>
        <v>515.46297620496682</v>
      </c>
      <c r="K269" s="92">
        <f>Telecom!N112</f>
        <v>402.84438481692752</v>
      </c>
      <c r="L269" s="92">
        <f>Telecom!O112</f>
        <v>0</v>
      </c>
      <c r="M269" s="92">
        <f>Telecom!P112</f>
        <v>0</v>
      </c>
      <c r="N269" s="92">
        <f>Telecom!Q112</f>
        <v>0</v>
      </c>
      <c r="O269" s="92">
        <f>Telecom!R112</f>
        <v>0</v>
      </c>
      <c r="P269" s="92">
        <f>Telecom!S112</f>
        <v>0</v>
      </c>
      <c r="Q269" s="92">
        <f>Telecom!T112</f>
        <v>0</v>
      </c>
      <c r="R269" s="92">
        <f>Telecom!U112</f>
        <v>0</v>
      </c>
      <c r="S269" s="92">
        <f>Telecom!V112</f>
        <v>0</v>
      </c>
      <c r="T269" s="179">
        <f>Telecom!W112</f>
        <v>0</v>
      </c>
    </row>
    <row r="270" spans="1:20">
      <c r="B270" s="161"/>
      <c r="I270" s="25" t="s">
        <v>377</v>
      </c>
      <c r="J270" s="92">
        <f>J269+J268+J267</f>
        <v>3345.2788844248389</v>
      </c>
      <c r="K270" s="92">
        <f t="shared" ref="K270:T270" si="1">K269+K268+K267</f>
        <v>2782.4703988713959</v>
      </c>
      <c r="L270" s="92">
        <f t="shared" si="1"/>
        <v>0</v>
      </c>
      <c r="M270" s="92">
        <f t="shared" si="1"/>
        <v>0</v>
      </c>
      <c r="N270" s="92">
        <f t="shared" si="1"/>
        <v>0</v>
      </c>
      <c r="O270" s="92">
        <f t="shared" si="1"/>
        <v>0</v>
      </c>
      <c r="P270" s="92">
        <f t="shared" si="1"/>
        <v>0</v>
      </c>
      <c r="Q270" s="92">
        <f t="shared" si="1"/>
        <v>0</v>
      </c>
      <c r="R270" s="92">
        <f t="shared" si="1"/>
        <v>0</v>
      </c>
      <c r="S270" s="92">
        <f t="shared" si="1"/>
        <v>0</v>
      </c>
      <c r="T270" s="179">
        <f t="shared" si="1"/>
        <v>0</v>
      </c>
    </row>
    <row r="271" spans="1:20">
      <c r="B271" s="161"/>
      <c r="I271" s="48"/>
      <c r="J271" s="180"/>
      <c r="K271" s="180"/>
      <c r="L271" s="180"/>
      <c r="M271" s="180"/>
      <c r="N271" s="180"/>
      <c r="O271" s="180"/>
      <c r="P271" s="180"/>
      <c r="Q271" s="180"/>
      <c r="R271" s="180"/>
      <c r="S271" s="180"/>
      <c r="T271" s="180"/>
    </row>
    <row r="272" spans="1:20">
      <c r="B272" s="161"/>
    </row>
    <row r="273" spans="1:20">
      <c r="B273" s="161"/>
      <c r="I273" s="25" t="s">
        <v>462</v>
      </c>
      <c r="J273" s="31">
        <f>J267/J270</f>
        <v>0.6666306713427006</v>
      </c>
      <c r="K273" s="31">
        <f t="shared" ref="K273:T273" si="2">K267/K270</f>
        <v>0.65951772906250627</v>
      </c>
      <c r="L273" s="31" t="e">
        <f t="shared" si="2"/>
        <v>#DIV/0!</v>
      </c>
      <c r="M273" s="31" t="e">
        <f t="shared" si="2"/>
        <v>#DIV/0!</v>
      </c>
      <c r="N273" s="31" t="e">
        <f t="shared" si="2"/>
        <v>#DIV/0!</v>
      </c>
      <c r="O273" s="31" t="e">
        <f t="shared" si="2"/>
        <v>#DIV/0!</v>
      </c>
      <c r="P273" s="31" t="e">
        <f t="shared" si="2"/>
        <v>#DIV/0!</v>
      </c>
      <c r="Q273" s="31" t="e">
        <f t="shared" si="2"/>
        <v>#DIV/0!</v>
      </c>
      <c r="R273" s="31" t="e">
        <f t="shared" si="2"/>
        <v>#DIV/0!</v>
      </c>
      <c r="S273" s="31" t="e">
        <f t="shared" si="2"/>
        <v>#DIV/0!</v>
      </c>
      <c r="T273" s="31" t="e">
        <f t="shared" si="2"/>
        <v>#DIV/0!</v>
      </c>
    </row>
    <row r="274" spans="1:20">
      <c r="B274" s="161"/>
    </row>
    <row r="275" spans="1:20">
      <c r="B275" s="161"/>
    </row>
    <row r="276" spans="1:20">
      <c r="B276" s="161"/>
    </row>
    <row r="277" spans="1:20">
      <c r="B277" s="161"/>
    </row>
    <row r="278" spans="1:20">
      <c r="B278" s="161"/>
    </row>
    <row r="279" spans="1:20" s="1" customFormat="1">
      <c r="A279"/>
      <c r="B279" s="161"/>
      <c r="D279" s="5"/>
      <c r="E279" s="5"/>
      <c r="F279" s="5"/>
      <c r="G279" s="5"/>
      <c r="H279" s="5"/>
      <c r="I279" s="6"/>
      <c r="J279" s="6"/>
      <c r="K279" s="6"/>
      <c r="L279" s="6"/>
      <c r="M279" s="6"/>
      <c r="N279" s="6"/>
      <c r="O279" s="6"/>
      <c r="P279" s="6"/>
      <c r="Q279" s="6"/>
      <c r="R279" s="6"/>
      <c r="S279" s="6"/>
      <c r="T279" s="3"/>
    </row>
    <row r="280" spans="1:20" s="1" customFormat="1">
      <c r="A280"/>
      <c r="B280" s="161" t="s">
        <v>469</v>
      </c>
      <c r="D280" s="5"/>
      <c r="E280" s="5"/>
      <c r="F280" s="5"/>
      <c r="G280" s="5"/>
      <c r="H280" s="5"/>
      <c r="I280" s="6"/>
      <c r="J280" s="6"/>
      <c r="K280" s="6"/>
      <c r="L280" s="6"/>
      <c r="M280" s="6"/>
      <c r="N280" s="6"/>
      <c r="O280" s="6"/>
      <c r="P280" s="6"/>
      <c r="Q280" s="6"/>
      <c r="R280" s="6"/>
      <c r="S280" s="6"/>
      <c r="T280" s="3"/>
    </row>
    <row r="281" spans="1:20">
      <c r="B281" s="161"/>
    </row>
    <row r="282" spans="1:20">
      <c r="B282" s="161"/>
      <c r="I282" t="s">
        <v>434</v>
      </c>
    </row>
    <row r="283" spans="1:20">
      <c r="B283" s="161"/>
      <c r="I283" s="17"/>
      <c r="J283" s="191">
        <v>2018</v>
      </c>
      <c r="K283" s="191">
        <v>2019</v>
      </c>
      <c r="L283" s="191">
        <v>2020</v>
      </c>
      <c r="M283" s="191">
        <v>2021</v>
      </c>
      <c r="N283" s="191">
        <v>2022</v>
      </c>
      <c r="O283" s="191">
        <v>2023</v>
      </c>
      <c r="P283" s="191">
        <v>2024</v>
      </c>
      <c r="Q283" s="191">
        <v>2025</v>
      </c>
      <c r="R283" s="191">
        <v>2026</v>
      </c>
      <c r="S283" s="191">
        <v>2027</v>
      </c>
      <c r="T283" s="165">
        <v>2028</v>
      </c>
    </row>
    <row r="284" spans="1:20">
      <c r="B284" s="161"/>
      <c r="I284" s="25" t="s">
        <v>417</v>
      </c>
      <c r="J284" s="92">
        <f>CloudTotal!M131</f>
        <v>874.67232262824155</v>
      </c>
      <c r="K284" s="92">
        <f>CloudTotal!N131</f>
        <v>933.53875846914013</v>
      </c>
      <c r="L284" s="92">
        <f>CloudTotal!O131</f>
        <v>0</v>
      </c>
      <c r="M284" s="92">
        <f>CloudTotal!P131</f>
        <v>0</v>
      </c>
      <c r="N284" s="92">
        <f>CloudTotal!Q131</f>
        <v>0</v>
      </c>
      <c r="O284" s="92">
        <f>CloudTotal!R131</f>
        <v>0</v>
      </c>
      <c r="P284" s="92">
        <f>CloudTotal!S131</f>
        <v>0</v>
      </c>
      <c r="Q284" s="92">
        <f>CloudTotal!T131</f>
        <v>0</v>
      </c>
      <c r="R284" s="92">
        <f>CloudTotal!U131</f>
        <v>0</v>
      </c>
      <c r="S284" s="92">
        <f>CloudTotal!V131</f>
        <v>0</v>
      </c>
      <c r="T284" s="92">
        <f>CloudTotal!W131</f>
        <v>0</v>
      </c>
    </row>
    <row r="285" spans="1:20">
      <c r="B285" s="161"/>
      <c r="I285" s="25" t="s">
        <v>221</v>
      </c>
      <c r="J285" s="92">
        <f>Enterprise!M131</f>
        <v>293.19024989596261</v>
      </c>
      <c r="K285" s="92">
        <f>Enterprise!N131</f>
        <v>181.98957506973485</v>
      </c>
      <c r="L285" s="92">
        <f>Enterprise!O131</f>
        <v>0</v>
      </c>
      <c r="M285" s="92">
        <f>Enterprise!P131</f>
        <v>0</v>
      </c>
      <c r="N285" s="92">
        <f>Enterprise!Q131</f>
        <v>0</v>
      </c>
      <c r="O285" s="92">
        <f>Enterprise!R131</f>
        <v>0</v>
      </c>
      <c r="P285" s="92">
        <f>Enterprise!S131</f>
        <v>0</v>
      </c>
      <c r="Q285" s="92">
        <f>Enterprise!T131</f>
        <v>0</v>
      </c>
      <c r="R285" s="92">
        <f>Enterprise!U131</f>
        <v>0</v>
      </c>
      <c r="S285" s="92">
        <f>Enterprise!V131</f>
        <v>0</v>
      </c>
      <c r="T285" s="92">
        <f>Enterprise!W131</f>
        <v>0</v>
      </c>
    </row>
    <row r="286" spans="1:20">
      <c r="B286" s="161"/>
      <c r="I286" s="25" t="s">
        <v>220</v>
      </c>
      <c r="J286" s="92">
        <f>Telecom!M131</f>
        <v>2589.4655227485227</v>
      </c>
      <c r="K286" s="92">
        <f>Telecom!N131</f>
        <v>2625.3664227244099</v>
      </c>
      <c r="L286" s="92">
        <f>Telecom!O131</f>
        <v>0</v>
      </c>
      <c r="M286" s="92">
        <f>Telecom!P131</f>
        <v>0</v>
      </c>
      <c r="N286" s="92">
        <f>Telecom!Q131</f>
        <v>0</v>
      </c>
      <c r="O286" s="92">
        <f>Telecom!R131</f>
        <v>0</v>
      </c>
      <c r="P286" s="92">
        <f>Telecom!S131</f>
        <v>0</v>
      </c>
      <c r="Q286" s="92">
        <f>Telecom!T131</f>
        <v>0</v>
      </c>
      <c r="R286" s="92">
        <f>Telecom!U131</f>
        <v>0</v>
      </c>
      <c r="S286" s="92">
        <f>Telecom!V131</f>
        <v>0</v>
      </c>
      <c r="T286" s="92">
        <f>Telecom!W131</f>
        <v>0</v>
      </c>
    </row>
    <row r="287" spans="1:20">
      <c r="B287" s="161"/>
      <c r="I287" s="25" t="s">
        <v>377</v>
      </c>
      <c r="J287" s="92">
        <f>J286+J285+J284</f>
        <v>3757.3280952727268</v>
      </c>
      <c r="K287" s="92">
        <f t="shared" ref="K287:T287" si="3">K286+K285+K284</f>
        <v>3740.8947562632848</v>
      </c>
      <c r="L287" s="92">
        <f t="shared" si="3"/>
        <v>0</v>
      </c>
      <c r="M287" s="92">
        <f t="shared" si="3"/>
        <v>0</v>
      </c>
      <c r="N287" s="92">
        <f t="shared" si="3"/>
        <v>0</v>
      </c>
      <c r="O287" s="92">
        <f t="shared" si="3"/>
        <v>0</v>
      </c>
      <c r="P287" s="92">
        <f t="shared" si="3"/>
        <v>0</v>
      </c>
      <c r="Q287" s="92">
        <f t="shared" si="3"/>
        <v>0</v>
      </c>
      <c r="R287" s="92">
        <f t="shared" si="3"/>
        <v>0</v>
      </c>
      <c r="S287" s="92">
        <f t="shared" si="3"/>
        <v>0</v>
      </c>
      <c r="T287" s="92">
        <f t="shared" si="3"/>
        <v>0</v>
      </c>
    </row>
    <row r="288" spans="1:20">
      <c r="B288" s="161"/>
    </row>
    <row r="289" spans="1:20">
      <c r="B289" s="161"/>
    </row>
    <row r="290" spans="1:20">
      <c r="B290" s="161"/>
    </row>
    <row r="291" spans="1:20">
      <c r="B291" s="161"/>
    </row>
    <row r="292" spans="1:20">
      <c r="B292" s="161"/>
    </row>
    <row r="293" spans="1:20">
      <c r="B293" s="161"/>
    </row>
    <row r="294" spans="1:20">
      <c r="B294" s="161"/>
    </row>
    <row r="295" spans="1:20">
      <c r="B295" s="161"/>
    </row>
    <row r="296" spans="1:20" s="1" customFormat="1">
      <c r="A296"/>
      <c r="D296" s="5"/>
      <c r="E296" s="5"/>
      <c r="F296" s="5"/>
      <c r="G296" s="5"/>
      <c r="H296" s="5"/>
      <c r="I296" s="6"/>
      <c r="J296" s="6"/>
      <c r="K296" s="6"/>
      <c r="L296" s="6"/>
      <c r="M296" s="6"/>
      <c r="N296" s="6"/>
      <c r="O296" s="6"/>
      <c r="P296" s="6"/>
      <c r="Q296" s="6"/>
      <c r="R296" s="6"/>
      <c r="S296" s="6"/>
      <c r="T296" s="3"/>
    </row>
    <row r="297" spans="1:20" s="1" customFormat="1">
      <c r="A297"/>
      <c r="B297" s="161"/>
      <c r="D297" s="5"/>
      <c r="E297" s="5"/>
      <c r="F297" s="5"/>
      <c r="G297" s="5"/>
      <c r="H297" s="5"/>
      <c r="I297" s="6"/>
      <c r="J297" s="6"/>
      <c r="K297" s="6"/>
      <c r="L297" s="6"/>
      <c r="M297" s="6"/>
      <c r="N297" s="6"/>
      <c r="O297" s="6"/>
      <c r="P297" s="6"/>
      <c r="Q297" s="6"/>
      <c r="R297" s="6"/>
      <c r="S297" s="6"/>
      <c r="T297" s="3"/>
    </row>
    <row r="298" spans="1:20" s="1" customFormat="1">
      <c r="A298"/>
      <c r="B298" s="161"/>
      <c r="D298" s="5"/>
      <c r="E298" s="5"/>
      <c r="F298" s="5"/>
      <c r="G298" s="5"/>
      <c r="H298" s="5"/>
      <c r="I298" s="6"/>
      <c r="J298" s="6"/>
      <c r="K298" s="6"/>
      <c r="L298" s="6"/>
      <c r="M298" s="6"/>
      <c r="N298" s="6"/>
      <c r="O298" s="6"/>
      <c r="P298" s="6"/>
      <c r="Q298" s="6"/>
      <c r="R298" s="6"/>
      <c r="S298" s="6"/>
      <c r="T298" s="3"/>
    </row>
    <row r="299" spans="1:20" s="1" customFormat="1">
      <c r="A299"/>
      <c r="B299" s="161" t="s">
        <v>470</v>
      </c>
      <c r="D299" s="5"/>
      <c r="E299" s="5"/>
      <c r="F299" s="5"/>
      <c r="G299" s="5"/>
      <c r="H299" s="5"/>
      <c r="I299" s="6"/>
      <c r="J299" s="6"/>
      <c r="K299" s="6"/>
      <c r="L299" s="6"/>
      <c r="M299" s="6"/>
      <c r="N299" s="6"/>
      <c r="O299" s="6"/>
      <c r="P299" s="6"/>
      <c r="Q299" s="6"/>
      <c r="R299" s="6"/>
      <c r="S299" s="6"/>
      <c r="T299" s="3"/>
    </row>
    <row r="300" spans="1:20" s="1" customFormat="1">
      <c r="A300"/>
      <c r="B300" s="161"/>
      <c r="D300" s="5"/>
      <c r="E300" s="5"/>
      <c r="F300" s="5"/>
      <c r="G300" s="5"/>
      <c r="H300" s="5"/>
    </row>
    <row r="301" spans="1:20" s="1" customFormat="1">
      <c r="A301"/>
      <c r="B301" s="161"/>
      <c r="D301" s="5"/>
      <c r="E301" s="5"/>
      <c r="F301" s="5"/>
      <c r="G301" s="5"/>
      <c r="H301" s="5"/>
      <c r="I301" t="s">
        <v>434</v>
      </c>
      <c r="J301"/>
      <c r="K301"/>
      <c r="L301"/>
      <c r="M301"/>
      <c r="N301"/>
      <c r="O301"/>
      <c r="P301"/>
      <c r="Q301"/>
      <c r="R301"/>
      <c r="S301"/>
      <c r="T301"/>
    </row>
    <row r="302" spans="1:20" s="1" customFormat="1">
      <c r="A302"/>
      <c r="B302" s="161"/>
      <c r="D302" s="5"/>
      <c r="E302" s="5"/>
      <c r="F302" s="5"/>
      <c r="G302" s="5"/>
      <c r="H302" s="5"/>
      <c r="I302" s="17"/>
      <c r="J302" s="191">
        <v>2018</v>
      </c>
      <c r="K302" s="191">
        <v>2019</v>
      </c>
      <c r="L302" s="191">
        <v>2020</v>
      </c>
      <c r="M302" s="191">
        <v>2021</v>
      </c>
      <c r="N302" s="191">
        <v>2022</v>
      </c>
      <c r="O302" s="191">
        <v>2023</v>
      </c>
      <c r="P302" s="191">
        <v>2024</v>
      </c>
      <c r="Q302" s="191">
        <v>2025</v>
      </c>
      <c r="R302" s="191">
        <v>2026</v>
      </c>
      <c r="S302" s="191">
        <v>2027</v>
      </c>
      <c r="T302" s="165">
        <v>2028</v>
      </c>
    </row>
    <row r="303" spans="1:20" s="1" customFormat="1">
      <c r="A303"/>
      <c r="B303" s="161"/>
      <c r="D303" s="5"/>
      <c r="E303" s="5"/>
      <c r="F303" s="5"/>
      <c r="G303" s="5"/>
      <c r="H303" s="5"/>
      <c r="I303" s="25" t="s">
        <v>445</v>
      </c>
      <c r="J303" s="28">
        <f>CloudTotal!B103</f>
        <v>0</v>
      </c>
      <c r="K303" s="28">
        <f>CloudTotal!C103</f>
        <v>200</v>
      </c>
      <c r="L303" s="28">
        <f>CloudTotal!D103</f>
        <v>0</v>
      </c>
      <c r="M303" s="28">
        <f>CloudTotal!E103</f>
        <v>0</v>
      </c>
      <c r="N303" s="28">
        <f>CloudTotal!F103</f>
        <v>0</v>
      </c>
      <c r="O303" s="28">
        <f>CloudTotal!G103</f>
        <v>0</v>
      </c>
      <c r="P303" s="28">
        <f>CloudTotal!H103</f>
        <v>0</v>
      </c>
      <c r="Q303" s="28">
        <f>CloudTotal!I103</f>
        <v>0</v>
      </c>
      <c r="R303" s="28">
        <f>CloudTotal!J103</f>
        <v>0</v>
      </c>
      <c r="S303" s="28">
        <f>CloudTotal!K103</f>
        <v>0</v>
      </c>
      <c r="T303" s="28">
        <f>CloudTotal!L103</f>
        <v>0</v>
      </c>
    </row>
    <row r="304" spans="1:20" s="1" customFormat="1">
      <c r="A304"/>
      <c r="B304" s="161"/>
      <c r="D304" s="5"/>
      <c r="E304" s="5"/>
      <c r="F304" s="5"/>
      <c r="G304" s="5"/>
      <c r="H304" s="5"/>
      <c r="I304" s="25" t="s">
        <v>446</v>
      </c>
      <c r="J304" s="28">
        <f>CloudTotal!B104</f>
        <v>0</v>
      </c>
      <c r="K304" s="28">
        <f>CloudTotal!C104</f>
        <v>100</v>
      </c>
      <c r="L304" s="28">
        <f>CloudTotal!D104</f>
        <v>0</v>
      </c>
      <c r="M304" s="28">
        <f>CloudTotal!E104</f>
        <v>0</v>
      </c>
      <c r="N304" s="28">
        <f>CloudTotal!F104</f>
        <v>0</v>
      </c>
      <c r="O304" s="28">
        <f>CloudTotal!G104</f>
        <v>0</v>
      </c>
      <c r="P304" s="28">
        <f>CloudTotal!H104</f>
        <v>0</v>
      </c>
      <c r="Q304" s="28">
        <f>CloudTotal!I104</f>
        <v>0</v>
      </c>
      <c r="R304" s="28">
        <f>CloudTotal!J104</f>
        <v>0</v>
      </c>
      <c r="S304" s="28">
        <f>CloudTotal!K104</f>
        <v>0</v>
      </c>
      <c r="T304" s="28">
        <f>CloudTotal!L104</f>
        <v>0</v>
      </c>
    </row>
    <row r="305" spans="1:20" s="1" customFormat="1">
      <c r="A305"/>
      <c r="B305" s="161"/>
      <c r="D305" s="5"/>
      <c r="E305" s="5"/>
      <c r="F305" s="5"/>
      <c r="G305" s="5"/>
      <c r="H305" s="5"/>
      <c r="I305" s="25" t="s">
        <v>447</v>
      </c>
      <c r="J305" s="28">
        <f>CloudTotal!B108</f>
        <v>0</v>
      </c>
      <c r="K305" s="28">
        <f>CloudTotal!C108</f>
        <v>0</v>
      </c>
      <c r="L305" s="28">
        <f>CloudTotal!D108</f>
        <v>0</v>
      </c>
      <c r="M305" s="28">
        <f>CloudTotal!E108</f>
        <v>0</v>
      </c>
      <c r="N305" s="28">
        <f>CloudTotal!F108</f>
        <v>0</v>
      </c>
      <c r="O305" s="28">
        <f>CloudTotal!G108</f>
        <v>0</v>
      </c>
      <c r="P305" s="28">
        <f>CloudTotal!H108</f>
        <v>0</v>
      </c>
      <c r="Q305" s="28">
        <f>CloudTotal!I108</f>
        <v>0</v>
      </c>
      <c r="R305" s="28">
        <f>CloudTotal!J108</f>
        <v>0</v>
      </c>
      <c r="S305" s="28">
        <f>CloudTotal!K108</f>
        <v>0</v>
      </c>
      <c r="T305" s="28">
        <f>CloudTotal!L108</f>
        <v>0</v>
      </c>
    </row>
    <row r="306" spans="1:20" s="1" customFormat="1">
      <c r="A306"/>
      <c r="B306" s="161"/>
      <c r="D306" s="5"/>
      <c r="E306" s="5"/>
      <c r="F306" s="5"/>
      <c r="G306" s="5"/>
      <c r="H306" s="5"/>
    </row>
    <row r="307" spans="1:20" s="1" customFormat="1">
      <c r="A307"/>
      <c r="D307" s="5"/>
      <c r="E307" s="5"/>
      <c r="F307" s="5"/>
      <c r="G307" s="5"/>
      <c r="H307" s="5"/>
      <c r="I307" s="6"/>
      <c r="J307" s="6"/>
      <c r="K307" s="6"/>
      <c r="L307" s="6"/>
      <c r="M307" s="6"/>
      <c r="N307" s="6"/>
      <c r="O307" s="6"/>
      <c r="P307" s="6"/>
      <c r="Q307" s="6"/>
      <c r="R307" s="6"/>
      <c r="S307" s="6"/>
      <c r="T307" s="3"/>
    </row>
    <row r="308" spans="1:20" s="1" customFormat="1">
      <c r="A308"/>
      <c r="B308" s="161"/>
      <c r="D308" s="5"/>
      <c r="E308" s="5"/>
      <c r="F308" s="5"/>
      <c r="G308" s="5"/>
      <c r="H308" s="5"/>
      <c r="I308" s="6"/>
      <c r="J308" s="6"/>
      <c r="K308" s="6"/>
      <c r="L308" s="6"/>
      <c r="M308" s="6"/>
      <c r="N308" s="6"/>
      <c r="O308" s="6"/>
      <c r="P308" s="6"/>
      <c r="Q308" s="6"/>
      <c r="R308" s="6"/>
      <c r="S308" s="6"/>
      <c r="T308" s="3"/>
    </row>
    <row r="309" spans="1:20" s="1" customFormat="1">
      <c r="A309"/>
      <c r="B309" s="161"/>
      <c r="D309" s="5"/>
      <c r="E309" s="5"/>
      <c r="F309" s="5"/>
      <c r="G309" s="5"/>
      <c r="H309" s="5"/>
      <c r="I309" s="6"/>
      <c r="J309" s="6"/>
      <c r="K309" s="6"/>
      <c r="L309" s="6"/>
      <c r="M309" s="6"/>
      <c r="N309" s="6"/>
      <c r="O309" s="6"/>
      <c r="P309" s="6"/>
      <c r="Q309" s="6"/>
      <c r="R309" s="6"/>
      <c r="S309" s="6"/>
      <c r="T309" s="3"/>
    </row>
    <row r="310" spans="1:20" s="1" customFormat="1">
      <c r="A310"/>
      <c r="B310" s="161"/>
      <c r="D310" s="5"/>
      <c r="E310" s="5"/>
      <c r="F310" s="5"/>
      <c r="G310" s="5"/>
      <c r="H310" s="5"/>
      <c r="I310" s="6"/>
      <c r="J310" s="6"/>
      <c r="K310" s="6"/>
      <c r="L310" s="6"/>
      <c r="M310" s="6"/>
      <c r="N310" s="6"/>
      <c r="O310" s="6"/>
      <c r="P310" s="6"/>
      <c r="Q310" s="6"/>
      <c r="R310" s="6"/>
      <c r="S310" s="6"/>
      <c r="T310" s="3"/>
    </row>
    <row r="311" spans="1:20" s="1" customFormat="1">
      <c r="A311"/>
      <c r="B311" s="161"/>
      <c r="D311" s="5"/>
      <c r="E311" s="5"/>
      <c r="F311" s="5"/>
      <c r="G311" s="5"/>
      <c r="H311" s="5"/>
      <c r="I311" s="6"/>
      <c r="J311" s="6"/>
      <c r="K311" s="6"/>
      <c r="L311" s="6"/>
      <c r="M311" s="6"/>
      <c r="N311" s="6"/>
      <c r="O311" s="6"/>
      <c r="P311" s="6"/>
      <c r="Q311" s="6"/>
      <c r="R311" s="6"/>
      <c r="S311" s="6"/>
      <c r="T311" s="3"/>
    </row>
    <row r="312" spans="1:20" s="1" customFormat="1">
      <c r="A312"/>
      <c r="B312" s="161"/>
      <c r="D312" s="5"/>
      <c r="E312" s="5"/>
      <c r="F312" s="5"/>
      <c r="G312" s="5"/>
      <c r="H312" s="5"/>
      <c r="I312" s="6"/>
      <c r="J312" s="6"/>
      <c r="K312" s="6"/>
      <c r="L312" s="6"/>
      <c r="M312" s="6"/>
      <c r="N312" s="6"/>
      <c r="O312" s="6"/>
      <c r="P312" s="6"/>
      <c r="Q312" s="6"/>
      <c r="R312" s="6"/>
      <c r="S312" s="6"/>
      <c r="T312" s="3"/>
    </row>
    <row r="313" spans="1:20" s="1" customFormat="1">
      <c r="A313"/>
      <c r="B313" s="161"/>
      <c r="D313" s="5"/>
      <c r="E313" s="5"/>
      <c r="F313" s="5"/>
      <c r="G313" s="5"/>
      <c r="H313" s="5"/>
      <c r="I313" s="6"/>
      <c r="J313" s="6"/>
      <c r="K313" s="6"/>
      <c r="L313" s="6"/>
      <c r="M313" s="6"/>
      <c r="N313" s="6"/>
      <c r="O313" s="6"/>
      <c r="P313" s="6"/>
      <c r="Q313" s="6"/>
      <c r="R313" s="6"/>
      <c r="S313" s="6"/>
      <c r="T313" s="3"/>
    </row>
    <row r="314" spans="1:20" s="1" customFormat="1">
      <c r="A314"/>
      <c r="B314" s="161"/>
      <c r="D314" s="5"/>
      <c r="E314" s="5"/>
      <c r="F314" s="5"/>
      <c r="G314" s="5"/>
      <c r="H314" s="5"/>
      <c r="I314" s="6"/>
      <c r="J314" s="6"/>
      <c r="K314" s="6"/>
      <c r="L314" s="6"/>
      <c r="M314" s="6"/>
      <c r="N314" s="6"/>
      <c r="O314" s="6"/>
      <c r="P314" s="6"/>
      <c r="Q314" s="6"/>
      <c r="R314" s="6"/>
      <c r="S314" s="6"/>
      <c r="T314" s="3"/>
    </row>
    <row r="315" spans="1:20" s="1" customFormat="1">
      <c r="A315"/>
      <c r="B315" s="161"/>
      <c r="D315" s="5"/>
      <c r="E315" s="5"/>
      <c r="F315" s="5"/>
      <c r="G315" s="5"/>
      <c r="H315" s="5"/>
      <c r="I315" s="6"/>
      <c r="J315" s="6"/>
      <c r="K315" s="6"/>
      <c r="L315" s="6"/>
      <c r="M315" s="6"/>
      <c r="N315" s="6"/>
      <c r="O315" s="6"/>
      <c r="P315" s="6"/>
      <c r="Q315" s="6"/>
      <c r="R315" s="6"/>
      <c r="S315" s="6"/>
      <c r="T315" s="3"/>
    </row>
    <row r="316" spans="1:20" s="1" customFormat="1">
      <c r="A316"/>
      <c r="B316" s="161" t="s">
        <v>471</v>
      </c>
      <c r="D316" s="5"/>
      <c r="E316" s="5"/>
      <c r="F316" s="5"/>
      <c r="G316" s="5"/>
      <c r="H316" s="5"/>
      <c r="I316" s="6"/>
      <c r="J316" s="6"/>
      <c r="K316" s="6"/>
      <c r="L316" s="6"/>
      <c r="M316" s="6"/>
      <c r="N316" s="6"/>
      <c r="O316" s="6"/>
      <c r="P316" s="6"/>
      <c r="Q316" s="6"/>
      <c r="R316" s="6"/>
      <c r="S316" s="6"/>
      <c r="T316" s="3"/>
    </row>
    <row r="317" spans="1:20">
      <c r="B317" s="161"/>
      <c r="I317" t="s">
        <v>434</v>
      </c>
    </row>
    <row r="318" spans="1:20">
      <c r="B318" s="161"/>
      <c r="I318" s="17"/>
      <c r="J318" s="191">
        <v>2018</v>
      </c>
      <c r="K318" s="191">
        <v>2019</v>
      </c>
      <c r="L318" s="191">
        <v>2020</v>
      </c>
      <c r="M318" s="191">
        <v>2021</v>
      </c>
      <c r="N318" s="191">
        <v>2022</v>
      </c>
      <c r="O318" s="191">
        <v>2023</v>
      </c>
      <c r="P318" s="191">
        <v>2024</v>
      </c>
      <c r="Q318" s="191">
        <v>2025</v>
      </c>
      <c r="R318" s="191">
        <v>2026</v>
      </c>
      <c r="S318" s="191">
        <v>2027</v>
      </c>
      <c r="T318" s="165">
        <v>2028</v>
      </c>
    </row>
    <row r="319" spans="1:20">
      <c r="B319" s="161"/>
      <c r="I319" s="25" t="s">
        <v>205</v>
      </c>
      <c r="J319" s="28">
        <f>SUM(CloudTotal!B126)</f>
        <v>102610.31603816527</v>
      </c>
      <c r="K319" s="28">
        <f>SUM(CloudTotal!C126)</f>
        <v>96823.604000000007</v>
      </c>
      <c r="L319" s="28">
        <f>SUM(CloudTotal!D126)</f>
        <v>0</v>
      </c>
      <c r="M319" s="28">
        <f>SUM(CloudTotal!E126)</f>
        <v>0</v>
      </c>
      <c r="N319" s="28">
        <f>SUM(CloudTotal!F126)</f>
        <v>0</v>
      </c>
      <c r="O319" s="28">
        <f>SUM(CloudTotal!G126)</f>
        <v>0</v>
      </c>
      <c r="P319" s="28">
        <f>SUM(CloudTotal!H126)</f>
        <v>0</v>
      </c>
      <c r="Q319" s="28">
        <f>SUM(CloudTotal!I126)</f>
        <v>0</v>
      </c>
      <c r="R319" s="28">
        <f>SUM(CloudTotal!J126)</f>
        <v>0</v>
      </c>
      <c r="S319" s="28">
        <f>SUM(CloudTotal!K126)</f>
        <v>0</v>
      </c>
      <c r="T319" s="28">
        <f>SUM(CloudTotal!L126)</f>
        <v>0</v>
      </c>
    </row>
    <row r="320" spans="1:20">
      <c r="B320" s="161"/>
      <c r="I320" s="25" t="s">
        <v>206</v>
      </c>
      <c r="J320" s="28">
        <f>SUM(CloudTotal!B127)</f>
        <v>25523.852459016394</v>
      </c>
      <c r="K320" s="28">
        <f>SUM(CloudTotal!C127)</f>
        <v>54270.959999999992</v>
      </c>
      <c r="L320" s="28">
        <f>SUM(CloudTotal!D127)</f>
        <v>0</v>
      </c>
      <c r="M320" s="28">
        <f>SUM(CloudTotal!E127)</f>
        <v>0</v>
      </c>
      <c r="N320" s="28">
        <f>SUM(CloudTotal!F127)</f>
        <v>0</v>
      </c>
      <c r="O320" s="28">
        <f>SUM(CloudTotal!G127)</f>
        <v>0</v>
      </c>
      <c r="P320" s="28">
        <f>SUM(CloudTotal!H127)</f>
        <v>0</v>
      </c>
      <c r="Q320" s="28">
        <f>SUM(CloudTotal!I127)</f>
        <v>0</v>
      </c>
      <c r="R320" s="28">
        <f>SUM(CloudTotal!J127)</f>
        <v>0</v>
      </c>
      <c r="S320" s="28">
        <f>SUM(CloudTotal!K127)</f>
        <v>0</v>
      </c>
      <c r="T320" s="28">
        <f>SUM(CloudTotal!L127)</f>
        <v>0</v>
      </c>
    </row>
    <row r="321" spans="1:20">
      <c r="B321" s="161"/>
      <c r="I321" s="25" t="s">
        <v>207</v>
      </c>
      <c r="J321" s="28">
        <f>SUM(CloudTotal!B128)</f>
        <v>8750</v>
      </c>
      <c r="K321" s="28">
        <f>SUM(CloudTotal!C128)</f>
        <v>17715</v>
      </c>
      <c r="L321" s="28">
        <f>SUM(CloudTotal!D128)</f>
        <v>0</v>
      </c>
      <c r="M321" s="28">
        <f>SUM(CloudTotal!E128)</f>
        <v>0</v>
      </c>
      <c r="N321" s="28">
        <f>SUM(CloudTotal!F128)</f>
        <v>0</v>
      </c>
      <c r="O321" s="28">
        <f>SUM(CloudTotal!G128)</f>
        <v>0</v>
      </c>
      <c r="P321" s="28">
        <f>SUM(CloudTotal!H128)</f>
        <v>0</v>
      </c>
      <c r="Q321" s="28">
        <f>SUM(CloudTotal!I128)</f>
        <v>0</v>
      </c>
      <c r="R321" s="28">
        <f>SUM(CloudTotal!J128)</f>
        <v>0</v>
      </c>
      <c r="S321" s="28">
        <f>SUM(CloudTotal!K128)</f>
        <v>0</v>
      </c>
      <c r="T321" s="28">
        <f>SUM(CloudTotal!L128)</f>
        <v>0</v>
      </c>
    </row>
    <row r="322" spans="1:20">
      <c r="B322" s="161"/>
      <c r="I322" s="25" t="s">
        <v>429</v>
      </c>
      <c r="J322" s="28">
        <f>SUM(CloudTotal!B129)</f>
        <v>0</v>
      </c>
      <c r="K322" s="28">
        <f>SUM(CloudTotal!C129)</f>
        <v>16.400000000000002</v>
      </c>
      <c r="L322" s="28">
        <f>SUM(CloudTotal!D129)</f>
        <v>0</v>
      </c>
      <c r="M322" s="28">
        <f>SUM(CloudTotal!E129)</f>
        <v>0</v>
      </c>
      <c r="N322" s="28">
        <f>SUM(CloudTotal!F129)</f>
        <v>0</v>
      </c>
      <c r="O322" s="28">
        <f>SUM(CloudTotal!G129)</f>
        <v>0</v>
      </c>
      <c r="P322" s="28">
        <f>SUM(CloudTotal!H129)</f>
        <v>0</v>
      </c>
      <c r="Q322" s="28">
        <f>SUM(CloudTotal!I129)</f>
        <v>0</v>
      </c>
      <c r="R322" s="28">
        <f>SUM(CloudTotal!J129)</f>
        <v>0</v>
      </c>
      <c r="S322" s="28">
        <f>SUM(CloudTotal!K129)</f>
        <v>0</v>
      </c>
      <c r="T322" s="28">
        <f>SUM(CloudTotal!L129)</f>
        <v>0</v>
      </c>
    </row>
    <row r="323" spans="1:20">
      <c r="B323" s="161"/>
      <c r="I323" s="25" t="s">
        <v>430</v>
      </c>
      <c r="J323" s="28">
        <f>SUM(CloudTotal!B130)</f>
        <v>0</v>
      </c>
      <c r="K323" s="28">
        <f>SUM(CloudTotal!C130)</f>
        <v>0</v>
      </c>
      <c r="L323" s="28">
        <f>SUM(CloudTotal!D130)</f>
        <v>0</v>
      </c>
      <c r="M323" s="28">
        <f>SUM(CloudTotal!E130)</f>
        <v>0</v>
      </c>
      <c r="N323" s="28">
        <f>SUM(CloudTotal!F130)</f>
        <v>0</v>
      </c>
      <c r="O323" s="28">
        <f>SUM(CloudTotal!G130)</f>
        <v>0</v>
      </c>
      <c r="P323" s="28">
        <f>SUM(CloudTotal!H130)</f>
        <v>0</v>
      </c>
      <c r="Q323" s="28">
        <f>SUM(CloudTotal!I130)</f>
        <v>0</v>
      </c>
      <c r="R323" s="28">
        <f>SUM(CloudTotal!J130)</f>
        <v>0</v>
      </c>
      <c r="S323" s="28">
        <f>SUM(CloudTotal!K130)</f>
        <v>0</v>
      </c>
      <c r="T323" s="28">
        <f>SUM(CloudTotal!L130)</f>
        <v>0</v>
      </c>
    </row>
    <row r="324" spans="1:20">
      <c r="B324" s="161"/>
      <c r="I324" s="25" t="s">
        <v>441</v>
      </c>
      <c r="J324" s="29">
        <f>SUM(J319:J323)</f>
        <v>136884.16849718167</v>
      </c>
      <c r="K324" s="29">
        <f t="shared" ref="K324:T324" si="4">SUM(K319:K323)</f>
        <v>168825.96400000001</v>
      </c>
      <c r="L324" s="29">
        <f t="shared" si="4"/>
        <v>0</v>
      </c>
      <c r="M324" s="29">
        <f t="shared" si="4"/>
        <v>0</v>
      </c>
      <c r="N324" s="29">
        <f t="shared" si="4"/>
        <v>0</v>
      </c>
      <c r="O324" s="29">
        <f t="shared" si="4"/>
        <v>0</v>
      </c>
      <c r="P324" s="29">
        <f t="shared" si="4"/>
        <v>0</v>
      </c>
      <c r="Q324" s="29">
        <f t="shared" si="4"/>
        <v>0</v>
      </c>
      <c r="R324" s="29">
        <f t="shared" si="4"/>
        <v>0</v>
      </c>
      <c r="S324" s="29">
        <f t="shared" si="4"/>
        <v>0</v>
      </c>
      <c r="T324" s="29">
        <f t="shared" si="4"/>
        <v>0</v>
      </c>
    </row>
    <row r="325" spans="1:20">
      <c r="B325" s="161"/>
    </row>
    <row r="326" spans="1:20">
      <c r="B326" s="161"/>
    </row>
    <row r="327" spans="1:20">
      <c r="B327" s="161"/>
    </row>
    <row r="328" spans="1:20">
      <c r="B328" s="161"/>
    </row>
    <row r="329" spans="1:20">
      <c r="B329" s="161"/>
    </row>
    <row r="330" spans="1:20">
      <c r="B330" s="161"/>
    </row>
    <row r="331" spans="1:20" s="1" customFormat="1">
      <c r="A331"/>
      <c r="B331" s="161"/>
      <c r="D331" s="5"/>
      <c r="E331" s="5"/>
      <c r="F331" s="5"/>
      <c r="G331" s="5"/>
      <c r="H331" s="5"/>
      <c r="I331" s="6"/>
      <c r="J331" s="6"/>
      <c r="K331" s="6"/>
      <c r="L331" s="6"/>
      <c r="M331" s="6"/>
      <c r="N331" s="6"/>
      <c r="O331" s="6"/>
      <c r="P331" s="6"/>
      <c r="Q331" s="6"/>
      <c r="R331" s="6"/>
      <c r="S331" s="6"/>
      <c r="T331" s="3"/>
    </row>
    <row r="332" spans="1:20" s="1" customFormat="1">
      <c r="A332"/>
      <c r="D332" s="5"/>
      <c r="E332" s="5"/>
      <c r="F332" s="5"/>
      <c r="G332" s="5"/>
      <c r="H332" s="5"/>
      <c r="I332" s="6"/>
      <c r="J332" s="6"/>
      <c r="K332" s="6"/>
      <c r="L332" s="6"/>
      <c r="M332" s="6"/>
      <c r="N332" s="6"/>
      <c r="O332" s="6"/>
      <c r="P332" s="6"/>
      <c r="Q332" s="6"/>
      <c r="R332" s="6"/>
      <c r="S332" s="6"/>
      <c r="T332" s="3"/>
    </row>
    <row r="333" spans="1:20" s="1" customFormat="1">
      <c r="A333"/>
      <c r="B333" s="161" t="s">
        <v>472</v>
      </c>
      <c r="D333" s="5"/>
      <c r="E333" s="5"/>
      <c r="F333" s="5"/>
      <c r="G333" s="5"/>
      <c r="H333" s="5"/>
      <c r="I333" s="6"/>
      <c r="J333" s="6"/>
      <c r="K333" s="6"/>
      <c r="L333" s="6"/>
      <c r="M333" s="6"/>
      <c r="N333" s="6"/>
      <c r="O333" s="6"/>
      <c r="P333" s="6"/>
      <c r="Q333" s="6"/>
      <c r="R333" s="6"/>
      <c r="S333" s="6"/>
      <c r="T333" s="3"/>
    </row>
    <row r="334" spans="1:20">
      <c r="B334" s="161"/>
    </row>
    <row r="335" spans="1:20">
      <c r="B335" s="161"/>
      <c r="I335" t="s">
        <v>434</v>
      </c>
    </row>
    <row r="336" spans="1:20">
      <c r="B336" s="161"/>
      <c r="I336" s="17"/>
      <c r="J336" s="191">
        <v>2018</v>
      </c>
      <c r="K336" s="191">
        <v>2019</v>
      </c>
      <c r="L336" s="191">
        <v>2020</v>
      </c>
      <c r="M336" s="191">
        <v>2021</v>
      </c>
      <c r="N336" s="191">
        <v>2022</v>
      </c>
      <c r="O336" s="191">
        <v>2023</v>
      </c>
      <c r="P336" s="191">
        <v>2024</v>
      </c>
      <c r="Q336" s="191">
        <v>2025</v>
      </c>
      <c r="R336" s="191">
        <v>2026</v>
      </c>
      <c r="S336" s="191">
        <v>2027</v>
      </c>
      <c r="T336" s="165">
        <v>2028</v>
      </c>
    </row>
    <row r="337" spans="1:20">
      <c r="B337" s="161"/>
      <c r="I337" s="25" t="s">
        <v>205</v>
      </c>
      <c r="J337" s="92">
        <f>CloudTotal!M126</f>
        <v>652.78972686537111</v>
      </c>
      <c r="K337" s="92">
        <f>CloudTotal!N126</f>
        <v>440.56860426666674</v>
      </c>
      <c r="L337" s="92">
        <f>CloudTotal!O126</f>
        <v>0</v>
      </c>
      <c r="M337" s="92">
        <f>CloudTotal!P126</f>
        <v>0</v>
      </c>
      <c r="N337" s="92">
        <f>CloudTotal!Q126</f>
        <v>0</v>
      </c>
      <c r="O337" s="92">
        <f>CloudTotal!R126</f>
        <v>0</v>
      </c>
      <c r="P337" s="92">
        <f>CloudTotal!S126</f>
        <v>0</v>
      </c>
      <c r="Q337" s="92">
        <f>CloudTotal!T126</f>
        <v>0</v>
      </c>
      <c r="R337" s="92">
        <f>CloudTotal!U126</f>
        <v>0</v>
      </c>
      <c r="S337" s="92">
        <f>CloudTotal!V126</f>
        <v>0</v>
      </c>
      <c r="T337" s="92">
        <f>CloudTotal!W126</f>
        <v>0</v>
      </c>
    </row>
    <row r="338" spans="1:20">
      <c r="B338" s="161"/>
      <c r="I338" s="25" t="s">
        <v>206</v>
      </c>
      <c r="J338" s="92">
        <f>CloudTotal!M127</f>
        <v>202.13476900149033</v>
      </c>
      <c r="K338" s="92">
        <f>CloudTotal!N127</f>
        <v>322.79382981818173</v>
      </c>
      <c r="L338" s="92">
        <f>CloudTotal!O127</f>
        <v>0</v>
      </c>
      <c r="M338" s="92">
        <f>CloudTotal!P127</f>
        <v>0</v>
      </c>
      <c r="N338" s="92">
        <f>CloudTotal!Q127</f>
        <v>0</v>
      </c>
      <c r="O338" s="92">
        <f>CloudTotal!R127</f>
        <v>0</v>
      </c>
      <c r="P338" s="92">
        <f>CloudTotal!S127</f>
        <v>0</v>
      </c>
      <c r="Q338" s="92">
        <f>CloudTotal!T127</f>
        <v>0</v>
      </c>
      <c r="R338" s="92">
        <f>CloudTotal!U127</f>
        <v>0</v>
      </c>
      <c r="S338" s="92">
        <f>CloudTotal!V127</f>
        <v>0</v>
      </c>
      <c r="T338" s="92">
        <f>CloudTotal!W127</f>
        <v>0</v>
      </c>
    </row>
    <row r="339" spans="1:20">
      <c r="B339" s="161"/>
      <c r="I339" s="25" t="s">
        <v>207</v>
      </c>
      <c r="J339" s="92">
        <f>CloudTotal!M128</f>
        <v>0</v>
      </c>
      <c r="K339" s="92">
        <f>CloudTotal!N128</f>
        <v>154.00545454545454</v>
      </c>
      <c r="L339" s="92">
        <f>CloudTotal!O128</f>
        <v>0</v>
      </c>
      <c r="M339" s="92">
        <f>CloudTotal!P128</f>
        <v>0</v>
      </c>
      <c r="N339" s="92">
        <f>CloudTotal!Q128</f>
        <v>0</v>
      </c>
      <c r="O339" s="92">
        <f>CloudTotal!R128</f>
        <v>0</v>
      </c>
      <c r="P339" s="92">
        <f>CloudTotal!S128</f>
        <v>0</v>
      </c>
      <c r="Q339" s="92">
        <f>CloudTotal!T128</f>
        <v>0</v>
      </c>
      <c r="R339" s="92">
        <f>CloudTotal!U128</f>
        <v>0</v>
      </c>
      <c r="S339" s="92">
        <f>CloudTotal!V128</f>
        <v>0</v>
      </c>
      <c r="T339" s="92">
        <f>CloudTotal!W128</f>
        <v>0</v>
      </c>
    </row>
    <row r="340" spans="1:20">
      <c r="B340" s="161"/>
      <c r="I340" s="25" t="s">
        <v>429</v>
      </c>
      <c r="J340" s="92">
        <f>CloudTotal!M129</f>
        <v>0</v>
      </c>
      <c r="K340" s="92">
        <f>CloudTotal!N129</f>
        <v>0.16400000000000003</v>
      </c>
      <c r="L340" s="92">
        <f>CloudTotal!O129</f>
        <v>0</v>
      </c>
      <c r="M340" s="92">
        <f>CloudTotal!P129</f>
        <v>0</v>
      </c>
      <c r="N340" s="92">
        <f>CloudTotal!Q129</f>
        <v>0</v>
      </c>
      <c r="O340" s="92">
        <f>CloudTotal!R129</f>
        <v>0</v>
      </c>
      <c r="P340" s="92">
        <f>CloudTotal!S129</f>
        <v>0</v>
      </c>
      <c r="Q340" s="92">
        <f>CloudTotal!T129</f>
        <v>0</v>
      </c>
      <c r="R340" s="92">
        <f>CloudTotal!U129</f>
        <v>0</v>
      </c>
      <c r="S340" s="92">
        <f>CloudTotal!V129</f>
        <v>0</v>
      </c>
      <c r="T340" s="92">
        <f>CloudTotal!W129</f>
        <v>0</v>
      </c>
    </row>
    <row r="341" spans="1:20">
      <c r="B341" s="161"/>
      <c r="I341" s="25" t="s">
        <v>430</v>
      </c>
      <c r="J341" s="92">
        <f>CloudTotal!M130</f>
        <v>0</v>
      </c>
      <c r="K341" s="92">
        <f>CloudTotal!N130</f>
        <v>0</v>
      </c>
      <c r="L341" s="92">
        <f>CloudTotal!O130</f>
        <v>0</v>
      </c>
      <c r="M341" s="92">
        <f>CloudTotal!P130</f>
        <v>0</v>
      </c>
      <c r="N341" s="92">
        <f>CloudTotal!Q130</f>
        <v>0</v>
      </c>
      <c r="O341" s="92">
        <f>CloudTotal!R130</f>
        <v>0</v>
      </c>
      <c r="P341" s="92">
        <f>CloudTotal!S130</f>
        <v>0</v>
      </c>
      <c r="Q341" s="92">
        <f>CloudTotal!T130</f>
        <v>0</v>
      </c>
      <c r="R341" s="92">
        <f>CloudTotal!U130</f>
        <v>0</v>
      </c>
      <c r="S341" s="92">
        <f>CloudTotal!V130</f>
        <v>0</v>
      </c>
      <c r="T341" s="92">
        <f>CloudTotal!W130</f>
        <v>0</v>
      </c>
    </row>
    <row r="342" spans="1:20">
      <c r="B342" s="161"/>
      <c r="I342" s="25" t="s">
        <v>441</v>
      </c>
      <c r="J342" s="92">
        <f>SUM(J337:J341)</f>
        <v>854.92449586686143</v>
      </c>
      <c r="K342" s="92">
        <f t="shared" ref="K342:T342" si="5">SUM(K337:K341)</f>
        <v>917.531888630303</v>
      </c>
      <c r="L342" s="92">
        <f t="shared" si="5"/>
        <v>0</v>
      </c>
      <c r="M342" s="92">
        <f t="shared" si="5"/>
        <v>0</v>
      </c>
      <c r="N342" s="92">
        <f t="shared" si="5"/>
        <v>0</v>
      </c>
      <c r="O342" s="92">
        <f t="shared" si="5"/>
        <v>0</v>
      </c>
      <c r="P342" s="92">
        <f t="shared" si="5"/>
        <v>0</v>
      </c>
      <c r="Q342" s="92">
        <f t="shared" si="5"/>
        <v>0</v>
      </c>
      <c r="R342" s="92">
        <f t="shared" si="5"/>
        <v>0</v>
      </c>
      <c r="S342" s="92">
        <f t="shared" si="5"/>
        <v>0</v>
      </c>
      <c r="T342" s="92">
        <f t="shared" si="5"/>
        <v>0</v>
      </c>
    </row>
    <row r="343" spans="1:20">
      <c r="B343" s="161"/>
    </row>
    <row r="344" spans="1:20">
      <c r="B344" s="161"/>
    </row>
    <row r="345" spans="1:20">
      <c r="B345" s="161"/>
    </row>
    <row r="346" spans="1:20">
      <c r="B346" s="161"/>
    </row>
    <row r="347" spans="1:20">
      <c r="B347" s="161"/>
    </row>
    <row r="348" spans="1:20" s="1" customFormat="1">
      <c r="A348"/>
      <c r="B348" s="161"/>
      <c r="D348" s="5"/>
      <c r="E348" s="5"/>
      <c r="F348" s="5"/>
      <c r="G348" s="5"/>
      <c r="H348" s="5"/>
      <c r="I348" s="6"/>
      <c r="J348" s="6"/>
      <c r="K348" s="6"/>
      <c r="L348" s="6"/>
      <c r="M348" s="6"/>
      <c r="N348" s="6"/>
      <c r="O348" s="6"/>
      <c r="P348" s="6"/>
      <c r="Q348" s="6"/>
      <c r="R348" s="6"/>
      <c r="S348" s="6"/>
      <c r="T348" s="3"/>
    </row>
    <row r="349" spans="1:20" s="1" customFormat="1">
      <c r="A349"/>
      <c r="B349" s="161"/>
      <c r="D349" s="5"/>
      <c r="E349" s="5"/>
      <c r="F349" s="5"/>
      <c r="G349" s="5"/>
      <c r="H349" s="5"/>
      <c r="I349" s="6"/>
      <c r="J349" s="6"/>
      <c r="K349" s="6"/>
      <c r="L349" s="6"/>
      <c r="M349" s="6"/>
      <c r="N349" s="6"/>
      <c r="O349" s="6"/>
      <c r="P349" s="6"/>
      <c r="Q349" s="6"/>
      <c r="R349" s="6"/>
      <c r="S349" s="6"/>
      <c r="T349" s="3"/>
    </row>
    <row r="350" spans="1:20" s="1" customFormat="1">
      <c r="A350"/>
      <c r="B350" s="161"/>
      <c r="D350" s="5"/>
      <c r="E350" s="5"/>
      <c r="F350" s="5"/>
      <c r="G350" s="5"/>
      <c r="H350" s="5"/>
      <c r="I350" s="6"/>
      <c r="J350" s="6"/>
      <c r="K350" s="6"/>
      <c r="L350" s="6"/>
      <c r="M350" s="6"/>
      <c r="N350" s="6"/>
      <c r="O350" s="6"/>
      <c r="P350" s="6"/>
      <c r="Q350" s="6"/>
      <c r="R350" s="6"/>
      <c r="S350" s="6"/>
      <c r="T350" s="3"/>
    </row>
    <row r="351" spans="1:20" s="1" customFormat="1">
      <c r="A351"/>
      <c r="B351" s="161"/>
      <c r="D351" s="5"/>
      <c r="E351" s="5"/>
      <c r="F351" s="5"/>
      <c r="G351" s="5"/>
      <c r="H351" s="5"/>
      <c r="I351" s="6"/>
      <c r="J351" s="6"/>
      <c r="K351" s="6"/>
      <c r="L351" s="6"/>
      <c r="M351" s="6"/>
      <c r="N351" s="6"/>
      <c r="O351" s="6"/>
      <c r="P351" s="6"/>
      <c r="Q351" s="6"/>
      <c r="R351" s="6"/>
      <c r="S351" s="6"/>
      <c r="T351" s="3"/>
    </row>
    <row r="352" spans="1:20" s="1" customFormat="1">
      <c r="A352"/>
      <c r="B352" s="161" t="s">
        <v>458</v>
      </c>
      <c r="D352" s="5"/>
      <c r="E352" s="5"/>
      <c r="F352" s="5"/>
      <c r="G352" s="5"/>
      <c r="H352" s="5"/>
      <c r="I352" s="6"/>
      <c r="J352" s="6"/>
      <c r="K352" s="6"/>
      <c r="L352" s="6"/>
      <c r="M352" s="6"/>
      <c r="N352" s="6"/>
      <c r="O352" s="6"/>
      <c r="P352" s="6"/>
      <c r="Q352" s="6"/>
      <c r="R352" s="6"/>
      <c r="S352" s="6"/>
      <c r="T352" s="3"/>
    </row>
    <row r="353" spans="1:20" s="1" customFormat="1">
      <c r="A353"/>
      <c r="B353" s="161"/>
      <c r="D353" s="5"/>
      <c r="E353" s="5"/>
      <c r="F353" s="5"/>
      <c r="G353" s="5"/>
      <c r="H353" s="5"/>
      <c r="I353" s="6"/>
      <c r="J353" s="6"/>
      <c r="K353" s="6"/>
      <c r="L353" s="6"/>
      <c r="M353" s="6"/>
      <c r="N353" s="6"/>
      <c r="O353" s="6"/>
      <c r="P353" s="6"/>
      <c r="Q353" s="6"/>
      <c r="R353" s="6"/>
      <c r="S353" s="6"/>
      <c r="T353" s="3"/>
    </row>
    <row r="354" spans="1:20" s="1" customFormat="1">
      <c r="A354"/>
      <c r="B354" s="161" t="s">
        <v>459</v>
      </c>
      <c r="D354" s="5"/>
      <c r="E354" s="5"/>
      <c r="F354" s="5"/>
      <c r="G354" s="5"/>
      <c r="H354" s="5"/>
      <c r="I354" s="6"/>
      <c r="J354" s="6"/>
      <c r="K354" s="6"/>
      <c r="L354" s="6"/>
      <c r="M354" s="6"/>
      <c r="N354" s="6"/>
      <c r="O354" s="6"/>
      <c r="P354" s="6"/>
      <c r="Q354" s="6"/>
      <c r="R354" s="6"/>
      <c r="S354" s="6"/>
      <c r="T354" s="3"/>
    </row>
    <row r="355" spans="1:20" s="1" customFormat="1">
      <c r="A355"/>
      <c r="B355" s="161"/>
      <c r="D355" s="5"/>
      <c r="E355" s="5"/>
      <c r="F355" s="5"/>
      <c r="G355" s="5"/>
      <c r="H355" s="5"/>
      <c r="I355" s="6"/>
      <c r="J355" s="6"/>
      <c r="K355" s="6"/>
      <c r="L355" s="6"/>
      <c r="M355" s="6"/>
      <c r="N355" s="6"/>
      <c r="O355" s="6"/>
      <c r="P355" s="6"/>
      <c r="Q355" s="6"/>
      <c r="R355" s="6"/>
      <c r="S355" s="6"/>
      <c r="T355" s="3"/>
    </row>
    <row r="356" spans="1:20" s="1" customFormat="1">
      <c r="A356"/>
      <c r="B356" s="161"/>
      <c r="D356" s="5"/>
      <c r="E356" s="5"/>
      <c r="F356" s="5"/>
      <c r="G356" s="5"/>
      <c r="H356" s="5"/>
      <c r="I356" t="s">
        <v>434</v>
      </c>
      <c r="J356"/>
      <c r="K356"/>
      <c r="L356"/>
      <c r="M356"/>
      <c r="N356"/>
      <c r="O356"/>
      <c r="P356"/>
      <c r="Q356"/>
      <c r="R356"/>
      <c r="S356"/>
      <c r="T356"/>
    </row>
    <row r="357" spans="1:20" s="1" customFormat="1">
      <c r="A357"/>
      <c r="B357" s="161"/>
      <c r="D357" s="5"/>
      <c r="E357" s="5"/>
      <c r="F357" s="5"/>
      <c r="G357" s="5"/>
      <c r="H357" s="5"/>
      <c r="I357" s="17"/>
      <c r="J357" s="191">
        <v>2018</v>
      </c>
      <c r="K357" s="191">
        <v>2019</v>
      </c>
      <c r="L357" s="191">
        <v>2020</v>
      </c>
      <c r="M357" s="191">
        <v>2021</v>
      </c>
      <c r="N357" s="191">
        <v>2022</v>
      </c>
      <c r="O357" s="191">
        <v>2023</v>
      </c>
      <c r="P357" s="191">
        <v>2024</v>
      </c>
      <c r="Q357" s="191">
        <v>2025</v>
      </c>
      <c r="R357" s="191">
        <v>2026</v>
      </c>
      <c r="S357" s="191">
        <v>2027</v>
      </c>
      <c r="T357" s="165">
        <v>2028</v>
      </c>
    </row>
    <row r="358" spans="1:20" s="1" customFormat="1">
      <c r="A358"/>
      <c r="B358" s="161"/>
      <c r="D358" s="5"/>
      <c r="E358" s="5"/>
      <c r="F358" s="5"/>
      <c r="G358" s="5"/>
      <c r="H358" s="5"/>
      <c r="I358" s="25" t="s">
        <v>455</v>
      </c>
      <c r="J358" s="177">
        <f>TotalMarket!B83</f>
        <v>0</v>
      </c>
      <c r="K358" s="177">
        <f>TotalMarket!C83</f>
        <v>0</v>
      </c>
      <c r="L358" s="177">
        <f>TotalMarket!D83</f>
        <v>0</v>
      </c>
      <c r="M358" s="177">
        <f>TotalMarket!E83</f>
        <v>0</v>
      </c>
      <c r="N358" s="177">
        <f>TotalMarket!F83</f>
        <v>0</v>
      </c>
      <c r="O358" s="177">
        <f>TotalMarket!G83</f>
        <v>0</v>
      </c>
      <c r="P358" s="177">
        <f>TotalMarket!H83</f>
        <v>0</v>
      </c>
      <c r="Q358" s="177">
        <f>TotalMarket!I83</f>
        <v>0</v>
      </c>
      <c r="R358" s="177">
        <f>TotalMarket!J83</f>
        <v>0</v>
      </c>
      <c r="S358" s="177">
        <f>TotalMarket!K83</f>
        <v>0</v>
      </c>
      <c r="T358" s="177">
        <f>TotalMarket!L83</f>
        <v>0</v>
      </c>
    </row>
    <row r="359" spans="1:20" s="1" customFormat="1">
      <c r="A359"/>
      <c r="B359" s="161"/>
      <c r="D359" s="5"/>
      <c r="E359" s="5"/>
      <c r="F359" s="5"/>
      <c r="G359" s="5"/>
      <c r="H359" s="5"/>
      <c r="I359" s="25" t="s">
        <v>123</v>
      </c>
      <c r="J359" s="28">
        <f>TotalMarket!B89</f>
        <v>0</v>
      </c>
      <c r="K359" s="28">
        <f>TotalMarket!C89</f>
        <v>0</v>
      </c>
      <c r="L359" s="28">
        <f>TotalMarket!D89</f>
        <v>0</v>
      </c>
      <c r="M359" s="28">
        <f>TotalMarket!E89</f>
        <v>0</v>
      </c>
      <c r="N359" s="28">
        <f>TotalMarket!F89</f>
        <v>0</v>
      </c>
      <c r="O359" s="28">
        <f>TotalMarket!G89</f>
        <v>0</v>
      </c>
      <c r="P359" s="28">
        <f>TotalMarket!H89</f>
        <v>0</v>
      </c>
      <c r="Q359" s="28">
        <f>TotalMarket!I89</f>
        <v>0</v>
      </c>
      <c r="R359" s="28">
        <f>TotalMarket!J89</f>
        <v>0</v>
      </c>
      <c r="S359" s="28">
        <f>TotalMarket!K89</f>
        <v>0</v>
      </c>
      <c r="T359" s="28">
        <f>TotalMarket!L89</f>
        <v>0</v>
      </c>
    </row>
    <row r="360" spans="1:20" s="1" customFormat="1">
      <c r="A360"/>
      <c r="B360" s="161"/>
      <c r="D360" s="5"/>
      <c r="E360" s="5"/>
      <c r="F360" s="5"/>
      <c r="G360" s="5"/>
      <c r="H360" s="5"/>
      <c r="I360" s="25" t="s">
        <v>456</v>
      </c>
      <c r="J360" s="28">
        <f>TotalMarket!B90</f>
        <v>0</v>
      </c>
      <c r="K360" s="28">
        <f>TotalMarket!C90</f>
        <v>0</v>
      </c>
      <c r="L360" s="28">
        <f>TotalMarket!D90</f>
        <v>0</v>
      </c>
      <c r="M360" s="28">
        <f>TotalMarket!E90</f>
        <v>0</v>
      </c>
      <c r="N360" s="28">
        <f>TotalMarket!F90</f>
        <v>0</v>
      </c>
      <c r="O360" s="28">
        <f>TotalMarket!G90</f>
        <v>0</v>
      </c>
      <c r="P360" s="28">
        <f>TotalMarket!H90</f>
        <v>0</v>
      </c>
      <c r="Q360" s="28">
        <f>TotalMarket!I90</f>
        <v>0</v>
      </c>
      <c r="R360" s="28">
        <f>TotalMarket!J90</f>
        <v>0</v>
      </c>
      <c r="S360" s="28">
        <f>TotalMarket!K90</f>
        <v>0</v>
      </c>
      <c r="T360" s="28">
        <f>TotalMarket!L90</f>
        <v>0</v>
      </c>
    </row>
    <row r="361" spans="1:20" s="1" customFormat="1">
      <c r="A361"/>
      <c r="B361" s="161"/>
      <c r="D361" s="5"/>
      <c r="E361" s="5"/>
      <c r="F361" s="5"/>
      <c r="G361" s="5"/>
      <c r="H361" s="5"/>
      <c r="I361" s="25" t="s">
        <v>457</v>
      </c>
      <c r="J361" s="28">
        <f>TotalMarket!B91</f>
        <v>0</v>
      </c>
      <c r="K361" s="28">
        <f>TotalMarket!C91</f>
        <v>0</v>
      </c>
      <c r="L361" s="28">
        <f>TotalMarket!D91</f>
        <v>0</v>
      </c>
      <c r="M361" s="28">
        <f>TotalMarket!E91</f>
        <v>0</v>
      </c>
      <c r="N361" s="28">
        <f>TotalMarket!F91</f>
        <v>0</v>
      </c>
      <c r="O361" s="28">
        <f>TotalMarket!G91</f>
        <v>0</v>
      </c>
      <c r="P361" s="28">
        <f>TotalMarket!H91</f>
        <v>0</v>
      </c>
      <c r="Q361" s="28">
        <f>TotalMarket!I91</f>
        <v>0</v>
      </c>
      <c r="R361" s="28">
        <f>TotalMarket!J91</f>
        <v>0</v>
      </c>
      <c r="S361" s="28">
        <f>TotalMarket!K91</f>
        <v>0</v>
      </c>
      <c r="T361" s="28">
        <f>TotalMarket!L91</f>
        <v>0</v>
      </c>
    </row>
    <row r="362" spans="1:20" s="1" customFormat="1">
      <c r="A362"/>
      <c r="B362" s="161"/>
      <c r="D362" s="5"/>
      <c r="E362" s="5"/>
      <c r="F362" s="5"/>
      <c r="G362" s="5"/>
      <c r="H362" s="5"/>
      <c r="I362" s="25"/>
      <c r="J362" s="28"/>
      <c r="K362" s="28"/>
      <c r="L362" s="28"/>
      <c r="M362" s="28"/>
      <c r="N362" s="28"/>
      <c r="O362" s="28"/>
      <c r="P362" s="28"/>
      <c r="Q362" s="28"/>
      <c r="R362" s="28"/>
      <c r="S362" s="28"/>
      <c r="T362" s="28"/>
    </row>
    <row r="363" spans="1:20" s="1" customFormat="1">
      <c r="A363"/>
      <c r="B363" s="161"/>
      <c r="D363" s="5"/>
      <c r="E363" s="5"/>
      <c r="F363" s="5"/>
      <c r="G363" s="5"/>
      <c r="H363" s="5"/>
      <c r="I363" s="25"/>
      <c r="J363" s="92"/>
      <c r="K363" s="92"/>
      <c r="L363" s="92"/>
      <c r="M363" s="92"/>
      <c r="N363" s="92"/>
      <c r="O363" s="92"/>
      <c r="P363" s="92"/>
      <c r="Q363" s="92"/>
      <c r="R363" s="92"/>
      <c r="S363" s="92"/>
      <c r="T363" s="92"/>
    </row>
    <row r="364" spans="1:20" s="1" customFormat="1">
      <c r="A364"/>
      <c r="B364" s="161"/>
      <c r="D364" s="5"/>
      <c r="E364" s="5"/>
      <c r="F364" s="5"/>
      <c r="G364" s="5"/>
      <c r="H364" s="5"/>
      <c r="I364" s="6"/>
      <c r="J364" s="6"/>
      <c r="K364" s="6"/>
      <c r="L364" s="6"/>
      <c r="M364" s="6"/>
      <c r="N364" s="6"/>
      <c r="O364" s="6"/>
      <c r="P364" s="6"/>
      <c r="Q364" s="6"/>
      <c r="R364" s="6"/>
      <c r="S364" s="6"/>
      <c r="T364" s="3"/>
    </row>
    <row r="365" spans="1:20" s="1" customFormat="1">
      <c r="A365"/>
      <c r="B365" s="161"/>
      <c r="D365" s="5"/>
      <c r="E365" s="5"/>
      <c r="F365" s="5"/>
      <c r="G365" s="5"/>
      <c r="H365" s="5"/>
      <c r="I365" s="6"/>
      <c r="J365" s="6"/>
      <c r="K365" s="6"/>
      <c r="L365" s="6"/>
      <c r="M365" s="6"/>
      <c r="N365" s="6"/>
      <c r="O365" s="6"/>
      <c r="P365" s="6"/>
      <c r="Q365" s="6"/>
      <c r="R365" s="6"/>
      <c r="S365" s="6"/>
      <c r="T365" s="3"/>
    </row>
    <row r="366" spans="1:20" s="1" customFormat="1">
      <c r="A366"/>
      <c r="B366" s="161"/>
      <c r="D366" s="5"/>
      <c r="E366" s="5"/>
      <c r="F366" s="5"/>
      <c r="G366" s="5"/>
      <c r="H366" s="5"/>
      <c r="I366" s="6"/>
      <c r="J366" s="6"/>
      <c r="K366" s="6"/>
      <c r="L366" s="6"/>
      <c r="M366" s="6"/>
      <c r="N366" s="6"/>
      <c r="O366" s="6"/>
      <c r="P366" s="6"/>
      <c r="Q366" s="6"/>
      <c r="R366" s="6"/>
      <c r="S366" s="6"/>
      <c r="T366" s="3"/>
    </row>
    <row r="367" spans="1:20" s="1" customFormat="1">
      <c r="A367"/>
      <c r="B367" s="161"/>
      <c r="D367" s="5"/>
      <c r="E367" s="5"/>
      <c r="F367" s="5"/>
      <c r="G367" s="5"/>
      <c r="H367" s="5"/>
      <c r="I367" s="6"/>
      <c r="J367" s="6"/>
      <c r="K367" s="6"/>
      <c r="L367" s="6"/>
      <c r="M367" s="6"/>
      <c r="N367" s="6"/>
      <c r="O367" s="6"/>
      <c r="P367" s="6"/>
      <c r="Q367" s="6"/>
      <c r="R367" s="6"/>
      <c r="S367" s="6"/>
      <c r="T367" s="3"/>
    </row>
    <row r="368" spans="1:20" s="1" customFormat="1">
      <c r="A368"/>
      <c r="B368" s="161"/>
      <c r="D368" s="5"/>
      <c r="E368" s="5"/>
      <c r="F368" s="5"/>
      <c r="G368" s="5"/>
      <c r="H368" s="5"/>
      <c r="I368" s="6"/>
      <c r="J368" s="6"/>
      <c r="K368" s="6"/>
      <c r="L368" s="6"/>
      <c r="M368" s="6"/>
      <c r="N368" s="6"/>
      <c r="O368" s="6"/>
      <c r="P368" s="6"/>
      <c r="Q368" s="6"/>
      <c r="R368" s="6"/>
      <c r="S368" s="6"/>
      <c r="T368" s="3"/>
    </row>
    <row r="369" spans="1:20" s="1" customFormat="1">
      <c r="A369"/>
      <c r="B369" s="161"/>
      <c r="D369" s="5"/>
      <c r="E369" s="5"/>
      <c r="F369" s="5"/>
      <c r="G369" s="5"/>
      <c r="H369" s="5"/>
      <c r="I369" s="6"/>
      <c r="J369" s="6"/>
      <c r="K369" s="6"/>
      <c r="L369" s="6"/>
      <c r="M369" s="6"/>
      <c r="N369" s="6"/>
      <c r="O369" s="6"/>
      <c r="P369" s="6"/>
      <c r="Q369" s="6"/>
      <c r="R369" s="6"/>
      <c r="S369" s="6"/>
      <c r="T369" s="3"/>
    </row>
    <row r="370" spans="1:20" s="1" customFormat="1">
      <c r="A370"/>
      <c r="B370" s="161" t="s">
        <v>460</v>
      </c>
      <c r="D370" s="5"/>
      <c r="E370" s="5"/>
      <c r="F370" s="5"/>
      <c r="G370" s="5"/>
      <c r="H370" s="5"/>
      <c r="I370" s="6"/>
      <c r="J370" s="6"/>
      <c r="K370" s="6"/>
      <c r="L370" s="6"/>
      <c r="M370" s="6"/>
      <c r="N370" s="6"/>
      <c r="O370" s="6"/>
      <c r="P370" s="6"/>
      <c r="Q370" s="6"/>
      <c r="R370" s="6"/>
      <c r="S370" s="6"/>
      <c r="T370" s="3"/>
    </row>
    <row r="371" spans="1:20" s="1" customFormat="1">
      <c r="A371"/>
      <c r="B371" s="161"/>
      <c r="D371" s="5"/>
      <c r="E371" s="5"/>
      <c r="F371" s="5"/>
      <c r="G371" s="5"/>
      <c r="H371" s="5"/>
      <c r="I371" s="6"/>
      <c r="J371" s="6"/>
      <c r="K371" s="6"/>
      <c r="L371" s="6"/>
      <c r="M371" s="6"/>
      <c r="N371" s="6"/>
      <c r="O371" s="6"/>
      <c r="P371" s="6"/>
      <c r="Q371" s="6"/>
      <c r="R371" s="6"/>
      <c r="S371" s="6"/>
      <c r="T371" s="3"/>
    </row>
    <row r="372" spans="1:20" s="1" customFormat="1">
      <c r="A372"/>
      <c r="B372" s="161"/>
      <c r="D372" s="5"/>
      <c r="E372" s="5"/>
      <c r="F372" s="5"/>
      <c r="G372" s="5"/>
      <c r="H372" t="s">
        <v>434</v>
      </c>
      <c r="I372"/>
      <c r="J372"/>
      <c r="K372"/>
      <c r="L372"/>
      <c r="M372"/>
      <c r="N372"/>
      <c r="O372"/>
      <c r="P372"/>
      <c r="Q372"/>
      <c r="R372"/>
      <c r="S372"/>
    </row>
    <row r="373" spans="1:20" s="1" customFormat="1">
      <c r="A373"/>
      <c r="B373" s="161"/>
      <c r="D373" s="5"/>
      <c r="E373" s="5"/>
      <c r="F373" s="5"/>
      <c r="G373" s="5"/>
      <c r="H373" s="17"/>
      <c r="I373" s="191">
        <v>2018</v>
      </c>
      <c r="J373" s="191">
        <v>2019</v>
      </c>
      <c r="K373" s="191">
        <v>2020</v>
      </c>
      <c r="L373" s="191">
        <v>2021</v>
      </c>
      <c r="M373" s="191">
        <v>2022</v>
      </c>
      <c r="N373" s="191">
        <v>2023</v>
      </c>
      <c r="O373" s="191">
        <v>2024</v>
      </c>
      <c r="P373" s="191">
        <v>2025</v>
      </c>
      <c r="Q373" s="191">
        <v>2026</v>
      </c>
      <c r="R373" s="191">
        <v>2027</v>
      </c>
      <c r="S373" s="165">
        <v>2028</v>
      </c>
    </row>
    <row r="374" spans="1:20" s="1" customFormat="1">
      <c r="A374"/>
      <c r="B374" s="161"/>
      <c r="D374" s="5"/>
      <c r="E374" s="5"/>
      <c r="F374" s="5"/>
      <c r="G374" s="5"/>
      <c r="H374" s="25" t="s">
        <v>417</v>
      </c>
      <c r="I374" s="177">
        <f>CloudTotal!B123</f>
        <v>12323125.12888656</v>
      </c>
      <c r="J374" s="177">
        <f>CloudTotal!C123</f>
        <v>12333900.805040129</v>
      </c>
      <c r="K374" s="177">
        <f>CloudTotal!D123</f>
        <v>0</v>
      </c>
      <c r="L374" s="177">
        <f>CloudTotal!E123</f>
        <v>0</v>
      </c>
      <c r="M374" s="177">
        <f>CloudTotal!F123</f>
        <v>0</v>
      </c>
      <c r="N374" s="177">
        <f>CloudTotal!G123</f>
        <v>0</v>
      </c>
      <c r="O374" s="177">
        <f>CloudTotal!H123</f>
        <v>0</v>
      </c>
      <c r="P374" s="177">
        <f>CloudTotal!I123</f>
        <v>0</v>
      </c>
      <c r="Q374" s="177">
        <f>CloudTotal!J123</f>
        <v>0</v>
      </c>
      <c r="R374" s="177">
        <f>CloudTotal!K123</f>
        <v>0</v>
      </c>
      <c r="S374" s="177">
        <f>CloudTotal!L123</f>
        <v>0</v>
      </c>
    </row>
    <row r="375" spans="1:20" s="1" customFormat="1">
      <c r="A375"/>
      <c r="B375" s="161"/>
      <c r="D375" s="5"/>
      <c r="E375" s="5"/>
      <c r="F375" s="5"/>
      <c r="G375" s="5"/>
      <c r="H375" s="25" t="s">
        <v>221</v>
      </c>
      <c r="I375" s="177">
        <f>Enterprise!B112</f>
        <v>24790440.800063998</v>
      </c>
      <c r="J375" s="177">
        <f>Enterprise!C112</f>
        <v>24989286.265234593</v>
      </c>
      <c r="K375" s="177">
        <f>Enterprise!D112</f>
        <v>0</v>
      </c>
      <c r="L375" s="177">
        <f>Enterprise!E112</f>
        <v>0</v>
      </c>
      <c r="M375" s="177">
        <f>Enterprise!F112</f>
        <v>0</v>
      </c>
      <c r="N375" s="177">
        <f>Enterprise!G112</f>
        <v>0</v>
      </c>
      <c r="O375" s="177">
        <f>Enterprise!H112</f>
        <v>0</v>
      </c>
      <c r="P375" s="177">
        <f>Enterprise!I112</f>
        <v>0</v>
      </c>
      <c r="Q375" s="177">
        <f>Enterprise!J112</f>
        <v>0</v>
      </c>
      <c r="R375" s="177">
        <f>Enterprise!K112</f>
        <v>0</v>
      </c>
      <c r="S375" s="177">
        <f>Enterprise!L112</f>
        <v>0</v>
      </c>
    </row>
    <row r="376" spans="1:20" s="1" customFormat="1">
      <c r="A376"/>
      <c r="B376" s="161"/>
      <c r="D376" s="5"/>
      <c r="E376" s="5"/>
      <c r="F376" s="5"/>
      <c r="G376" s="5"/>
      <c r="H376" s="25" t="s">
        <v>220</v>
      </c>
      <c r="I376" s="177">
        <f>Telecom!B112</f>
        <v>5876521.6602941174</v>
      </c>
      <c r="J376" s="177">
        <f>Telecom!C112</f>
        <v>4885119.4472403741</v>
      </c>
      <c r="K376" s="177">
        <f>Telecom!D112</f>
        <v>0</v>
      </c>
      <c r="L376" s="177">
        <f>Telecom!E112</f>
        <v>0</v>
      </c>
      <c r="M376" s="177">
        <f>Telecom!F112</f>
        <v>0</v>
      </c>
      <c r="N376" s="177">
        <f>Telecom!G112</f>
        <v>0</v>
      </c>
      <c r="O376" s="177">
        <f>Telecom!H112</f>
        <v>0</v>
      </c>
      <c r="P376" s="177">
        <f>Telecom!I112</f>
        <v>0</v>
      </c>
      <c r="Q376" s="177">
        <f>Telecom!J112</f>
        <v>0</v>
      </c>
      <c r="R376" s="177">
        <f>Telecom!K112</f>
        <v>0</v>
      </c>
      <c r="S376" s="177">
        <f>Telecom!L112</f>
        <v>0</v>
      </c>
    </row>
    <row r="377" spans="1:20" s="1" customFormat="1">
      <c r="A377"/>
      <c r="B377" s="161"/>
      <c r="D377" s="5"/>
      <c r="E377" s="5"/>
      <c r="F377" s="5"/>
      <c r="G377" s="5"/>
      <c r="H377" s="25" t="s">
        <v>377</v>
      </c>
      <c r="I377" s="177">
        <f>I376+I375+I374</f>
        <v>42990087.589244671</v>
      </c>
      <c r="J377" s="177">
        <f t="shared" ref="J377:S377" si="6">J376+J375+J374</f>
        <v>42208306.517515093</v>
      </c>
      <c r="K377" s="177">
        <f t="shared" si="6"/>
        <v>0</v>
      </c>
      <c r="L377" s="177">
        <f t="shared" si="6"/>
        <v>0</v>
      </c>
      <c r="M377" s="177">
        <f t="shared" si="6"/>
        <v>0</v>
      </c>
      <c r="N377" s="177">
        <f t="shared" si="6"/>
        <v>0</v>
      </c>
      <c r="O377" s="177">
        <f t="shared" si="6"/>
        <v>0</v>
      </c>
      <c r="P377" s="177">
        <f t="shared" si="6"/>
        <v>0</v>
      </c>
      <c r="Q377" s="177">
        <f t="shared" si="6"/>
        <v>0</v>
      </c>
      <c r="R377" s="177">
        <f t="shared" si="6"/>
        <v>0</v>
      </c>
      <c r="S377" s="177">
        <f t="shared" si="6"/>
        <v>0</v>
      </c>
    </row>
    <row r="378" spans="1:20" s="1" customFormat="1">
      <c r="A378"/>
      <c r="B378" s="161"/>
      <c r="D378" s="5"/>
      <c r="E378" s="5"/>
      <c r="F378" s="5"/>
      <c r="G378" s="5"/>
      <c r="H378" s="48"/>
      <c r="I378" s="201"/>
      <c r="J378" s="201"/>
      <c r="K378" s="201"/>
      <c r="L378" s="201"/>
      <c r="M378" s="201"/>
      <c r="N378" s="201"/>
      <c r="O378" s="201"/>
      <c r="P378" s="201"/>
      <c r="Q378" s="201"/>
      <c r="R378" s="201"/>
      <c r="S378" s="201"/>
    </row>
    <row r="379" spans="1:20" s="1" customFormat="1">
      <c r="A379"/>
      <c r="B379" s="161"/>
      <c r="D379" s="5"/>
      <c r="E379" s="5"/>
      <c r="F379" s="5"/>
      <c r="G379" s="5"/>
      <c r="H379" s="5"/>
      <c r="I379" s="6"/>
      <c r="J379" s="6"/>
      <c r="K379" s="6"/>
      <c r="L379" s="6"/>
      <c r="M379" s="6"/>
      <c r="N379" s="6"/>
      <c r="O379" s="6"/>
      <c r="P379" s="6"/>
      <c r="Q379" s="6"/>
      <c r="R379" s="6"/>
      <c r="S379" s="6"/>
      <c r="T379" s="3"/>
    </row>
    <row r="380" spans="1:20" s="1" customFormat="1">
      <c r="A380"/>
      <c r="B380" s="161"/>
      <c r="D380" s="5"/>
      <c r="E380" s="5"/>
      <c r="F380" s="5"/>
      <c r="G380" s="5"/>
      <c r="H380" s="5"/>
      <c r="I380" s="6"/>
      <c r="J380" s="6"/>
      <c r="K380" s="6"/>
      <c r="L380" s="6"/>
      <c r="M380" s="6"/>
      <c r="N380" s="6"/>
      <c r="O380" s="6"/>
      <c r="P380" s="6"/>
      <c r="Q380" s="6"/>
      <c r="R380" s="6"/>
      <c r="S380" s="6"/>
      <c r="T380" s="3"/>
    </row>
    <row r="381" spans="1:20" s="1" customFormat="1">
      <c r="A381"/>
      <c r="B381" s="161"/>
      <c r="D381" s="5"/>
      <c r="E381" s="5"/>
      <c r="F381" s="5"/>
      <c r="G381" s="5"/>
      <c r="H381" s="5"/>
      <c r="I381" s="6"/>
      <c r="J381" s="6"/>
      <c r="K381" s="6"/>
      <c r="L381" s="6"/>
      <c r="M381" s="6"/>
      <c r="N381" s="6"/>
      <c r="O381" s="6"/>
      <c r="P381" s="6"/>
      <c r="Q381" s="6"/>
      <c r="R381" s="6"/>
      <c r="S381" s="6"/>
      <c r="T381" s="3"/>
    </row>
    <row r="382" spans="1:20" s="1" customFormat="1">
      <c r="A382"/>
      <c r="B382" s="161"/>
      <c r="D382" s="5"/>
      <c r="E382" s="5"/>
      <c r="F382" s="5"/>
      <c r="G382" s="5"/>
      <c r="H382" s="5"/>
      <c r="I382" s="6"/>
      <c r="J382" s="6"/>
      <c r="K382" s="6"/>
      <c r="L382" s="6"/>
      <c r="M382" s="6"/>
      <c r="N382" s="6"/>
      <c r="O382" s="6"/>
      <c r="P382" s="6"/>
      <c r="Q382" s="6"/>
      <c r="R382" s="6"/>
      <c r="S382" s="6"/>
      <c r="T382" s="3"/>
    </row>
    <row r="383" spans="1:20" s="1" customFormat="1">
      <c r="A383"/>
      <c r="B383" s="161"/>
      <c r="D383" s="5"/>
      <c r="E383" s="5"/>
      <c r="F383" s="5"/>
      <c r="G383" s="5"/>
      <c r="H383" s="5"/>
      <c r="I383" s="6"/>
      <c r="J383" s="6"/>
      <c r="K383" s="6"/>
      <c r="L383" s="6"/>
      <c r="M383" s="6"/>
      <c r="N383" s="6"/>
      <c r="O383" s="6"/>
      <c r="P383" s="6"/>
      <c r="Q383" s="6"/>
      <c r="R383" s="6"/>
      <c r="S383" s="6"/>
      <c r="T383" s="3"/>
    </row>
    <row r="384" spans="1:20" s="1" customFormat="1">
      <c r="A384"/>
      <c r="B384" s="161"/>
      <c r="D384" s="5"/>
      <c r="E384" s="5"/>
      <c r="F384" s="5"/>
      <c r="G384" s="5"/>
      <c r="H384" s="5"/>
      <c r="I384" s="6"/>
      <c r="J384" s="6"/>
      <c r="K384" s="6"/>
      <c r="L384" s="6"/>
      <c r="M384" s="6"/>
      <c r="N384" s="6"/>
      <c r="O384" s="6"/>
      <c r="P384" s="6"/>
      <c r="Q384" s="6"/>
      <c r="R384" s="6"/>
      <c r="S384" s="6"/>
      <c r="T384" s="3"/>
    </row>
    <row r="385" spans="1:20" s="1" customFormat="1">
      <c r="A385"/>
      <c r="B385" s="161"/>
      <c r="D385" s="5"/>
      <c r="E385" s="5"/>
      <c r="F385" s="5"/>
      <c r="G385" s="5"/>
      <c r="H385" s="5"/>
      <c r="I385" s="6"/>
      <c r="J385" s="6"/>
      <c r="K385" s="6"/>
      <c r="L385" s="6"/>
      <c r="M385" s="6"/>
      <c r="N385" s="6"/>
      <c r="O385" s="6"/>
      <c r="P385" s="6"/>
      <c r="Q385" s="6"/>
      <c r="R385" s="6"/>
      <c r="S385" s="6"/>
      <c r="T385" s="3"/>
    </row>
    <row r="386" spans="1:20" s="1" customFormat="1">
      <c r="A386"/>
      <c r="B386" s="161" t="s">
        <v>461</v>
      </c>
      <c r="D386" s="5"/>
      <c r="E386" s="5"/>
      <c r="F386" s="5"/>
      <c r="G386" s="5"/>
      <c r="H386" s="5"/>
      <c r="I386" s="6"/>
      <c r="J386" s="6"/>
      <c r="K386" s="6"/>
      <c r="L386" s="6"/>
      <c r="M386" s="6"/>
      <c r="N386" s="6"/>
      <c r="O386" s="6"/>
      <c r="P386" s="6"/>
      <c r="Q386" s="6"/>
      <c r="R386" s="6"/>
      <c r="S386" s="6"/>
      <c r="T386" s="3"/>
    </row>
    <row r="387" spans="1:20" s="1" customFormat="1">
      <c r="A387"/>
      <c r="D387" s="5"/>
      <c r="E387" s="5"/>
      <c r="F387" s="5"/>
      <c r="G387" s="5"/>
      <c r="H387" s="5"/>
      <c r="I387" s="192"/>
      <c r="J387" s="193">
        <v>2016</v>
      </c>
      <c r="K387" s="193">
        <v>2022</v>
      </c>
      <c r="L387" s="6"/>
      <c r="M387" s="6"/>
      <c r="N387" s="6"/>
      <c r="O387" s="6"/>
      <c r="P387" s="6"/>
      <c r="Q387" s="6"/>
      <c r="R387" s="6"/>
      <c r="S387" s="6"/>
      <c r="T387" s="3"/>
    </row>
    <row r="388" spans="1:20" s="1" customFormat="1">
      <c r="A388"/>
      <c r="D388" s="5"/>
      <c r="E388" s="5"/>
      <c r="F388" s="5"/>
      <c r="G388" s="5"/>
      <c r="H388" s="5"/>
      <c r="I388" s="192" t="s">
        <v>417</v>
      </c>
      <c r="J388" s="194">
        <v>0.42</v>
      </c>
      <c r="K388" s="194" t="e">
        <f>CloudTotal!Q123/TotalMarket!AB137</f>
        <v>#DIV/0!</v>
      </c>
      <c r="L388" s="6"/>
      <c r="M388" s="6"/>
      <c r="N388" s="6"/>
      <c r="O388" s="6"/>
      <c r="P388" s="6"/>
      <c r="Q388" s="6"/>
      <c r="R388" s="6"/>
      <c r="S388" s="6"/>
      <c r="T388" s="3"/>
    </row>
    <row r="389" spans="1:20" s="1" customFormat="1">
      <c r="A389"/>
      <c r="D389" s="5"/>
      <c r="E389" s="5"/>
      <c r="F389" s="5"/>
      <c r="G389" s="5"/>
      <c r="H389" s="5"/>
      <c r="I389" s="192" t="s">
        <v>221</v>
      </c>
      <c r="J389" s="194">
        <v>0.22</v>
      </c>
      <c r="K389" s="194" t="e">
        <f>Enterprise!Q123/TotalMarket!AB137</f>
        <v>#DIV/0!</v>
      </c>
      <c r="L389" s="6"/>
      <c r="M389" s="6"/>
      <c r="N389" s="6"/>
      <c r="O389" s="6"/>
      <c r="P389" s="6"/>
      <c r="Q389" s="6"/>
      <c r="R389" s="6"/>
      <c r="S389" s="6"/>
      <c r="T389" s="3"/>
    </row>
    <row r="390" spans="1:20" s="1" customFormat="1">
      <c r="A390"/>
      <c r="D390" s="5"/>
      <c r="E390" s="5"/>
      <c r="F390" s="5"/>
      <c r="G390" s="5"/>
      <c r="H390" s="5"/>
      <c r="I390" s="192" t="s">
        <v>220</v>
      </c>
      <c r="J390" s="194">
        <v>0.36</v>
      </c>
      <c r="K390" s="194" t="e">
        <f>Telecom!Q112/TotalMarket!AB137</f>
        <v>#DIV/0!</v>
      </c>
      <c r="L390" s="6"/>
      <c r="M390" s="6"/>
      <c r="N390" s="6"/>
      <c r="O390" s="6"/>
      <c r="P390" s="6"/>
      <c r="Q390" s="6"/>
      <c r="R390" s="6"/>
      <c r="S390" s="6"/>
      <c r="T390" s="3"/>
    </row>
    <row r="391" spans="1:20" s="1" customFormat="1">
      <c r="A391"/>
      <c r="D391" s="5"/>
      <c r="E391" s="5"/>
      <c r="F391" s="5"/>
      <c r="G391" s="5"/>
      <c r="H391" s="5"/>
      <c r="I391" s="192"/>
      <c r="J391" s="171"/>
      <c r="K391" s="171"/>
      <c r="L391" s="6"/>
      <c r="M391" s="6"/>
      <c r="N391" s="6"/>
      <c r="O391" s="6"/>
      <c r="P391" s="6"/>
      <c r="Q391" s="6"/>
      <c r="R391" s="6"/>
      <c r="S391" s="6"/>
      <c r="T391" s="3"/>
    </row>
    <row r="392" spans="1:20" s="1" customFormat="1">
      <c r="A392"/>
      <c r="D392" s="5"/>
      <c r="E392" s="5"/>
      <c r="F392" s="5"/>
      <c r="G392" s="5"/>
      <c r="H392" s="5"/>
      <c r="I392" s="6"/>
      <c r="J392" s="6"/>
      <c r="K392" s="6"/>
      <c r="L392" s="6"/>
      <c r="M392" s="6"/>
      <c r="N392" s="6"/>
      <c r="O392" s="6"/>
      <c r="P392" s="6"/>
      <c r="Q392" s="6"/>
      <c r="R392" s="6"/>
      <c r="S392" s="6"/>
      <c r="T392" s="3"/>
    </row>
    <row r="393" spans="1:20" s="1" customFormat="1">
      <c r="A393"/>
      <c r="D393" s="5"/>
      <c r="E393" s="5"/>
      <c r="F393" s="5"/>
      <c r="G393" s="5"/>
      <c r="H393" s="5"/>
      <c r="I393" s="6"/>
      <c r="J393" s="6"/>
      <c r="K393" s="6"/>
      <c r="L393" s="6"/>
      <c r="M393" s="6"/>
      <c r="N393" s="6"/>
      <c r="O393" s="6"/>
      <c r="P393" s="6"/>
      <c r="Q393" s="6"/>
      <c r="R393" s="6"/>
      <c r="S393" s="6"/>
      <c r="T393" s="3"/>
    </row>
    <row r="394" spans="1:20" s="1" customFormat="1">
      <c r="A394"/>
      <c r="D394" s="5"/>
      <c r="E394" s="5"/>
      <c r="F394" s="5"/>
      <c r="G394" s="5"/>
      <c r="H394" s="5"/>
      <c r="I394" s="6"/>
      <c r="J394" s="6"/>
      <c r="K394" s="6"/>
      <c r="L394" s="6"/>
      <c r="M394" s="6"/>
      <c r="N394" s="6"/>
      <c r="O394" s="6"/>
      <c r="P394" s="6"/>
      <c r="Q394" s="6"/>
      <c r="R394" s="6"/>
      <c r="S394" s="6"/>
      <c r="T394" s="3"/>
    </row>
    <row r="395" spans="1:20" s="1" customFormat="1">
      <c r="A395"/>
      <c r="D395" s="5"/>
      <c r="E395" s="5"/>
      <c r="F395" s="5"/>
      <c r="G395" s="5"/>
      <c r="H395" s="5"/>
      <c r="I395" s="6"/>
      <c r="J395" s="6"/>
      <c r="K395" s="6"/>
      <c r="L395" s="6"/>
      <c r="M395" s="6"/>
      <c r="N395" s="6"/>
      <c r="O395" s="6"/>
      <c r="P395" s="6"/>
      <c r="Q395" s="6"/>
      <c r="R395" s="6"/>
      <c r="S395" s="6"/>
      <c r="T395" s="3"/>
    </row>
    <row r="396" spans="1:20" s="1" customFormat="1">
      <c r="A396"/>
      <c r="D396" s="5"/>
      <c r="E396" s="5"/>
      <c r="F396" s="5"/>
      <c r="G396" s="5"/>
      <c r="H396" s="5"/>
      <c r="I396" s="6"/>
      <c r="J396" s="6"/>
      <c r="K396" s="6"/>
      <c r="L396" s="6"/>
      <c r="M396" s="6"/>
      <c r="N396" s="6"/>
      <c r="O396" s="6"/>
      <c r="P396" s="6"/>
      <c r="Q396" s="6"/>
      <c r="R396" s="6"/>
      <c r="S396" s="6"/>
      <c r="T396" s="3"/>
    </row>
    <row r="397" spans="1:20">
      <c r="B397" s="161"/>
    </row>
    <row r="398" spans="1:20">
      <c r="B398" s="161" t="s">
        <v>432</v>
      </c>
    </row>
    <row r="399" spans="1:20">
      <c r="B399" s="161"/>
    </row>
    <row r="400" spans="1:20">
      <c r="B400" s="161"/>
      <c r="H400" t="s">
        <v>433</v>
      </c>
    </row>
    <row r="401" spans="2:19">
      <c r="B401" s="161"/>
      <c r="H401" t="s">
        <v>434</v>
      </c>
    </row>
    <row r="402" spans="2:19">
      <c r="B402" s="161"/>
      <c r="H402" s="17"/>
      <c r="I402" s="191">
        <v>2018</v>
      </c>
      <c r="J402" s="191">
        <v>2019</v>
      </c>
      <c r="K402" s="191">
        <v>2020</v>
      </c>
      <c r="L402" s="191">
        <v>2021</v>
      </c>
      <c r="M402" s="191">
        <v>2022</v>
      </c>
      <c r="N402" s="191">
        <v>2023</v>
      </c>
      <c r="O402" s="191">
        <v>2024</v>
      </c>
      <c r="P402" s="191">
        <v>2025</v>
      </c>
      <c r="Q402" s="191">
        <v>2026</v>
      </c>
      <c r="R402" s="191">
        <v>2027</v>
      </c>
      <c r="S402" s="165">
        <v>2028</v>
      </c>
    </row>
    <row r="403" spans="2:19">
      <c r="B403" s="161"/>
      <c r="H403" s="25" t="s">
        <v>205</v>
      </c>
      <c r="I403" s="92">
        <f>CloudTotal!M118-CloudAllOther!M103</f>
        <v>1390.1043081527146</v>
      </c>
      <c r="J403" s="92">
        <f>CloudTotal!N118-CloudAllOther!N103</f>
        <v>1014.321070777733</v>
      </c>
      <c r="K403" s="92">
        <f>CloudTotal!O118-CloudAllOther!O103</f>
        <v>0</v>
      </c>
      <c r="L403" s="92">
        <f>CloudTotal!P118-CloudAllOther!P103</f>
        <v>0</v>
      </c>
      <c r="M403" s="92">
        <f>CloudTotal!Q118-CloudAllOther!Q103</f>
        <v>0</v>
      </c>
      <c r="N403" s="92">
        <f>CloudTotal!R118-CloudAllOther!R103</f>
        <v>0</v>
      </c>
      <c r="O403" s="92">
        <f>CloudTotal!S118-CloudAllOther!S103</f>
        <v>0</v>
      </c>
      <c r="P403" s="92">
        <f>CloudTotal!T118-CloudAllOther!T103</f>
        <v>0</v>
      </c>
      <c r="Q403" s="92">
        <f>CloudTotal!U118-CloudAllOther!U103</f>
        <v>0</v>
      </c>
      <c r="R403" s="92">
        <f>CloudTotal!V118-CloudAllOther!V103</f>
        <v>0</v>
      </c>
      <c r="S403" s="179">
        <f>CloudTotal!W118-CloudAllOther!W103</f>
        <v>0</v>
      </c>
    </row>
    <row r="404" spans="2:19">
      <c r="B404" s="161"/>
      <c r="H404" s="25" t="s">
        <v>206</v>
      </c>
      <c r="I404" s="92">
        <f>CloudTotal!M119-CloudAllOther!M104</f>
        <v>1.1000000000000001</v>
      </c>
      <c r="J404" s="92">
        <f>CloudTotal!N119-CloudAllOther!N104</f>
        <v>5.7945000000000002</v>
      </c>
      <c r="K404" s="92">
        <f>CloudTotal!O119-CloudAllOther!O104</f>
        <v>0</v>
      </c>
      <c r="L404" s="92">
        <f>CloudTotal!P119-CloudAllOther!P104</f>
        <v>0</v>
      </c>
      <c r="M404" s="92">
        <f>CloudTotal!Q119-CloudAllOther!Q104</f>
        <v>0</v>
      </c>
      <c r="N404" s="92">
        <f>CloudTotal!R119-CloudAllOther!R104</f>
        <v>0</v>
      </c>
      <c r="O404" s="92">
        <f>CloudTotal!S119-CloudAllOther!S104</f>
        <v>0</v>
      </c>
      <c r="P404" s="92">
        <f>CloudTotal!T119-CloudAllOther!T104</f>
        <v>0</v>
      </c>
      <c r="Q404" s="92">
        <f>CloudTotal!U119-CloudAllOther!U104</f>
        <v>0</v>
      </c>
      <c r="R404" s="92">
        <f>CloudTotal!V119-CloudAllOther!V104</f>
        <v>0</v>
      </c>
      <c r="S404" s="179">
        <f>CloudTotal!W119-CloudAllOther!W104</f>
        <v>0</v>
      </c>
    </row>
    <row r="405" spans="2:19">
      <c r="B405" s="161"/>
      <c r="H405" s="25" t="s">
        <v>207</v>
      </c>
      <c r="I405" s="92">
        <f>CloudTotal!M120-CloudAllOther!M105</f>
        <v>42.012</v>
      </c>
      <c r="J405" s="92">
        <f>CloudTotal!N120-CloudAllOther!N105</f>
        <v>114.30197576522988</v>
      </c>
      <c r="K405" s="92">
        <f>CloudTotal!O120-CloudAllOther!O105</f>
        <v>0</v>
      </c>
      <c r="L405" s="92">
        <f>CloudTotal!P120-CloudAllOther!P105</f>
        <v>0</v>
      </c>
      <c r="M405" s="92">
        <f>CloudTotal!Q120-CloudAllOther!Q105</f>
        <v>0</v>
      </c>
      <c r="N405" s="92">
        <f>CloudTotal!R120-CloudAllOther!R105</f>
        <v>0</v>
      </c>
      <c r="O405" s="92">
        <f>CloudTotal!S120-CloudAllOther!S105</f>
        <v>0</v>
      </c>
      <c r="P405" s="92">
        <f>CloudTotal!T120-CloudAllOther!T105</f>
        <v>0</v>
      </c>
      <c r="Q405" s="92">
        <f>CloudTotal!U120-CloudAllOther!U105</f>
        <v>0</v>
      </c>
      <c r="R405" s="92">
        <f>CloudTotal!V120-CloudAllOther!V105</f>
        <v>0</v>
      </c>
      <c r="S405" s="179">
        <f>CloudTotal!W120-CloudAllOther!W105</f>
        <v>0</v>
      </c>
    </row>
    <row r="406" spans="2:19">
      <c r="B406" s="161"/>
      <c r="H406" s="25" t="s">
        <v>209</v>
      </c>
      <c r="I406" s="92">
        <f>CloudTotal!M121-CloudAllOther!M106</f>
        <v>0</v>
      </c>
      <c r="J406" s="92">
        <f>CloudTotal!N121-CloudAllOther!N106</f>
        <v>0</v>
      </c>
      <c r="K406" s="92">
        <f>CloudTotal!O121-CloudAllOther!O106</f>
        <v>0</v>
      </c>
      <c r="L406" s="92">
        <f>CloudTotal!P121-CloudAllOther!P106</f>
        <v>0</v>
      </c>
      <c r="M406" s="92">
        <f>CloudTotal!Q121-CloudAllOther!Q106</f>
        <v>0</v>
      </c>
      <c r="N406" s="92">
        <f>CloudTotal!R121-CloudAllOther!R106</f>
        <v>0</v>
      </c>
      <c r="O406" s="92">
        <f>CloudTotal!S121-CloudAllOther!S106</f>
        <v>0</v>
      </c>
      <c r="P406" s="92">
        <f>CloudTotal!T121-CloudAllOther!T106</f>
        <v>0</v>
      </c>
      <c r="Q406" s="92">
        <f>CloudTotal!U121-CloudAllOther!U106</f>
        <v>0</v>
      </c>
      <c r="R406" s="92">
        <f>CloudTotal!V121-CloudAllOther!V106</f>
        <v>0</v>
      </c>
      <c r="S406" s="179">
        <f>CloudTotal!W121-CloudAllOther!W106</f>
        <v>0</v>
      </c>
    </row>
    <row r="407" spans="2:19">
      <c r="B407" s="161"/>
      <c r="H407" s="25" t="s">
        <v>211</v>
      </c>
      <c r="I407" s="92">
        <f>CloudTotal!M122-CloudAllOther!M107</f>
        <v>0</v>
      </c>
      <c r="J407" s="92">
        <f>CloudTotal!N122-CloudAllOther!N107</f>
        <v>0</v>
      </c>
      <c r="K407" s="92">
        <f>CloudTotal!O122-CloudAllOther!O107</f>
        <v>0</v>
      </c>
      <c r="L407" s="92">
        <f>CloudTotal!P122-CloudAllOther!P107</f>
        <v>0</v>
      </c>
      <c r="M407" s="92">
        <f>CloudTotal!Q122-CloudAllOther!Q107</f>
        <v>0</v>
      </c>
      <c r="N407" s="92">
        <f>CloudTotal!R122-CloudAllOther!R107</f>
        <v>0</v>
      </c>
      <c r="O407" s="92">
        <f>CloudTotal!S122-CloudAllOther!S107</f>
        <v>0</v>
      </c>
      <c r="P407" s="92">
        <f>CloudTotal!T122-CloudAllOther!T107</f>
        <v>0</v>
      </c>
      <c r="Q407" s="92">
        <f>CloudTotal!U122-CloudAllOther!U107</f>
        <v>0</v>
      </c>
      <c r="R407" s="92">
        <f>CloudTotal!V122-CloudAllOther!V107</f>
        <v>0</v>
      </c>
      <c r="S407" s="179">
        <f>CloudTotal!W122-CloudAllOther!W107</f>
        <v>0</v>
      </c>
    </row>
    <row r="408" spans="2:19">
      <c r="B408" s="161"/>
      <c r="M408" s="181">
        <f>SUM(M403:M407)</f>
        <v>0</v>
      </c>
      <c r="N408" s="181">
        <f t="shared" ref="N408:S408" si="7">SUM(N403:N407)</f>
        <v>0</v>
      </c>
      <c r="O408" s="181">
        <f t="shared" si="7"/>
        <v>0</v>
      </c>
      <c r="P408" s="181">
        <f t="shared" si="7"/>
        <v>0</v>
      </c>
      <c r="Q408" s="181">
        <f t="shared" si="7"/>
        <v>0</v>
      </c>
      <c r="R408" s="181">
        <f t="shared" si="7"/>
        <v>0</v>
      </c>
      <c r="S408" s="181">
        <f t="shared" si="7"/>
        <v>0</v>
      </c>
    </row>
    <row r="409" spans="2:19">
      <c r="B409" s="161"/>
    </row>
    <row r="410" spans="2:19">
      <c r="B410" s="161"/>
    </row>
    <row r="411" spans="2:19">
      <c r="B411" s="161"/>
    </row>
    <row r="412" spans="2:19">
      <c r="B412" s="161"/>
    </row>
    <row r="413" spans="2:19">
      <c r="B413" s="161" t="s">
        <v>438</v>
      </c>
    </row>
    <row r="414" spans="2:19">
      <c r="B414" s="161"/>
    </row>
    <row r="415" spans="2:19">
      <c r="B415" s="161"/>
      <c r="H415" t="s">
        <v>434</v>
      </c>
    </row>
    <row r="416" spans="2:19">
      <c r="B416" s="161"/>
      <c r="H416" s="17"/>
      <c r="I416" s="191">
        <v>2018</v>
      </c>
      <c r="J416" s="191">
        <v>2019</v>
      </c>
      <c r="K416" s="191">
        <v>2020</v>
      </c>
      <c r="L416" s="191">
        <v>2021</v>
      </c>
      <c r="M416" s="191">
        <v>2022</v>
      </c>
      <c r="N416" s="191">
        <v>2023</v>
      </c>
      <c r="O416" s="191">
        <v>2024</v>
      </c>
      <c r="P416" s="191">
        <v>2025</v>
      </c>
      <c r="Q416" s="191">
        <v>2026</v>
      </c>
      <c r="R416" s="191">
        <v>2027</v>
      </c>
      <c r="S416" s="165">
        <v>2028</v>
      </c>
    </row>
    <row r="417" spans="2:19">
      <c r="B417" s="161"/>
      <c r="H417" s="25" t="s">
        <v>435</v>
      </c>
      <c r="I417" s="92">
        <f>Google!M93+Meta!M87+Amazon!M93+Microsoft!M79+Apple!M81</f>
        <v>1362.3989512249191</v>
      </c>
      <c r="J417" s="92">
        <f>Google!N93+Meta!N87+Amazon!N93+Microsoft!N79+Apple!N81</f>
        <v>1011.1716138508971</v>
      </c>
      <c r="K417" s="92">
        <f>Google!O93+Meta!O87+Amazon!O93+Microsoft!O79+Apple!O81</f>
        <v>0</v>
      </c>
      <c r="L417" s="92">
        <f>Google!P93+Meta!P87+Amazon!P93+Microsoft!P79+Apple!P81</f>
        <v>0</v>
      </c>
      <c r="M417" s="92">
        <f>Google!Q93+Meta!Q87+Amazon!Q93+Microsoft!Q79+Apple!Q81</f>
        <v>0</v>
      </c>
      <c r="N417" s="92">
        <f>Google!R93+Meta!R87+Amazon!R93+Microsoft!R79+Apple!R81</f>
        <v>0</v>
      </c>
      <c r="O417" s="92">
        <f>Google!S93+Meta!S87+Amazon!S93+Microsoft!S79+Apple!S81</f>
        <v>0</v>
      </c>
      <c r="P417" s="92">
        <f>Google!T93+Meta!T87+Amazon!T93+Microsoft!T79+Apple!T81</f>
        <v>0</v>
      </c>
      <c r="Q417" s="92">
        <f>Google!U93+Meta!U87+Amazon!U93+Microsoft!U79+Apple!U81</f>
        <v>0</v>
      </c>
      <c r="R417" s="92">
        <f>Google!V93+Meta!V87+Amazon!V93+Microsoft!V79+Apple!V81</f>
        <v>0</v>
      </c>
      <c r="S417" s="179">
        <f>Google!W93+Meta!W87+Amazon!W93+Microsoft!W79+Apple!W81</f>
        <v>0</v>
      </c>
    </row>
    <row r="418" spans="2:19">
      <c r="B418" s="161"/>
      <c r="H418" s="25" t="s">
        <v>436</v>
      </c>
      <c r="I418" s="92">
        <f>Alibaba!M100+Huawei!M100+Tencent!M100+Baidu!M100+ByteDance!M100</f>
        <v>215.65089863071023</v>
      </c>
      <c r="J418" s="92">
        <f>Alibaba!N100+Huawei!N100+Tencent!N100+Baidu!N100+ByteDance!N100</f>
        <v>227.07418801061306</v>
      </c>
      <c r="K418" s="92">
        <f>Alibaba!O100+Huawei!O100+Tencent!O100+Baidu!O100+ByteDance!O100</f>
        <v>0</v>
      </c>
      <c r="L418" s="92">
        <f>Alibaba!P100+Huawei!P100+Tencent!P100+Baidu!P100+ByteDance!P100</f>
        <v>0</v>
      </c>
      <c r="M418" s="92">
        <f>Alibaba!Q100+Huawei!Q100+Tencent!Q100+Baidu!Q100+ByteDance!Q100</f>
        <v>0</v>
      </c>
      <c r="N418" s="92">
        <f>Alibaba!R100+Huawei!R100+Tencent!R100+Baidu!R100+ByteDance!R100</f>
        <v>0</v>
      </c>
      <c r="O418" s="92">
        <f>Alibaba!S100+Huawei!S100+Tencent!S100+Baidu!S100+ByteDance!S100</f>
        <v>0</v>
      </c>
      <c r="P418" s="92">
        <f>Alibaba!T100+Huawei!T100+Tencent!T100+Baidu!T100+ByteDance!T100</f>
        <v>0</v>
      </c>
      <c r="Q418" s="92">
        <f>Alibaba!U100+Huawei!U100+Tencent!U100+Baidu!U100+ByteDance!U100</f>
        <v>0</v>
      </c>
      <c r="R418" s="92">
        <f>Alibaba!V100+Huawei!V100+Tencent!V100+Baidu!V100+ByteDance!V100</f>
        <v>0</v>
      </c>
      <c r="S418" s="179">
        <f>Alibaba!W100+Huawei!W100+Tencent!W100+Baidu!W100+ByteDance!W100</f>
        <v>0</v>
      </c>
    </row>
    <row r="419" spans="2:19">
      <c r="B419" s="161"/>
      <c r="H419" s="25" t="s">
        <v>437</v>
      </c>
      <c r="I419" s="92">
        <f>CloudAllOther!M108</f>
        <v>654.7803544436556</v>
      </c>
      <c r="J419" s="92">
        <f>CloudAllOther!N108</f>
        <v>599.72399335678938</v>
      </c>
      <c r="K419" s="92">
        <f>CloudAllOther!O108</f>
        <v>0</v>
      </c>
      <c r="L419" s="92">
        <f>CloudAllOther!P108</f>
        <v>0</v>
      </c>
      <c r="M419" s="92">
        <f>CloudAllOther!Q108</f>
        <v>0</v>
      </c>
      <c r="N419" s="92">
        <f>CloudAllOther!R108</f>
        <v>0</v>
      </c>
      <c r="O419" s="92">
        <f>CloudAllOther!S108</f>
        <v>0</v>
      </c>
      <c r="P419" s="92">
        <f>CloudAllOther!T108</f>
        <v>0</v>
      </c>
      <c r="Q419" s="92">
        <f>CloudAllOther!U108</f>
        <v>0</v>
      </c>
      <c r="R419" s="92">
        <f>CloudAllOther!V108</f>
        <v>0</v>
      </c>
      <c r="S419" s="179">
        <f>CloudAllOther!W108</f>
        <v>0</v>
      </c>
    </row>
    <row r="420" spans="2:19">
      <c r="B420" s="161"/>
      <c r="H420" s="25" t="s">
        <v>377</v>
      </c>
      <c r="I420" s="92">
        <f>SUM(I417:I419)</f>
        <v>2232.830204299285</v>
      </c>
      <c r="J420" s="92">
        <f t="shared" ref="J420:S420" si="8">SUM(J417:J419)</f>
        <v>1837.9697952182996</v>
      </c>
      <c r="K420" s="92">
        <f t="shared" si="8"/>
        <v>0</v>
      </c>
      <c r="L420" s="92">
        <f t="shared" si="8"/>
        <v>0</v>
      </c>
      <c r="M420" s="92">
        <f t="shared" si="8"/>
        <v>0</v>
      </c>
      <c r="N420" s="92">
        <f t="shared" si="8"/>
        <v>0</v>
      </c>
      <c r="O420" s="92">
        <f t="shared" si="8"/>
        <v>0</v>
      </c>
      <c r="P420" s="92">
        <f t="shared" si="8"/>
        <v>0</v>
      </c>
      <c r="Q420" s="92">
        <f t="shared" si="8"/>
        <v>0</v>
      </c>
      <c r="R420" s="92">
        <f t="shared" si="8"/>
        <v>0</v>
      </c>
      <c r="S420" s="179">
        <f t="shared" si="8"/>
        <v>0</v>
      </c>
    </row>
    <row r="421" spans="2:19">
      <c r="B421" s="161"/>
      <c r="H421" s="48"/>
      <c r="I421" s="202"/>
      <c r="J421" s="202"/>
      <c r="K421" s="202"/>
      <c r="L421" s="180"/>
      <c r="M421" s="180"/>
      <c r="N421" s="180"/>
      <c r="O421" s="180"/>
      <c r="P421" s="180"/>
      <c r="Q421" s="180"/>
      <c r="R421" s="180"/>
      <c r="S421" s="180"/>
    </row>
    <row r="422" spans="2:19">
      <c r="B422" s="161"/>
      <c r="H422" s="25" t="s">
        <v>452</v>
      </c>
      <c r="I422" s="31">
        <f>I418/I420</f>
        <v>9.6581861986405088E-2</v>
      </c>
      <c r="J422" s="31">
        <f t="shared" ref="J422:S422" si="9">J418/J420</f>
        <v>0.12354620222887992</v>
      </c>
      <c r="K422" s="31" t="e">
        <f t="shared" si="9"/>
        <v>#DIV/0!</v>
      </c>
      <c r="L422" s="31" t="e">
        <f t="shared" si="9"/>
        <v>#DIV/0!</v>
      </c>
      <c r="M422" s="31" t="e">
        <f t="shared" si="9"/>
        <v>#DIV/0!</v>
      </c>
      <c r="N422" s="31" t="e">
        <f t="shared" si="9"/>
        <v>#DIV/0!</v>
      </c>
      <c r="O422" s="31" t="e">
        <f t="shared" si="9"/>
        <v>#DIV/0!</v>
      </c>
      <c r="P422" s="31" t="e">
        <f t="shared" si="9"/>
        <v>#DIV/0!</v>
      </c>
      <c r="Q422" s="31" t="e">
        <f t="shared" si="9"/>
        <v>#DIV/0!</v>
      </c>
      <c r="R422" s="31" t="e">
        <f t="shared" si="9"/>
        <v>#DIV/0!</v>
      </c>
      <c r="S422" s="31" t="e">
        <f t="shared" si="9"/>
        <v>#DIV/0!</v>
      </c>
    </row>
    <row r="423" spans="2:19">
      <c r="B423" s="161"/>
      <c r="H423" s="25" t="s">
        <v>453</v>
      </c>
      <c r="I423" s="31">
        <f>I419/I420</f>
        <v>0.29325129747120254</v>
      </c>
      <c r="J423" s="31">
        <f t="shared" ref="J423:S423" si="10">J419/J420</f>
        <v>0.32629697991612472</v>
      </c>
      <c r="K423" s="31" t="e">
        <f t="shared" si="10"/>
        <v>#DIV/0!</v>
      </c>
      <c r="L423" s="31" t="e">
        <f t="shared" si="10"/>
        <v>#DIV/0!</v>
      </c>
      <c r="M423" s="31" t="e">
        <f t="shared" si="10"/>
        <v>#DIV/0!</v>
      </c>
      <c r="N423" s="31" t="e">
        <f t="shared" si="10"/>
        <v>#DIV/0!</v>
      </c>
      <c r="O423" s="31" t="e">
        <f t="shared" si="10"/>
        <v>#DIV/0!</v>
      </c>
      <c r="P423" s="31" t="e">
        <f t="shared" si="10"/>
        <v>#DIV/0!</v>
      </c>
      <c r="Q423" s="31" t="e">
        <f t="shared" si="10"/>
        <v>#DIV/0!</v>
      </c>
      <c r="R423" s="31" t="e">
        <f t="shared" si="10"/>
        <v>#DIV/0!</v>
      </c>
      <c r="S423" s="31" t="e">
        <f t="shared" si="10"/>
        <v>#DIV/0!</v>
      </c>
    </row>
    <row r="424" spans="2:19">
      <c r="B424" s="161"/>
      <c r="H424" s="25" t="s">
        <v>454</v>
      </c>
      <c r="I424">
        <f>I417/I418</f>
        <v>6.3176131417747952</v>
      </c>
      <c r="J424">
        <f t="shared" ref="J424:S424" si="11">J417/J418</f>
        <v>4.4530451598648311</v>
      </c>
      <c r="K424" t="e">
        <f t="shared" si="11"/>
        <v>#DIV/0!</v>
      </c>
      <c r="L424" t="e">
        <f t="shared" si="11"/>
        <v>#DIV/0!</v>
      </c>
      <c r="M424" t="e">
        <f t="shared" si="11"/>
        <v>#DIV/0!</v>
      </c>
      <c r="N424" t="e">
        <f t="shared" si="11"/>
        <v>#DIV/0!</v>
      </c>
      <c r="O424" t="e">
        <f t="shared" si="11"/>
        <v>#DIV/0!</v>
      </c>
      <c r="P424" t="e">
        <f t="shared" si="11"/>
        <v>#DIV/0!</v>
      </c>
      <c r="Q424" t="e">
        <f t="shared" si="11"/>
        <v>#DIV/0!</v>
      </c>
      <c r="R424" t="e">
        <f t="shared" si="11"/>
        <v>#DIV/0!</v>
      </c>
      <c r="S424" t="e">
        <f t="shared" si="11"/>
        <v>#DIV/0!</v>
      </c>
    </row>
    <row r="425" spans="2:19">
      <c r="B425" s="161"/>
    </row>
    <row r="426" spans="2:19">
      <c r="B426" s="161"/>
    </row>
    <row r="427" spans="2:19">
      <c r="B427" s="161"/>
    </row>
    <row r="428" spans="2:19">
      <c r="B428" s="161"/>
    </row>
    <row r="429" spans="2:19">
      <c r="B429" s="161" t="s">
        <v>265</v>
      </c>
      <c r="H429" t="s">
        <v>448</v>
      </c>
    </row>
    <row r="430" spans="2:19">
      <c r="B430" s="161"/>
    </row>
    <row r="431" spans="2:19">
      <c r="B431" s="161" t="s">
        <v>267</v>
      </c>
      <c r="H431" t="s">
        <v>449</v>
      </c>
    </row>
    <row r="433" spans="2:20">
      <c r="B433" s="161" t="s">
        <v>269</v>
      </c>
      <c r="H433" t="s">
        <v>450</v>
      </c>
    </row>
    <row r="434" spans="2:20">
      <c r="B434" s="161"/>
    </row>
    <row r="435" spans="2:20">
      <c r="B435" s="161" t="s">
        <v>271</v>
      </c>
      <c r="H435" t="s">
        <v>451</v>
      </c>
    </row>
    <row r="436" spans="2:20">
      <c r="B436" s="161"/>
    </row>
    <row r="437" spans="2:20">
      <c r="B437" s="161" t="s">
        <v>266</v>
      </c>
      <c r="H437" t="s">
        <v>448</v>
      </c>
    </row>
    <row r="438" spans="2:20">
      <c r="B438" s="161"/>
    </row>
    <row r="439" spans="2:20">
      <c r="B439" s="161" t="s">
        <v>268</v>
      </c>
      <c r="H439" t="s">
        <v>449</v>
      </c>
    </row>
    <row r="440" spans="2:20">
      <c r="B440" s="161"/>
    </row>
    <row r="441" spans="2:20">
      <c r="B441" s="161" t="s">
        <v>270</v>
      </c>
      <c r="H441" t="s">
        <v>450</v>
      </c>
    </row>
    <row r="442" spans="2:20">
      <c r="B442" s="161"/>
    </row>
    <row r="443" spans="2:20">
      <c r="B443" s="161" t="s">
        <v>272</v>
      </c>
      <c r="H443" t="s">
        <v>451</v>
      </c>
    </row>
    <row r="445" spans="2:20">
      <c r="B445" s="161" t="s">
        <v>444</v>
      </c>
    </row>
    <row r="446" spans="2:20">
      <c r="B446" s="161"/>
      <c r="I446" t="s">
        <v>434</v>
      </c>
    </row>
    <row r="447" spans="2:20">
      <c r="B447" s="161"/>
      <c r="I447" s="17"/>
      <c r="J447" s="191">
        <v>2018</v>
      </c>
      <c r="K447" s="191">
        <v>2019</v>
      </c>
      <c r="L447" s="191">
        <v>2020</v>
      </c>
      <c r="M447" s="191">
        <v>2021</v>
      </c>
      <c r="N447" s="191">
        <v>2022</v>
      </c>
      <c r="O447" s="191">
        <v>2023</v>
      </c>
      <c r="P447" s="191">
        <v>2024</v>
      </c>
      <c r="Q447" s="191">
        <v>2025</v>
      </c>
      <c r="R447" s="191">
        <v>2026</v>
      </c>
      <c r="S447" s="191">
        <v>2027</v>
      </c>
      <c r="T447" s="165">
        <v>2028</v>
      </c>
    </row>
    <row r="448" spans="2:20">
      <c r="B448" s="161"/>
      <c r="I448" s="25" t="s">
        <v>205</v>
      </c>
      <c r="J448" s="28">
        <f>Alibaba!B95+Huawei!B95+Tencent!B95+Baidu!B95+ByteDance!B95</f>
        <v>716318.84131205897</v>
      </c>
      <c r="K448" s="28">
        <f>Alibaba!C95+Huawei!C95+Tencent!C95+Baidu!C95+ByteDance!C95</f>
        <v>1278038.5754605003</v>
      </c>
      <c r="L448" s="28">
        <f>Alibaba!D95+Huawei!D95+Tencent!D95+Baidu!D95+ByteDance!D95</f>
        <v>0</v>
      </c>
      <c r="M448" s="28">
        <f>Alibaba!E95+Huawei!E95+Tencent!E95+Baidu!E95+ByteDance!E95</f>
        <v>0</v>
      </c>
      <c r="N448" s="28">
        <f>Alibaba!F95+Huawei!F95+Tencent!F95+Baidu!F95+ByteDance!F95</f>
        <v>0</v>
      </c>
      <c r="O448" s="28">
        <f>Alibaba!G95+Huawei!G95+Tencent!G95+Baidu!G95+ByteDance!G95</f>
        <v>0</v>
      </c>
      <c r="P448" s="28">
        <f>Alibaba!H95+Huawei!H95+Tencent!H95+Baidu!H95+ByteDance!H95</f>
        <v>0</v>
      </c>
      <c r="Q448" s="28">
        <f>Alibaba!I95+Huawei!I95+Tencent!I95+Baidu!I95+ByteDance!I95</f>
        <v>0</v>
      </c>
      <c r="R448" s="28">
        <f>Alibaba!J95+Huawei!J95+Tencent!J95+Baidu!J95+ByteDance!J95</f>
        <v>0</v>
      </c>
      <c r="S448" s="28">
        <f>Alibaba!K95+Huawei!K95+Tencent!K95+Baidu!K95+ByteDance!K95</f>
        <v>0</v>
      </c>
      <c r="T448" s="178">
        <f>Alibaba!L95+Huawei!L95+Tencent!L95+Baidu!L95+ByteDance!L95</f>
        <v>0</v>
      </c>
    </row>
    <row r="449" spans="2:20">
      <c r="B449" s="161"/>
      <c r="I449" s="25" t="s">
        <v>206</v>
      </c>
      <c r="J449" s="28">
        <f>Alibaba!B96+Huawei!B96+Tencent!B96+Baidu!B96+ByteDance!B96</f>
        <v>500</v>
      </c>
      <c r="K449" s="28">
        <f>Alibaba!C96+Huawei!C96+Tencent!C96+Baidu!C96+ByteDance!C96</f>
        <v>4500</v>
      </c>
      <c r="L449" s="28">
        <f>Alibaba!D96+Huawei!D96+Tencent!D96+Baidu!D96+ByteDance!D96</f>
        <v>0</v>
      </c>
      <c r="M449" s="28">
        <f>Alibaba!E96+Huawei!E96+Tencent!E96+Baidu!E96+ByteDance!E96</f>
        <v>0</v>
      </c>
      <c r="N449" s="28">
        <f>Alibaba!F96+Huawei!F96+Tencent!F96+Baidu!F96+ByteDance!F96</f>
        <v>0</v>
      </c>
      <c r="O449" s="28">
        <f>Alibaba!G96+Huawei!G96+Tencent!G96+Baidu!G96+ByteDance!G96</f>
        <v>0</v>
      </c>
      <c r="P449" s="28">
        <f>Alibaba!H96+Huawei!H96+Tencent!H96+Baidu!H96+ByteDance!H96</f>
        <v>0</v>
      </c>
      <c r="Q449" s="28">
        <f>Alibaba!I96+Huawei!I96+Tencent!I96+Baidu!I96+ByteDance!I96</f>
        <v>0</v>
      </c>
      <c r="R449" s="28">
        <f>Alibaba!J96+Huawei!J96+Tencent!J96+Baidu!J96+ByteDance!J96</f>
        <v>0</v>
      </c>
      <c r="S449" s="28">
        <f>Alibaba!K96+Huawei!K96+Tencent!K96+Baidu!K96+ByteDance!K96</f>
        <v>0</v>
      </c>
      <c r="T449" s="178">
        <f>Alibaba!L96+Huawei!L96+Tencent!L96+Baidu!L96+ByteDance!L96</f>
        <v>0</v>
      </c>
    </row>
    <row r="450" spans="2:20">
      <c r="B450" s="161"/>
      <c r="I450" s="25" t="s">
        <v>207</v>
      </c>
      <c r="J450" s="28">
        <f>Alibaba!B97+Huawei!B97+Tencent!B97+Baidu!B97+ByteDance!B97</f>
        <v>0</v>
      </c>
      <c r="K450" s="28">
        <f>Alibaba!C97+Huawei!C97+Tencent!C97+Baidu!C97+ByteDance!C97</f>
        <v>0</v>
      </c>
      <c r="L450" s="28">
        <f>Alibaba!D97+Huawei!D97+Tencent!D97+Baidu!D97+ByteDance!D97</f>
        <v>0</v>
      </c>
      <c r="M450" s="28">
        <f>Alibaba!E97+Huawei!E97+Tencent!E97+Baidu!E97+ByteDance!E97</f>
        <v>0</v>
      </c>
      <c r="N450" s="28">
        <f>Alibaba!F97+Huawei!F97+Tencent!F97+Baidu!F97+ByteDance!F97</f>
        <v>0</v>
      </c>
      <c r="O450" s="28">
        <f>Alibaba!G97+Huawei!G97+Tencent!G97+Baidu!G97+ByteDance!G97</f>
        <v>0</v>
      </c>
      <c r="P450" s="28">
        <f>Alibaba!H97+Huawei!H97+Tencent!H97+Baidu!H97+ByteDance!H97</f>
        <v>0</v>
      </c>
      <c r="Q450" s="28">
        <f>Alibaba!I97+Huawei!I97+Tencent!I97+Baidu!I97+ByteDance!I97</f>
        <v>0</v>
      </c>
      <c r="R450" s="28">
        <f>Alibaba!J97+Huawei!J97+Tencent!J97+Baidu!J97+ByteDance!J97</f>
        <v>0</v>
      </c>
      <c r="S450" s="28">
        <f>Alibaba!K97+Huawei!K97+Tencent!K97+Baidu!K97+ByteDance!K97</f>
        <v>0</v>
      </c>
      <c r="T450" s="178">
        <f>Alibaba!L97+Huawei!L97+Tencent!L97+Baidu!L97+ByteDance!L97</f>
        <v>0</v>
      </c>
    </row>
    <row r="451" spans="2:20">
      <c r="B451" s="161"/>
      <c r="I451" s="25" t="s">
        <v>209</v>
      </c>
      <c r="J451" s="28">
        <f>Alibaba!B98+Huawei!B98+Tencent!B98+Baidu!B98+ByteDance!B98</f>
        <v>0</v>
      </c>
      <c r="K451" s="28">
        <f>Alibaba!C98+Huawei!C98+Tencent!C98+Baidu!C98+ByteDance!C98</f>
        <v>0</v>
      </c>
      <c r="L451" s="28">
        <f>Alibaba!D98+Huawei!D98+Tencent!D98+Baidu!D98+ByteDance!D98</f>
        <v>0</v>
      </c>
      <c r="M451" s="28">
        <f>Alibaba!E98+Huawei!E98+Tencent!E98+Baidu!E98+ByteDance!E98</f>
        <v>0</v>
      </c>
      <c r="N451" s="28">
        <f>Alibaba!F98+Huawei!F98+Tencent!F98+Baidu!F98+ByteDance!F98</f>
        <v>0</v>
      </c>
      <c r="O451" s="28">
        <f>Alibaba!G98+Huawei!G98+Tencent!G98+Baidu!G98+ByteDance!G98</f>
        <v>0</v>
      </c>
      <c r="P451" s="28">
        <f>Alibaba!H98+Huawei!H98+Tencent!H98+Baidu!H98+ByteDance!H98</f>
        <v>0</v>
      </c>
      <c r="Q451" s="28">
        <f>Alibaba!I98+Huawei!I98+Tencent!I98+Baidu!I98+ByteDance!I98</f>
        <v>0</v>
      </c>
      <c r="R451" s="28">
        <f>Alibaba!J98+Huawei!J98+Tencent!J98+Baidu!J98+ByteDance!J98</f>
        <v>0</v>
      </c>
      <c r="S451" s="28">
        <f>Alibaba!K98+Huawei!K98+Tencent!K98+Baidu!K98+ByteDance!K98</f>
        <v>0</v>
      </c>
      <c r="T451" s="178">
        <f>Alibaba!L98+Huawei!L98+Tencent!L98+Baidu!L98+ByteDance!L98</f>
        <v>0</v>
      </c>
    </row>
    <row r="452" spans="2:20">
      <c r="B452" s="161"/>
      <c r="I452" s="25" t="s">
        <v>211</v>
      </c>
      <c r="J452" s="28">
        <f>Alibaba!B99+Huawei!B99+Tencent!B99+Baidu!B99+ByteDance!B99</f>
        <v>0</v>
      </c>
      <c r="K452" s="28">
        <f>Alibaba!C99+Huawei!C99+Tencent!C99+Baidu!C99+ByteDance!C99</f>
        <v>0</v>
      </c>
      <c r="L452" s="28">
        <f>Alibaba!D99+Huawei!D99+Tencent!D99+Baidu!D99+ByteDance!D99</f>
        <v>0</v>
      </c>
      <c r="M452" s="28">
        <f>Alibaba!E99+Huawei!E99+Tencent!E99+Baidu!E99+ByteDance!E99</f>
        <v>0</v>
      </c>
      <c r="N452" s="28">
        <f>Alibaba!F99+Huawei!F99+Tencent!F99+Baidu!F99+ByteDance!F99</f>
        <v>0</v>
      </c>
      <c r="O452" s="28">
        <f>Alibaba!G99+Huawei!G99+Tencent!G99+Baidu!G99+ByteDance!G99</f>
        <v>0</v>
      </c>
      <c r="P452" s="28">
        <f>Alibaba!H99+Huawei!H99+Tencent!H99+Baidu!H99+ByteDance!H99</f>
        <v>0</v>
      </c>
      <c r="Q452" s="28">
        <f>Alibaba!I99+Huawei!I99+Tencent!I99+Baidu!I99+ByteDance!I99</f>
        <v>0</v>
      </c>
      <c r="R452" s="28">
        <f>Alibaba!J99+Huawei!J99+Tencent!J99+Baidu!J99+ByteDance!J99</f>
        <v>0</v>
      </c>
      <c r="S452" s="28">
        <f>Alibaba!K99+Huawei!K99+Tencent!K99+Baidu!K99+ByteDance!K99</f>
        <v>0</v>
      </c>
      <c r="T452" s="178">
        <f>Alibaba!L99+Huawei!L99+Tencent!L99+Baidu!L99+ByteDance!L99</f>
        <v>0</v>
      </c>
    </row>
    <row r="453" spans="2:20">
      <c r="B453" s="161"/>
      <c r="I453" s="25" t="s">
        <v>441</v>
      </c>
      <c r="J453" s="29">
        <f>SUM(J448:J452)</f>
        <v>716818.84131205897</v>
      </c>
      <c r="K453" s="29">
        <f t="shared" ref="K453:T453" si="12">SUM(K448:K452)</f>
        <v>1282538.5754605003</v>
      </c>
      <c r="L453" s="29">
        <f t="shared" si="12"/>
        <v>0</v>
      </c>
      <c r="M453" s="29">
        <f t="shared" si="12"/>
        <v>0</v>
      </c>
      <c r="N453" s="29">
        <f t="shared" si="12"/>
        <v>0</v>
      </c>
      <c r="O453" s="29">
        <f t="shared" si="12"/>
        <v>0</v>
      </c>
      <c r="P453" s="29">
        <f t="shared" si="12"/>
        <v>0</v>
      </c>
      <c r="Q453" s="29">
        <f t="shared" si="12"/>
        <v>0</v>
      </c>
      <c r="R453" s="29">
        <f t="shared" si="12"/>
        <v>0</v>
      </c>
      <c r="S453" s="29">
        <f t="shared" si="12"/>
        <v>0</v>
      </c>
      <c r="T453" s="29">
        <f t="shared" si="12"/>
        <v>0</v>
      </c>
    </row>
    <row r="454" spans="2:20">
      <c r="B454" s="161"/>
    </row>
    <row r="455" spans="2:20">
      <c r="B455" s="161"/>
    </row>
    <row r="456" spans="2:20">
      <c r="B456" s="161"/>
    </row>
    <row r="457" spans="2:20">
      <c r="B457" s="161"/>
    </row>
    <row r="458" spans="2:20">
      <c r="B458" s="161"/>
    </row>
    <row r="459" spans="2:20">
      <c r="B459" s="161"/>
    </row>
    <row r="460" spans="2:20">
      <c r="B460" s="161" t="s">
        <v>443</v>
      </c>
    </row>
    <row r="461" spans="2:20">
      <c r="B461" s="161"/>
    </row>
    <row r="462" spans="2:20">
      <c r="B462" s="161"/>
      <c r="I462" t="s">
        <v>434</v>
      </c>
    </row>
    <row r="463" spans="2:20">
      <c r="B463" s="161"/>
      <c r="I463" s="17"/>
      <c r="J463" s="191">
        <v>2018</v>
      </c>
      <c r="K463" s="191">
        <v>2019</v>
      </c>
      <c r="L463" s="191">
        <v>2020</v>
      </c>
      <c r="M463" s="191">
        <v>2021</v>
      </c>
      <c r="N463" s="191">
        <v>2022</v>
      </c>
      <c r="O463" s="191">
        <v>2023</v>
      </c>
      <c r="P463" s="191">
        <v>2024</v>
      </c>
      <c r="Q463" s="191">
        <v>2025</v>
      </c>
      <c r="R463" s="191">
        <v>2026</v>
      </c>
      <c r="S463" s="191">
        <v>2027</v>
      </c>
      <c r="T463" s="165">
        <v>2028</v>
      </c>
    </row>
    <row r="464" spans="2:20">
      <c r="B464" s="161"/>
      <c r="I464" s="25" t="s">
        <v>205</v>
      </c>
      <c r="J464" s="92">
        <f>Alibaba!M95+Huawei!M95+Tencent!M95+Baidu!M95+ByteDance!M95</f>
        <v>161.07908485599665</v>
      </c>
      <c r="K464" s="92">
        <f>Alibaba!N95+Huawei!N95+Tencent!N95+Baidu!N95+ByteDance!N95</f>
        <v>175.26497216391772</v>
      </c>
      <c r="L464" s="92">
        <f>Alibaba!O95+Huawei!O95+Tencent!O95+Baidu!O95+ByteDance!O95</f>
        <v>0</v>
      </c>
      <c r="M464" s="92">
        <f>Alibaba!P95+Huawei!P95+Tencent!P95+Baidu!P95+ByteDance!P95</f>
        <v>0</v>
      </c>
      <c r="N464" s="92">
        <f>Alibaba!Q95+Huawei!Q95+Tencent!Q95+Baidu!Q95+ByteDance!Q95</f>
        <v>0</v>
      </c>
      <c r="O464" s="92">
        <f>Alibaba!R95+Huawei!R95+Tencent!R95+Baidu!R95+ByteDance!R95</f>
        <v>0</v>
      </c>
      <c r="P464" s="92">
        <f>Alibaba!S95+Huawei!S95+Tencent!S95+Baidu!S95+ByteDance!S95</f>
        <v>0</v>
      </c>
      <c r="Q464" s="92">
        <f>Alibaba!T95+Huawei!T95+Tencent!T95+Baidu!T95+ByteDance!T95</f>
        <v>0</v>
      </c>
      <c r="R464" s="92">
        <f>Alibaba!U95+Huawei!U95+Tencent!U95+Baidu!U95+ByteDance!U95</f>
        <v>0</v>
      </c>
      <c r="S464" s="92">
        <f>Alibaba!V95+Huawei!V95+Tencent!V95+Baidu!V95+ByteDance!V95</f>
        <v>0</v>
      </c>
      <c r="T464" s="179">
        <f>Alibaba!W95+Huawei!W95+Tencent!W95+Baidu!W95+ByteDance!W95</f>
        <v>0</v>
      </c>
    </row>
    <row r="465" spans="2:20">
      <c r="B465" s="161"/>
      <c r="I465" s="25" t="s">
        <v>206</v>
      </c>
      <c r="J465" s="92">
        <f>Alibaba!M96+Huawei!M96+Tencent!M96+Baidu!M96+ByteDance!M96</f>
        <v>0.35</v>
      </c>
      <c r="K465" s="92">
        <f>Alibaba!N96+Huawei!N96+Tencent!N96+Baidu!N96+ByteDance!N96</f>
        <v>2.7</v>
      </c>
      <c r="L465" s="92">
        <f>Alibaba!O96+Huawei!O96+Tencent!O96+Baidu!O96+ByteDance!O96</f>
        <v>0</v>
      </c>
      <c r="M465" s="92">
        <f>Alibaba!P96+Huawei!P96+Tencent!P96+Baidu!P96+ByteDance!P96</f>
        <v>0</v>
      </c>
      <c r="N465" s="92">
        <f>Alibaba!Q96+Huawei!Q96+Tencent!Q96+Baidu!Q96+ByteDance!Q96</f>
        <v>0</v>
      </c>
      <c r="O465" s="92">
        <f>Alibaba!R96+Huawei!R96+Tencent!R96+Baidu!R96+ByteDance!R96</f>
        <v>0</v>
      </c>
      <c r="P465" s="92">
        <f>Alibaba!S96+Huawei!S96+Tencent!S96+Baidu!S96+ByteDance!S96</f>
        <v>0</v>
      </c>
      <c r="Q465" s="92">
        <f>Alibaba!T96+Huawei!T96+Tencent!T96+Baidu!T96+ByteDance!T96</f>
        <v>0</v>
      </c>
      <c r="R465" s="92">
        <f>Alibaba!U96+Huawei!U96+Tencent!U96+Baidu!U96+ByteDance!U96</f>
        <v>0</v>
      </c>
      <c r="S465" s="92">
        <f>Alibaba!V96+Huawei!V96+Tencent!V96+Baidu!V96+ByteDance!V96</f>
        <v>0</v>
      </c>
      <c r="T465" s="179">
        <f>Alibaba!W96+Huawei!W96+Tencent!W96+Baidu!W96+ByteDance!W96</f>
        <v>0</v>
      </c>
    </row>
    <row r="466" spans="2:20">
      <c r="B466" s="161"/>
      <c r="I466" s="25" t="s">
        <v>207</v>
      </c>
      <c r="J466" s="92">
        <f>Alibaba!M97+Huawei!M97+Tencent!M97+Baidu!M97+ByteDance!M97</f>
        <v>0</v>
      </c>
      <c r="K466" s="92">
        <f>Alibaba!N97+Huawei!N97+Tencent!N97+Baidu!N97+ByteDance!N97</f>
        <v>0</v>
      </c>
      <c r="L466" s="92">
        <f>Alibaba!O97+Huawei!O97+Tencent!O97+Baidu!O97+ByteDance!O97</f>
        <v>0</v>
      </c>
      <c r="M466" s="92">
        <f>Alibaba!P97+Huawei!P97+Tencent!P97+Baidu!P97+ByteDance!P97</f>
        <v>0</v>
      </c>
      <c r="N466" s="92">
        <f>Alibaba!Q97+Huawei!Q97+Tencent!Q97+Baidu!Q97+ByteDance!Q97</f>
        <v>0</v>
      </c>
      <c r="O466" s="92">
        <f>Alibaba!R97+Huawei!R97+Tencent!R97+Baidu!R97+ByteDance!R97</f>
        <v>0</v>
      </c>
      <c r="P466" s="92">
        <f>Alibaba!S97+Huawei!S97+Tencent!S97+Baidu!S97+ByteDance!S97</f>
        <v>0</v>
      </c>
      <c r="Q466" s="92">
        <f>Alibaba!T97+Huawei!T97+Tencent!T97+Baidu!T97+ByteDance!T97</f>
        <v>0</v>
      </c>
      <c r="R466" s="92">
        <f>Alibaba!U97+Huawei!U97+Tencent!U97+Baidu!U97+ByteDance!U97</f>
        <v>0</v>
      </c>
      <c r="S466" s="92">
        <f>Alibaba!V97+Huawei!V97+Tencent!V97+Baidu!V97+ByteDance!V97</f>
        <v>0</v>
      </c>
      <c r="T466" s="179">
        <f>Alibaba!W97+Huawei!W97+Tencent!W97+Baidu!W97+ByteDance!W97</f>
        <v>0</v>
      </c>
    </row>
    <row r="467" spans="2:20">
      <c r="B467" s="161"/>
      <c r="I467" s="25" t="s">
        <v>209</v>
      </c>
      <c r="J467" s="92">
        <f>Alibaba!M98+Huawei!M98+Tencent!M98+Baidu!M98+ByteDance!M98</f>
        <v>0</v>
      </c>
      <c r="K467" s="92">
        <f>Alibaba!N98+Huawei!N98+Tencent!N98+Baidu!N98+ByteDance!N98</f>
        <v>0</v>
      </c>
      <c r="L467" s="92">
        <f>Alibaba!O98+Huawei!O98+Tencent!O98+Baidu!O98+ByteDance!O98</f>
        <v>0</v>
      </c>
      <c r="M467" s="92">
        <f>Alibaba!P98+Huawei!P98+Tencent!P98+Baidu!P98+ByteDance!P98</f>
        <v>0</v>
      </c>
      <c r="N467" s="92">
        <f>Alibaba!Q98+Huawei!Q98+Tencent!Q98+Baidu!Q98+ByteDance!Q98</f>
        <v>0</v>
      </c>
      <c r="O467" s="92">
        <f>Alibaba!R98+Huawei!R98+Tencent!R98+Baidu!R98+ByteDance!R98</f>
        <v>0</v>
      </c>
      <c r="P467" s="92">
        <f>Alibaba!S98+Huawei!S98+Tencent!S98+Baidu!S98+ByteDance!S98</f>
        <v>0</v>
      </c>
      <c r="Q467" s="92">
        <f>Alibaba!T98+Huawei!T98+Tencent!T98+Baidu!T98+ByteDance!T98</f>
        <v>0</v>
      </c>
      <c r="R467" s="92">
        <f>Alibaba!U98+Huawei!U98+Tencent!U98+Baidu!U98+ByteDance!U98</f>
        <v>0</v>
      </c>
      <c r="S467" s="92">
        <f>Alibaba!V98+Huawei!V98+Tencent!V98+Baidu!V98+ByteDance!V98</f>
        <v>0</v>
      </c>
      <c r="T467" s="179">
        <f>Alibaba!W98+Huawei!W98+Tencent!W98+Baidu!W98+ByteDance!W98</f>
        <v>0</v>
      </c>
    </row>
    <row r="468" spans="2:20">
      <c r="B468" s="161"/>
      <c r="I468" s="25" t="s">
        <v>211</v>
      </c>
      <c r="J468" s="92">
        <f>Alibaba!M99+Huawei!M99+Tencent!M99+Baidu!M99+ByteDance!M99</f>
        <v>0</v>
      </c>
      <c r="K468" s="92">
        <f>Alibaba!N99+Huawei!N99+Tencent!N99+Baidu!N99+ByteDance!N99</f>
        <v>0</v>
      </c>
      <c r="L468" s="92">
        <f>Alibaba!O99+Huawei!O99+Tencent!O99+Baidu!O99+ByteDance!O99</f>
        <v>0</v>
      </c>
      <c r="M468" s="92">
        <f>Alibaba!P99+Huawei!P99+Tencent!P99+Baidu!P99+ByteDance!P99</f>
        <v>0</v>
      </c>
      <c r="N468" s="92">
        <f>Alibaba!Q99+Huawei!Q99+Tencent!Q99+Baidu!Q99+ByteDance!Q99</f>
        <v>0</v>
      </c>
      <c r="O468" s="92">
        <f>Alibaba!R99+Huawei!R99+Tencent!R99+Baidu!R99+ByteDance!R99</f>
        <v>0</v>
      </c>
      <c r="P468" s="92">
        <f>Alibaba!S99+Huawei!S99+Tencent!S99+Baidu!S99+ByteDance!S99</f>
        <v>0</v>
      </c>
      <c r="Q468" s="92">
        <f>Alibaba!T99+Huawei!T99+Tencent!T99+Baidu!T99+ByteDance!T99</f>
        <v>0</v>
      </c>
      <c r="R468" s="92">
        <f>Alibaba!U99+Huawei!U99+Tencent!U99+Baidu!U99+ByteDance!U99</f>
        <v>0</v>
      </c>
      <c r="S468" s="92">
        <f>Alibaba!V99+Huawei!V99+Tencent!V99+Baidu!V99+ByteDance!V99</f>
        <v>0</v>
      </c>
      <c r="T468" s="179">
        <f>Alibaba!W99+Huawei!W99+Tencent!W99+Baidu!W99+ByteDance!W99</f>
        <v>0</v>
      </c>
    </row>
    <row r="469" spans="2:20">
      <c r="B469" s="161"/>
      <c r="I469" s="25" t="s">
        <v>441</v>
      </c>
      <c r="J469" s="92">
        <f>SUM(J464:J468)</f>
        <v>161.42908485599665</v>
      </c>
      <c r="K469" s="92">
        <f t="shared" ref="K469:T469" si="13">SUM(K464:K468)</f>
        <v>177.96497216391771</v>
      </c>
      <c r="L469" s="92">
        <f t="shared" si="13"/>
        <v>0</v>
      </c>
      <c r="M469" s="92">
        <f t="shared" si="13"/>
        <v>0</v>
      </c>
      <c r="N469" s="92">
        <f t="shared" si="13"/>
        <v>0</v>
      </c>
      <c r="O469" s="92">
        <f t="shared" si="13"/>
        <v>0</v>
      </c>
      <c r="P469" s="92">
        <f t="shared" si="13"/>
        <v>0</v>
      </c>
      <c r="Q469" s="92">
        <f t="shared" si="13"/>
        <v>0</v>
      </c>
      <c r="R469" s="92">
        <f t="shared" si="13"/>
        <v>0</v>
      </c>
      <c r="S469" s="92">
        <f t="shared" si="13"/>
        <v>0</v>
      </c>
      <c r="T469" s="92">
        <f t="shared" si="13"/>
        <v>0</v>
      </c>
    </row>
    <row r="470" spans="2:20">
      <c r="B470" s="161"/>
    </row>
    <row r="471" spans="2:20">
      <c r="B471" s="161"/>
    </row>
    <row r="472" spans="2:20">
      <c r="B472" s="161"/>
    </row>
    <row r="473" spans="2:20">
      <c r="B473" s="161"/>
    </row>
    <row r="474" spans="2:20">
      <c r="B474" s="161"/>
    </row>
    <row r="475" spans="2:20">
      <c r="B475" s="161"/>
    </row>
    <row r="476" spans="2:20">
      <c r="B476" s="161" t="s">
        <v>440</v>
      </c>
      <c r="I476" t="s">
        <v>434</v>
      </c>
    </row>
    <row r="477" spans="2:20">
      <c r="B477" s="161"/>
      <c r="I477" s="17"/>
      <c r="J477" s="191">
        <v>2018</v>
      </c>
      <c r="K477" s="191">
        <v>2019</v>
      </c>
      <c r="L477" s="191">
        <v>2020</v>
      </c>
      <c r="M477" s="191">
        <v>2021</v>
      </c>
      <c r="N477" s="191">
        <v>2022</v>
      </c>
      <c r="O477" s="191">
        <v>2023</v>
      </c>
      <c r="P477" s="191">
        <v>2024</v>
      </c>
      <c r="Q477" s="191">
        <v>2025</v>
      </c>
      <c r="R477" s="191">
        <v>2026</v>
      </c>
      <c r="S477" s="191">
        <v>2027</v>
      </c>
      <c r="T477" s="165">
        <v>2028</v>
      </c>
    </row>
    <row r="478" spans="2:20">
      <c r="B478" s="161"/>
      <c r="I478" s="25" t="s">
        <v>80</v>
      </c>
      <c r="J478" s="28">
        <f>Alibaba!B94+Huawei!B94+Tencent!B94+Baidu!B94+ByteDance!B94</f>
        <v>675278.92954499985</v>
      </c>
      <c r="K478" s="28">
        <f>Alibaba!C94+Huawei!C94+Tencent!C94+Baidu!C94+ByteDance!C94</f>
        <v>571191.08687</v>
      </c>
      <c r="L478" s="28">
        <f>Alibaba!D94+Huawei!D94+Tencent!D94+Baidu!D94+ByteDance!D94</f>
        <v>0</v>
      </c>
      <c r="M478" s="28">
        <f>Alibaba!E94+Huawei!E94+Tencent!E94+Baidu!E94+ByteDance!E94</f>
        <v>0</v>
      </c>
      <c r="N478" s="28">
        <f>Alibaba!F94+Huawei!F94+Tencent!F94+Baidu!F94+ByteDance!F94</f>
        <v>0</v>
      </c>
      <c r="O478" s="28">
        <f>Alibaba!G94+Huawei!G94+Tencent!G94+Baidu!G94+ByteDance!G94</f>
        <v>0</v>
      </c>
      <c r="P478" s="28">
        <f>Alibaba!H94+Huawei!H94+Tencent!H94+Baidu!H94+ByteDance!H94</f>
        <v>0</v>
      </c>
      <c r="Q478" s="28">
        <f>Alibaba!I94+Huawei!I94+Tencent!I94+Baidu!I94+ByteDance!I94</f>
        <v>0</v>
      </c>
      <c r="R478" s="28">
        <f>Alibaba!J94+Huawei!J94+Tencent!J94+Baidu!J94+ByteDance!J94</f>
        <v>0</v>
      </c>
      <c r="S478" s="28">
        <f>Alibaba!K94+Huawei!K94+Tencent!K94+Baidu!K94+ByteDance!K94</f>
        <v>0</v>
      </c>
      <c r="T478" s="28">
        <f>Alibaba!L94+Huawei!L94+Tencent!L94+Baidu!L94+ByteDance!L94</f>
        <v>0</v>
      </c>
    </row>
    <row r="479" spans="2:20">
      <c r="B479" s="161"/>
      <c r="I479" s="25" t="s">
        <v>205</v>
      </c>
      <c r="J479" s="28">
        <f>Alibaba!B95+Huawei!B95+Tencent!B95+Baidu!B95+ByteDance!B95</f>
        <v>716318.84131205897</v>
      </c>
      <c r="K479" s="28">
        <f>Alibaba!C95+Huawei!C95+Tencent!C95+Baidu!C95+ByteDance!C95</f>
        <v>1278038.5754605003</v>
      </c>
      <c r="L479" s="28">
        <f>Alibaba!D95+Huawei!D95+Tencent!D95+Baidu!D95+ByteDance!D95</f>
        <v>0</v>
      </c>
      <c r="M479" s="28">
        <f>Alibaba!E95+Huawei!E95+Tencent!E95+Baidu!E95+ByteDance!E95</f>
        <v>0</v>
      </c>
      <c r="N479" s="28">
        <f>Alibaba!F95+Huawei!F95+Tencent!F95+Baidu!F95+ByteDance!F95</f>
        <v>0</v>
      </c>
      <c r="O479" s="28">
        <f>Alibaba!G95+Huawei!G95+Tencent!G95+Baidu!G95+ByteDance!G95</f>
        <v>0</v>
      </c>
      <c r="P479" s="28">
        <f>Alibaba!H95+Huawei!H95+Tencent!H95+Baidu!H95+ByteDance!H95</f>
        <v>0</v>
      </c>
      <c r="Q479" s="28">
        <f>Alibaba!I95+Huawei!I95+Tencent!I95+Baidu!I95+ByteDance!I95</f>
        <v>0</v>
      </c>
      <c r="R479" s="28">
        <f>Alibaba!J95+Huawei!J95+Tencent!J95+Baidu!J95+ByteDance!J95</f>
        <v>0</v>
      </c>
      <c r="S479" s="28">
        <f>Alibaba!K95+Huawei!K95+Tencent!K95+Baidu!K95+ByteDance!K95</f>
        <v>0</v>
      </c>
      <c r="T479" s="28">
        <f>Alibaba!L95+Huawei!L95+Tencent!L95+Baidu!L95+ByteDance!L95</f>
        <v>0</v>
      </c>
    </row>
    <row r="480" spans="2:20">
      <c r="B480" s="161"/>
      <c r="I480" s="25" t="s">
        <v>206</v>
      </c>
      <c r="J480" s="28">
        <f>Alibaba!B96+Huawei!B96+Tencent!B96+Baidu!B96+ByteDance!B96</f>
        <v>500</v>
      </c>
      <c r="K480" s="28">
        <f>Alibaba!C96+Huawei!C96+Tencent!C96+Baidu!C96+ByteDance!C96</f>
        <v>4500</v>
      </c>
      <c r="L480" s="28">
        <f>Alibaba!D96+Huawei!D96+Tencent!D96+Baidu!D96+ByteDance!D96</f>
        <v>0</v>
      </c>
      <c r="M480" s="28">
        <f>Alibaba!E96+Huawei!E96+Tencent!E96+Baidu!E96+ByteDance!E96</f>
        <v>0</v>
      </c>
      <c r="N480" s="28">
        <f>Alibaba!F96+Huawei!F96+Tencent!F96+Baidu!F96+ByteDance!F96</f>
        <v>0</v>
      </c>
      <c r="O480" s="28">
        <f>Alibaba!G96+Huawei!G96+Tencent!G96+Baidu!G96+ByteDance!G96</f>
        <v>0</v>
      </c>
      <c r="P480" s="28">
        <f>Alibaba!H96+Huawei!H96+Tencent!H96+Baidu!H96+ByteDance!H96</f>
        <v>0</v>
      </c>
      <c r="Q480" s="28">
        <f>Alibaba!I96+Huawei!I96+Tencent!I96+Baidu!I96+ByteDance!I96</f>
        <v>0</v>
      </c>
      <c r="R480" s="28">
        <f>Alibaba!J96+Huawei!J96+Tencent!J96+Baidu!J96+ByteDance!J96</f>
        <v>0</v>
      </c>
      <c r="S480" s="28">
        <f>Alibaba!K96+Huawei!K96+Tencent!K96+Baidu!K96+ByteDance!K96</f>
        <v>0</v>
      </c>
      <c r="T480" s="28">
        <f>Alibaba!L96+Huawei!L96+Tencent!L96+Baidu!L96+ByteDance!L96</f>
        <v>0</v>
      </c>
    </row>
    <row r="481" spans="2:20">
      <c r="B481" s="161"/>
      <c r="I481" s="25" t="s">
        <v>207</v>
      </c>
      <c r="J481" s="28">
        <f>Alibaba!B97+Huawei!B97+Tencent!B97+Baidu!B97+ByteDance!B97</f>
        <v>0</v>
      </c>
      <c r="K481" s="28">
        <f>Alibaba!C97+Huawei!C97+Tencent!C97+Baidu!C97+ByteDance!C97</f>
        <v>0</v>
      </c>
      <c r="L481" s="28">
        <f>Alibaba!D97+Huawei!D97+Tencent!D97+Baidu!D97+ByteDance!D97</f>
        <v>0</v>
      </c>
      <c r="M481" s="28">
        <f>Alibaba!E97+Huawei!E97+Tencent!E97+Baidu!E97+ByteDance!E97</f>
        <v>0</v>
      </c>
      <c r="N481" s="28">
        <f>Alibaba!F97+Huawei!F97+Tencent!F97+Baidu!F97+ByteDance!F97</f>
        <v>0</v>
      </c>
      <c r="O481" s="28">
        <f>Alibaba!G97+Huawei!G97+Tencent!G97+Baidu!G97+ByteDance!G97</f>
        <v>0</v>
      </c>
      <c r="P481" s="28">
        <f>Alibaba!H97+Huawei!H97+Tencent!H97+Baidu!H97+ByteDance!H97</f>
        <v>0</v>
      </c>
      <c r="Q481" s="28">
        <f>Alibaba!I97+Huawei!I97+Tencent!I97+Baidu!I97+ByteDance!I97</f>
        <v>0</v>
      </c>
      <c r="R481" s="28">
        <f>Alibaba!J97+Huawei!J97+Tencent!J97+Baidu!J97+ByteDance!J97</f>
        <v>0</v>
      </c>
      <c r="S481" s="28">
        <f>Alibaba!K97+Huawei!K97+Tencent!K97+Baidu!K97+ByteDance!K97</f>
        <v>0</v>
      </c>
      <c r="T481" s="28">
        <f>Alibaba!L97+Huawei!L97+Tencent!L97+Baidu!L97+ByteDance!L97</f>
        <v>0</v>
      </c>
    </row>
    <row r="482" spans="2:20">
      <c r="B482" s="161"/>
      <c r="I482" s="25" t="s">
        <v>209</v>
      </c>
      <c r="J482" s="28">
        <f>Alibaba!B98+Huawei!B98+Tencent!B98+Baidu!B98+ByteDance!B98</f>
        <v>0</v>
      </c>
      <c r="K482" s="28">
        <f>Alibaba!C98+Huawei!C98+Tencent!C98+Baidu!C98+ByteDance!C98</f>
        <v>0</v>
      </c>
      <c r="L482" s="28">
        <f>Alibaba!D98+Huawei!D98+Tencent!D98+Baidu!D98+ByteDance!D98</f>
        <v>0</v>
      </c>
      <c r="M482" s="28">
        <f>Alibaba!E98+Huawei!E98+Tencent!E98+Baidu!E98+ByteDance!E98</f>
        <v>0</v>
      </c>
      <c r="N482" s="28">
        <f>Alibaba!F98+Huawei!F98+Tencent!F98+Baidu!F98+ByteDance!F98</f>
        <v>0</v>
      </c>
      <c r="O482" s="28">
        <f>Alibaba!G98+Huawei!G98+Tencent!G98+Baidu!G98+ByteDance!G98</f>
        <v>0</v>
      </c>
      <c r="P482" s="28">
        <f>Alibaba!H98+Huawei!H98+Tencent!H98+Baidu!H98+ByteDance!H98</f>
        <v>0</v>
      </c>
      <c r="Q482" s="28">
        <f>Alibaba!I98+Huawei!I98+Tencent!I98+Baidu!I98+ByteDance!I98</f>
        <v>0</v>
      </c>
      <c r="R482" s="28">
        <f>Alibaba!J98+Huawei!J98+Tencent!J98+Baidu!J98+ByteDance!J98</f>
        <v>0</v>
      </c>
      <c r="S482" s="28">
        <f>Alibaba!K98+Huawei!K98+Tencent!K98+Baidu!K98+ByteDance!K98</f>
        <v>0</v>
      </c>
      <c r="T482" s="28">
        <f>Alibaba!L98+Huawei!L98+Tencent!L98+Baidu!L98+ByteDance!L98</f>
        <v>0</v>
      </c>
    </row>
    <row r="483" spans="2:20">
      <c r="B483" s="161"/>
      <c r="I483" s="25" t="s">
        <v>211</v>
      </c>
      <c r="J483" s="28">
        <f>Alibaba!B99+Huawei!B99+Tencent!B99+Baidu!B99+ByteDance!B99</f>
        <v>0</v>
      </c>
      <c r="K483" s="28">
        <f>Alibaba!C99+Huawei!C99+Tencent!C99+Baidu!C99+ByteDance!C99</f>
        <v>0</v>
      </c>
      <c r="L483" s="28">
        <f>Alibaba!D99+Huawei!D99+Tencent!D99+Baidu!D99+ByteDance!D99</f>
        <v>0</v>
      </c>
      <c r="M483" s="28">
        <f>Alibaba!E99+Huawei!E99+Tencent!E99+Baidu!E99+ByteDance!E99</f>
        <v>0</v>
      </c>
      <c r="N483" s="28">
        <f>Alibaba!F99+Huawei!F99+Tencent!F99+Baidu!F99+ByteDance!F99</f>
        <v>0</v>
      </c>
      <c r="O483" s="28">
        <f>Alibaba!G99+Huawei!G99+Tencent!G99+Baidu!G99+ByteDance!G99</f>
        <v>0</v>
      </c>
      <c r="P483" s="28">
        <f>Alibaba!H99+Huawei!H99+Tencent!H99+Baidu!H99+ByteDance!H99</f>
        <v>0</v>
      </c>
      <c r="Q483" s="28">
        <f>Alibaba!I99+Huawei!I99+Tencent!I99+Baidu!I99+ByteDance!I99</f>
        <v>0</v>
      </c>
      <c r="R483" s="28">
        <f>Alibaba!J99+Huawei!J99+Tencent!J99+Baidu!J99+ByteDance!J99</f>
        <v>0</v>
      </c>
      <c r="S483" s="28">
        <f>Alibaba!K99+Huawei!K99+Tencent!K99+Baidu!K99+ByteDance!K99</f>
        <v>0</v>
      </c>
      <c r="T483" s="28">
        <f>Alibaba!L99+Huawei!L99+Tencent!L99+Baidu!L99+ByteDance!L99</f>
        <v>0</v>
      </c>
    </row>
    <row r="484" spans="2:20">
      <c r="B484" s="161"/>
      <c r="I484" s="25" t="s">
        <v>441</v>
      </c>
      <c r="J484" s="28">
        <f>SUM(J479:J483)</f>
        <v>716818.84131205897</v>
      </c>
      <c r="K484" s="28">
        <f t="shared" ref="K484:T484" si="14">SUM(K479:K483)</f>
        <v>1282538.5754605003</v>
      </c>
      <c r="L484" s="28">
        <f t="shared" si="14"/>
        <v>0</v>
      </c>
      <c r="M484" s="28">
        <f t="shared" si="14"/>
        <v>0</v>
      </c>
      <c r="N484" s="28">
        <f t="shared" si="14"/>
        <v>0</v>
      </c>
      <c r="O484" s="28">
        <f t="shared" si="14"/>
        <v>0</v>
      </c>
      <c r="P484" s="28">
        <f t="shared" si="14"/>
        <v>0</v>
      </c>
      <c r="Q484" s="28">
        <f t="shared" si="14"/>
        <v>0</v>
      </c>
      <c r="R484" s="28">
        <f t="shared" si="14"/>
        <v>0</v>
      </c>
      <c r="S484" s="28">
        <f t="shared" si="14"/>
        <v>0</v>
      </c>
      <c r="T484" s="28">
        <f t="shared" si="14"/>
        <v>0</v>
      </c>
    </row>
    <row r="485" spans="2:20">
      <c r="B485" s="161"/>
    </row>
    <row r="486" spans="2:20">
      <c r="B486" s="161"/>
    </row>
    <row r="487" spans="2:20">
      <c r="B487" s="161"/>
    </row>
    <row r="488" spans="2:20">
      <c r="B488" s="161"/>
    </row>
    <row r="489" spans="2:20">
      <c r="B489" s="161"/>
    </row>
    <row r="490" spans="2:20">
      <c r="B490" s="161"/>
    </row>
    <row r="491" spans="2:20">
      <c r="B491" s="161" t="s">
        <v>442</v>
      </c>
    </row>
    <row r="492" spans="2:20">
      <c r="B492" s="161"/>
      <c r="I492" t="s">
        <v>434</v>
      </c>
    </row>
    <row r="493" spans="2:20">
      <c r="B493" s="161"/>
      <c r="I493" s="17"/>
      <c r="J493" s="191">
        <v>2018</v>
      </c>
      <c r="K493" s="191">
        <v>2019</v>
      </c>
      <c r="L493" s="191">
        <v>2020</v>
      </c>
      <c r="M493" s="191">
        <v>2021</v>
      </c>
      <c r="N493" s="191">
        <v>2022</v>
      </c>
      <c r="O493" s="191">
        <v>2023</v>
      </c>
      <c r="P493" s="191">
        <v>2024</v>
      </c>
      <c r="Q493" s="191">
        <v>2025</v>
      </c>
      <c r="R493" s="191">
        <v>2026</v>
      </c>
      <c r="S493" s="191">
        <v>2027</v>
      </c>
      <c r="T493" s="165">
        <v>2028</v>
      </c>
    </row>
    <row r="494" spans="2:20">
      <c r="B494" s="161"/>
      <c r="I494" s="25" t="s">
        <v>80</v>
      </c>
      <c r="J494" s="92">
        <f>Alibaba!M94+Huawei!M94+Tencent!M94+Baidu!M94+ByteDance!M94</f>
        <v>51.042964121661214</v>
      </c>
      <c r="K494" s="92">
        <f>Alibaba!N94+Huawei!N94+Tencent!N94+Baidu!N94+ByteDance!N94</f>
        <v>47.469834539652929</v>
      </c>
      <c r="L494" s="92">
        <f>Alibaba!O94+Huawei!O94+Tencent!O94+Baidu!O94+ByteDance!O94</f>
        <v>0</v>
      </c>
      <c r="M494" s="92">
        <f>Alibaba!P94+Huawei!P94+Tencent!P94+Baidu!P94+ByteDance!P94</f>
        <v>0</v>
      </c>
      <c r="N494" s="92">
        <f>Alibaba!Q94+Huawei!Q94+Tencent!Q94+Baidu!Q94+ByteDance!Q94</f>
        <v>0</v>
      </c>
      <c r="O494" s="92">
        <f>Alibaba!R94+Huawei!R94+Tencent!R94+Baidu!R94+ByteDance!R94</f>
        <v>0</v>
      </c>
      <c r="P494" s="92">
        <f>Alibaba!S94+Huawei!S94+Tencent!S94+Baidu!S94+ByteDance!S94</f>
        <v>0</v>
      </c>
      <c r="Q494" s="92">
        <f>Alibaba!T94+Huawei!T94+Tencent!T94+Baidu!T94+ByteDance!T94</f>
        <v>0</v>
      </c>
      <c r="R494" s="92">
        <f>Alibaba!U94+Huawei!U94+Tencent!U94+Baidu!U94+ByteDance!U94</f>
        <v>0</v>
      </c>
      <c r="S494" s="92">
        <f>Alibaba!V94+Huawei!V94+Tencent!V94+Baidu!V94+ByteDance!V94</f>
        <v>0</v>
      </c>
      <c r="T494" s="92">
        <f>Alibaba!W94+Huawei!W94+Tencent!W94+Baidu!W94+ByteDance!W94</f>
        <v>0</v>
      </c>
    </row>
    <row r="495" spans="2:20">
      <c r="B495" s="161"/>
      <c r="I495" s="25" t="s">
        <v>205</v>
      </c>
      <c r="J495" s="92">
        <f>Alibaba!M95+Huawei!M95+Tencent!M95+Baidu!M95+ByteDance!M95</f>
        <v>161.07908485599665</v>
      </c>
      <c r="K495" s="92">
        <f>Alibaba!N95+Huawei!N95+Tencent!N95+Baidu!N95+ByteDance!N95</f>
        <v>175.26497216391772</v>
      </c>
      <c r="L495" s="92">
        <f>Alibaba!O95+Huawei!O95+Tencent!O95+Baidu!O95+ByteDance!O95</f>
        <v>0</v>
      </c>
      <c r="M495" s="92">
        <f>Alibaba!P95+Huawei!P95+Tencent!P95+Baidu!P95+ByteDance!P95</f>
        <v>0</v>
      </c>
      <c r="N495" s="92">
        <f>Alibaba!Q95+Huawei!Q95+Tencent!Q95+Baidu!Q95+ByteDance!Q95</f>
        <v>0</v>
      </c>
      <c r="O495" s="92">
        <f>Alibaba!R95+Huawei!R95+Tencent!R95+Baidu!R95+ByteDance!R95</f>
        <v>0</v>
      </c>
      <c r="P495" s="92">
        <f>Alibaba!S95+Huawei!S95+Tencent!S95+Baidu!S95+ByteDance!S95</f>
        <v>0</v>
      </c>
      <c r="Q495" s="92">
        <f>Alibaba!T95+Huawei!T95+Tencent!T95+Baidu!T95+ByteDance!T95</f>
        <v>0</v>
      </c>
      <c r="R495" s="92">
        <f>Alibaba!U95+Huawei!U95+Tencent!U95+Baidu!U95+ByteDance!U95</f>
        <v>0</v>
      </c>
      <c r="S495" s="92">
        <f>Alibaba!V95+Huawei!V95+Tencent!V95+Baidu!V95+ByteDance!V95</f>
        <v>0</v>
      </c>
      <c r="T495" s="92">
        <f>Alibaba!W95+Huawei!W95+Tencent!W95+Baidu!W95+ByteDance!W95</f>
        <v>0</v>
      </c>
    </row>
    <row r="496" spans="2:20">
      <c r="B496" s="161"/>
      <c r="I496" s="25" t="s">
        <v>206</v>
      </c>
      <c r="J496" s="92">
        <f>Alibaba!M96+Huawei!M96+Tencent!M96+Baidu!M96+ByteDance!M96</f>
        <v>0.35</v>
      </c>
      <c r="K496" s="92">
        <f>Alibaba!N96+Huawei!N96+Tencent!N96+Baidu!N96+ByteDance!N96</f>
        <v>2.7</v>
      </c>
      <c r="L496" s="92">
        <f>Alibaba!O96+Huawei!O96+Tencent!O96+Baidu!O96+ByteDance!O96</f>
        <v>0</v>
      </c>
      <c r="M496" s="92">
        <f>Alibaba!P96+Huawei!P96+Tencent!P96+Baidu!P96+ByteDance!P96</f>
        <v>0</v>
      </c>
      <c r="N496" s="92">
        <f>Alibaba!Q96+Huawei!Q96+Tencent!Q96+Baidu!Q96+ByteDance!Q96</f>
        <v>0</v>
      </c>
      <c r="O496" s="92">
        <f>Alibaba!R96+Huawei!R96+Tencent!R96+Baidu!R96+ByteDance!R96</f>
        <v>0</v>
      </c>
      <c r="P496" s="92">
        <f>Alibaba!S96+Huawei!S96+Tencent!S96+Baidu!S96+ByteDance!S96</f>
        <v>0</v>
      </c>
      <c r="Q496" s="92">
        <f>Alibaba!T96+Huawei!T96+Tencent!T96+Baidu!T96+ByteDance!T96</f>
        <v>0</v>
      </c>
      <c r="R496" s="92">
        <f>Alibaba!U96+Huawei!U96+Tencent!U96+Baidu!U96+ByteDance!U96</f>
        <v>0</v>
      </c>
      <c r="S496" s="92">
        <f>Alibaba!V96+Huawei!V96+Tencent!V96+Baidu!V96+ByteDance!V96</f>
        <v>0</v>
      </c>
      <c r="T496" s="92">
        <f>Alibaba!W96+Huawei!W96+Tencent!W96+Baidu!W96+ByteDance!W96</f>
        <v>0</v>
      </c>
    </row>
    <row r="497" spans="2:20">
      <c r="B497" s="161"/>
      <c r="I497" s="25" t="s">
        <v>207</v>
      </c>
      <c r="J497" s="92">
        <f>Alibaba!M97+Huawei!M97+Tencent!M97+Baidu!M97+ByteDance!M97</f>
        <v>0</v>
      </c>
      <c r="K497" s="92">
        <f>Alibaba!N97+Huawei!N97+Tencent!N97+Baidu!N97+ByteDance!N97</f>
        <v>0</v>
      </c>
      <c r="L497" s="92">
        <f>Alibaba!O97+Huawei!O97+Tencent!O97+Baidu!O97+ByteDance!O97</f>
        <v>0</v>
      </c>
      <c r="M497" s="92">
        <f>Alibaba!P97+Huawei!P97+Tencent!P97+Baidu!P97+ByteDance!P97</f>
        <v>0</v>
      </c>
      <c r="N497" s="92">
        <f>Alibaba!Q97+Huawei!Q97+Tencent!Q97+Baidu!Q97+ByteDance!Q97</f>
        <v>0</v>
      </c>
      <c r="O497" s="92">
        <f>Alibaba!R97+Huawei!R97+Tencent!R97+Baidu!R97+ByteDance!R97</f>
        <v>0</v>
      </c>
      <c r="P497" s="92">
        <f>Alibaba!S97+Huawei!S97+Tencent!S97+Baidu!S97+ByteDance!S97</f>
        <v>0</v>
      </c>
      <c r="Q497" s="92">
        <f>Alibaba!T97+Huawei!T97+Tencent!T97+Baidu!T97+ByteDance!T97</f>
        <v>0</v>
      </c>
      <c r="R497" s="92">
        <f>Alibaba!U97+Huawei!U97+Tencent!U97+Baidu!U97+ByteDance!U97</f>
        <v>0</v>
      </c>
      <c r="S497" s="92">
        <f>Alibaba!V97+Huawei!V97+Tencent!V97+Baidu!V97+ByteDance!V97</f>
        <v>0</v>
      </c>
      <c r="T497" s="92">
        <f>Alibaba!W97+Huawei!W97+Tencent!W97+Baidu!W97+ByteDance!W97</f>
        <v>0</v>
      </c>
    </row>
    <row r="498" spans="2:20">
      <c r="B498" s="161"/>
      <c r="I498" s="25" t="s">
        <v>209</v>
      </c>
      <c r="J498" s="92">
        <f>Alibaba!M98+Huawei!M98+Tencent!M98+Baidu!M98+ByteDance!M98</f>
        <v>0</v>
      </c>
      <c r="K498" s="92">
        <f>Alibaba!N98+Huawei!N98+Tencent!N98+Baidu!N98+ByteDance!N98</f>
        <v>0</v>
      </c>
      <c r="L498" s="92">
        <f>Alibaba!O98+Huawei!O98+Tencent!O98+Baidu!O98+ByteDance!O98</f>
        <v>0</v>
      </c>
      <c r="M498" s="92">
        <f>Alibaba!P98+Huawei!P98+Tencent!P98+Baidu!P98+ByteDance!P98</f>
        <v>0</v>
      </c>
      <c r="N498" s="92">
        <f>Alibaba!Q98+Huawei!Q98+Tencent!Q98+Baidu!Q98+ByteDance!Q98</f>
        <v>0</v>
      </c>
      <c r="O498" s="92">
        <f>Alibaba!R98+Huawei!R98+Tencent!R98+Baidu!R98+ByteDance!R98</f>
        <v>0</v>
      </c>
      <c r="P498" s="92">
        <f>Alibaba!S98+Huawei!S98+Tencent!S98+Baidu!S98+ByteDance!S98</f>
        <v>0</v>
      </c>
      <c r="Q498" s="92">
        <f>Alibaba!T98+Huawei!T98+Tencent!T98+Baidu!T98+ByteDance!T98</f>
        <v>0</v>
      </c>
      <c r="R498" s="92">
        <f>Alibaba!U98+Huawei!U98+Tencent!U98+Baidu!U98+ByteDance!U98</f>
        <v>0</v>
      </c>
      <c r="S498" s="92">
        <f>Alibaba!V98+Huawei!V98+Tencent!V98+Baidu!V98+ByteDance!V98</f>
        <v>0</v>
      </c>
      <c r="T498" s="92">
        <f>Alibaba!W98+Huawei!W98+Tencent!W98+Baidu!W98+ByteDance!W98</f>
        <v>0</v>
      </c>
    </row>
    <row r="499" spans="2:20">
      <c r="B499" s="161"/>
      <c r="I499" s="25" t="s">
        <v>211</v>
      </c>
      <c r="J499" s="92">
        <f>Alibaba!M99+Huawei!M99+Tencent!M99+Baidu!M99+ByteDance!M99</f>
        <v>0</v>
      </c>
      <c r="K499" s="92">
        <f>Alibaba!N99+Huawei!N99+Tencent!N99+Baidu!N99+ByteDance!N99</f>
        <v>0</v>
      </c>
      <c r="L499" s="92">
        <f>Alibaba!O99+Huawei!O99+Tencent!O99+Baidu!O99+ByteDance!O99</f>
        <v>0</v>
      </c>
      <c r="M499" s="92">
        <f>Alibaba!P99+Huawei!P99+Tencent!P99+Baidu!P99+ByteDance!P99</f>
        <v>0</v>
      </c>
      <c r="N499" s="92">
        <f>Alibaba!Q99+Huawei!Q99+Tencent!Q99+Baidu!Q99+ByteDance!Q99</f>
        <v>0</v>
      </c>
      <c r="O499" s="92">
        <f>Alibaba!R99+Huawei!R99+Tencent!R99+Baidu!R99+ByteDance!R99</f>
        <v>0</v>
      </c>
      <c r="P499" s="92">
        <f>Alibaba!S99+Huawei!S99+Tencent!S99+Baidu!S99+ByteDance!S99</f>
        <v>0</v>
      </c>
      <c r="Q499" s="92">
        <f>Alibaba!T99+Huawei!T99+Tencent!T99+Baidu!T99+ByteDance!T99</f>
        <v>0</v>
      </c>
      <c r="R499" s="92">
        <f>Alibaba!U99+Huawei!U99+Tencent!U99+Baidu!U99+ByteDance!U99</f>
        <v>0</v>
      </c>
      <c r="S499" s="92">
        <f>Alibaba!V99+Huawei!V99+Tencent!V99+Baidu!V99+ByteDance!V99</f>
        <v>0</v>
      </c>
      <c r="T499" s="92">
        <f>Alibaba!W99+Huawei!W99+Tencent!W99+Baidu!W99+ByteDance!W99</f>
        <v>0</v>
      </c>
    </row>
    <row r="500" spans="2:20">
      <c r="B500" s="161"/>
      <c r="I500" s="25" t="s">
        <v>441</v>
      </c>
      <c r="J500" s="181">
        <f>SUM(J494:J499)</f>
        <v>212.47204897765786</v>
      </c>
      <c r="K500" s="181">
        <f t="shared" ref="K500:T500" si="15">SUM(K494:K499)</f>
        <v>225.43480670357064</v>
      </c>
      <c r="L500" s="181">
        <f t="shared" si="15"/>
        <v>0</v>
      </c>
      <c r="M500" s="181">
        <f t="shared" si="15"/>
        <v>0</v>
      </c>
      <c r="N500" s="181">
        <f t="shared" si="15"/>
        <v>0</v>
      </c>
      <c r="O500" s="181">
        <f t="shared" si="15"/>
        <v>0</v>
      </c>
      <c r="P500" s="181">
        <f t="shared" si="15"/>
        <v>0</v>
      </c>
      <c r="Q500" s="181">
        <f t="shared" si="15"/>
        <v>0</v>
      </c>
      <c r="R500" s="181">
        <f t="shared" si="15"/>
        <v>0</v>
      </c>
      <c r="S500" s="181">
        <f t="shared" si="15"/>
        <v>0</v>
      </c>
      <c r="T500" s="181">
        <f t="shared" si="15"/>
        <v>0</v>
      </c>
    </row>
    <row r="501" spans="2:20">
      <c r="B501" s="161"/>
      <c r="I501" s="48"/>
      <c r="J501" s="180"/>
      <c r="K501" s="180"/>
      <c r="L501" s="180"/>
      <c r="M501" s="180"/>
      <c r="N501" s="180"/>
      <c r="O501" s="180"/>
      <c r="P501" s="180"/>
      <c r="Q501" s="180"/>
      <c r="R501" s="180"/>
      <c r="S501" s="180"/>
      <c r="T501" s="180"/>
    </row>
    <row r="502" spans="2:20">
      <c r="B502" s="161"/>
      <c r="J502" s="34"/>
    </row>
    <row r="503" spans="2:20">
      <c r="B503" s="161"/>
    </row>
    <row r="504" spans="2:20">
      <c r="B504" s="161"/>
    </row>
    <row r="505" spans="2:20">
      <c r="B505" s="161"/>
    </row>
    <row r="507" spans="2:20">
      <c r="B507" s="161"/>
    </row>
    <row r="508" spans="2:20">
      <c r="B508" s="161"/>
    </row>
    <row r="525" spans="2:2">
      <c r="B525" s="161"/>
    </row>
    <row r="526" spans="2:2">
      <c r="B526" s="161"/>
    </row>
    <row r="527" spans="2:2">
      <c r="B527" s="161"/>
    </row>
    <row r="528" spans="2:2">
      <c r="B528" s="161"/>
    </row>
    <row r="529" spans="2:2">
      <c r="B529" s="161"/>
    </row>
    <row r="530" spans="2:2">
      <c r="B530" s="161"/>
    </row>
    <row r="531" spans="2:2">
      <c r="B531" s="161"/>
    </row>
    <row r="532" spans="2:2">
      <c r="B532" s="161"/>
    </row>
    <row r="533" spans="2:2">
      <c r="B533" s="161"/>
    </row>
    <row r="534" spans="2:2">
      <c r="B534" s="161"/>
    </row>
    <row r="535" spans="2:2">
      <c r="B535" s="161"/>
    </row>
    <row r="536" spans="2:2">
      <c r="B536" s="161"/>
    </row>
    <row r="537" spans="2:2">
      <c r="B537" s="161"/>
    </row>
    <row r="538" spans="2:2">
      <c r="B538" s="161"/>
    </row>
    <row r="539" spans="2:2">
      <c r="B539" s="161"/>
    </row>
    <row r="540" spans="2:2">
      <c r="B540" s="161"/>
    </row>
    <row r="541" spans="2:2">
      <c r="B541" s="161"/>
    </row>
    <row r="542" spans="2:2">
      <c r="B542" s="161"/>
    </row>
    <row r="543" spans="2:2">
      <c r="B543" s="161"/>
    </row>
    <row r="544" spans="2:2">
      <c r="B544" s="161"/>
    </row>
    <row r="545" spans="2:2">
      <c r="B545" s="161"/>
    </row>
    <row r="546" spans="2:2">
      <c r="B546" s="161"/>
    </row>
    <row r="547" spans="2:2">
      <c r="B547" s="161"/>
    </row>
    <row r="548" spans="2:2">
      <c r="B548" s="161"/>
    </row>
    <row r="549" spans="2:2">
      <c r="B549" s="161"/>
    </row>
    <row r="550" spans="2:2">
      <c r="B550" s="161"/>
    </row>
    <row r="551" spans="2:2">
      <c r="B551" s="161"/>
    </row>
    <row r="552" spans="2:2">
      <c r="B552" s="161"/>
    </row>
    <row r="553" spans="2:2">
      <c r="B553" s="161"/>
    </row>
    <row r="554" spans="2:2">
      <c r="B554" s="161"/>
    </row>
    <row r="555" spans="2:2">
      <c r="B555" s="161"/>
    </row>
    <row r="556" spans="2:2">
      <c r="B556" s="161"/>
    </row>
    <row r="557" spans="2:2">
      <c r="B557" s="161"/>
    </row>
    <row r="558" spans="2:2">
      <c r="B558" s="161"/>
    </row>
    <row r="559" spans="2:2">
      <c r="B559" s="161"/>
    </row>
    <row r="560" spans="2:2">
      <c r="B560" s="161"/>
    </row>
    <row r="561" spans="2:2">
      <c r="B561" s="161"/>
    </row>
    <row r="562" spans="2:2">
      <c r="B562" s="161"/>
    </row>
    <row r="563" spans="2:2">
      <c r="B563" s="161"/>
    </row>
    <row r="564" spans="2:2">
      <c r="B564" s="161"/>
    </row>
    <row r="565" spans="2:2">
      <c r="B565" s="161"/>
    </row>
    <row r="566" spans="2:2">
      <c r="B566" s="161"/>
    </row>
    <row r="567" spans="2:2">
      <c r="B567" s="161"/>
    </row>
    <row r="568" spans="2:2">
      <c r="B568" s="161"/>
    </row>
    <row r="569" spans="2:2">
      <c r="B569" s="161"/>
    </row>
    <row r="570" spans="2:2">
      <c r="B570" s="161"/>
    </row>
    <row r="571" spans="2:2">
      <c r="B571" s="161"/>
    </row>
    <row r="572" spans="2:2">
      <c r="B572" s="161"/>
    </row>
    <row r="573" spans="2:2">
      <c r="B573" s="161"/>
    </row>
    <row r="574" spans="2:2">
      <c r="B574" s="161"/>
    </row>
    <row r="575" spans="2:2">
      <c r="B575" s="161"/>
    </row>
    <row r="576" spans="2:2">
      <c r="B576" s="161"/>
    </row>
    <row r="577" spans="2:2">
      <c r="B577" s="161"/>
    </row>
    <row r="578" spans="2:2">
      <c r="B578" s="161"/>
    </row>
    <row r="579" spans="2:2">
      <c r="B579" s="161"/>
    </row>
    <row r="580" spans="2:2">
      <c r="B580" s="161"/>
    </row>
    <row r="581" spans="2:2">
      <c r="B581" s="161"/>
    </row>
    <row r="582" spans="2:2">
      <c r="B582" s="161"/>
    </row>
    <row r="583" spans="2:2">
      <c r="B583" s="161"/>
    </row>
    <row r="584" spans="2:2">
      <c r="B584" s="161"/>
    </row>
    <row r="585" spans="2:2">
      <c r="B585" s="161"/>
    </row>
    <row r="586" spans="2:2">
      <c r="B586" s="161"/>
    </row>
    <row r="587" spans="2:2">
      <c r="B587" s="161"/>
    </row>
    <row r="588" spans="2:2">
      <c r="B588" s="161"/>
    </row>
    <row r="589" spans="2:2">
      <c r="B589" s="161"/>
    </row>
    <row r="590" spans="2:2">
      <c r="B590" s="161"/>
    </row>
    <row r="591" spans="2:2">
      <c r="B591" s="161"/>
    </row>
    <row r="592" spans="2:2">
      <c r="B592" s="161"/>
    </row>
    <row r="593" spans="2:2">
      <c r="B593" s="161"/>
    </row>
    <row r="594" spans="2:2">
      <c r="B594" s="161"/>
    </row>
    <row r="595" spans="2:2">
      <c r="B595" s="161"/>
    </row>
    <row r="596" spans="2:2">
      <c r="B596" s="161"/>
    </row>
    <row r="597" spans="2:2">
      <c r="B597" s="161"/>
    </row>
    <row r="598" spans="2:2">
      <c r="B598" s="161"/>
    </row>
    <row r="599" spans="2:2">
      <c r="B599" s="161"/>
    </row>
    <row r="600" spans="2:2">
      <c r="B600" s="161"/>
    </row>
    <row r="601" spans="2:2">
      <c r="B601" s="161"/>
    </row>
    <row r="602" spans="2:2">
      <c r="B602" s="161"/>
    </row>
    <row r="603" spans="2:2">
      <c r="B603" s="161"/>
    </row>
    <row r="604" spans="2:2">
      <c r="B604" s="161"/>
    </row>
    <row r="605" spans="2:2">
      <c r="B605" s="161"/>
    </row>
    <row r="606" spans="2:2">
      <c r="B606" s="161"/>
    </row>
    <row r="607" spans="2:2">
      <c r="B607" s="161"/>
    </row>
    <row r="608" spans="2:2">
      <c r="B608" s="161"/>
    </row>
    <row r="609" spans="2:2">
      <c r="B609" s="161"/>
    </row>
    <row r="610" spans="2:2">
      <c r="B610" s="161"/>
    </row>
    <row r="611" spans="2:2">
      <c r="B611" s="161"/>
    </row>
    <row r="612" spans="2:2">
      <c r="B612" s="161"/>
    </row>
    <row r="613" spans="2:2">
      <c r="B613" s="161"/>
    </row>
    <row r="614" spans="2:2">
      <c r="B614" s="161"/>
    </row>
  </sheetData>
  <conditionalFormatting sqref="I378:S378">
    <cfRule type="expression" dxfId="4" priority="12">
      <formula>I378&lt;&gt;0</formula>
    </cfRule>
  </conditionalFormatting>
  <conditionalFormatting sqref="I421:S421">
    <cfRule type="expression" dxfId="3" priority="19">
      <formula>I421&lt;&gt;0</formula>
    </cfRule>
  </conditionalFormatting>
  <conditionalFormatting sqref="J271:T271">
    <cfRule type="expression" dxfId="2" priority="18">
      <formula>J271&lt;&gt;0</formula>
    </cfRule>
  </conditionalFormatting>
  <conditionalFormatting sqref="J501:T501">
    <cfRule type="expression" dxfId="1" priority="16">
      <formula>J501&lt;&gt;0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J119"/>
  <sheetViews>
    <sheetView zoomScale="50" zoomScaleNormal="50" workbookViewId="0">
      <pane xSplit="1" topLeftCell="B1" activePane="topRight" state="frozen"/>
      <selection activeCell="V27" sqref="V27"/>
      <selection pane="topRight" activeCell="A6" sqref="A6"/>
    </sheetView>
  </sheetViews>
  <sheetFormatPr defaultColWidth="8.5" defaultRowHeight="15.75"/>
  <cols>
    <col min="1" max="1" width="35.5" bestFit="1" customWidth="1"/>
    <col min="2" max="2" width="10.5" bestFit="1" customWidth="1"/>
    <col min="3" max="3" width="10.3125" customWidth="1"/>
    <col min="4" max="9" width="10.5" bestFit="1" customWidth="1"/>
    <col min="10" max="11" width="14" bestFit="1" customWidth="1"/>
    <col min="12" max="12" width="14.8125" customWidth="1"/>
    <col min="13" max="23" width="12.8125" customWidth="1"/>
    <col min="24" max="24" width="11.6875"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Google</v>
      </c>
    </row>
    <row r="5" spans="1:36" s="1" customFormat="1" ht="14.25">
      <c r="A5" s="19"/>
    </row>
    <row r="8" spans="1:36">
      <c r="B8" s="163" t="str">
        <f>"Ethernet transceivers consumed annually by "&amp;A39</f>
        <v>Ethernet transceivers consumed annually by Google</v>
      </c>
      <c r="C8" s="163"/>
      <c r="D8" s="163"/>
      <c r="E8" s="163"/>
      <c r="F8" s="163"/>
      <c r="G8" s="163"/>
      <c r="I8" s="163" t="str">
        <f>"DWDM transceivers consumed annually by "&amp;A39</f>
        <v>DWDM transceivers consumed annually by Google</v>
      </c>
      <c r="J8" s="163"/>
      <c r="K8" s="163"/>
      <c r="L8" s="163"/>
      <c r="M8" s="163" t="str">
        <f>"Annual spending on DWDM transceivers by "&amp;A39</f>
        <v>Annual spending on DWDM transceivers by Google</v>
      </c>
      <c r="O8" s="163"/>
      <c r="P8" s="163"/>
      <c r="Q8" s="163"/>
      <c r="R8" s="163" t="str">
        <f>"Annual spending on DWDM transceivers by "&amp;A39</f>
        <v>Annual spending on DWDM transceivers by Google</v>
      </c>
      <c r="T8" s="163"/>
      <c r="U8" s="163"/>
      <c r="W8" s="163"/>
      <c r="X8" s="163"/>
      <c r="Y8" s="163"/>
      <c r="Z8" s="163"/>
      <c r="AA8" s="163"/>
      <c r="AB8" s="163"/>
      <c r="AC8" s="163"/>
      <c r="AD8" s="163"/>
      <c r="AE8" s="163"/>
      <c r="AF8" s="163"/>
      <c r="AG8" s="163"/>
      <c r="AH8" s="163"/>
      <c r="AI8" s="163"/>
      <c r="AJ8" s="163"/>
    </row>
    <row r="39" spans="1:24" ht="21">
      <c r="A39" s="24" t="s">
        <v>144</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87318.413787126075</v>
      </c>
      <c r="C41" s="8">
        <v>0</v>
      </c>
      <c r="D41" s="8"/>
      <c r="E41" s="8"/>
      <c r="F41" s="8"/>
      <c r="G41" s="8"/>
      <c r="H41" s="8"/>
      <c r="I41" s="8"/>
      <c r="J41" s="8"/>
      <c r="K41" s="8"/>
      <c r="L41" s="8"/>
      <c r="M41" s="62" cm="1">
        <f t="array" ref="M41">INDEX(tblPrices[cv_2018], MATCH(tblGoogleUnits[[#This Row],[Products]],tblPrices[Products],0), 0) *tblGoogleUnits[[#This Row],[cv_2018]]/10^6</f>
        <v>1.1240603736750652</v>
      </c>
      <c r="N41" s="62" cm="1">
        <f t="array" ref="N41">INDEX(tblPrices[cv_2019], MATCH(tblGoogleUnits[[#This Row],[Products]],tblPrices[Products],0), 0)* tblGoogleUnits[[#This Row],[cv_2019]]/10^6</f>
        <v>0</v>
      </c>
      <c r="O41" s="62" cm="1">
        <f t="array" ref="O41">INDEX(tblPrices[cv_2020], MATCH(tblGoogleUnits[[#This Row],[Products]],tblPrices[Products],0), 0)* tblGoogleUnits[[#This Row],[cv_2020]]/10^6</f>
        <v>0</v>
      </c>
      <c r="P41" s="62" cm="1">
        <f t="array" ref="P41">INDEX(tblPrices[cv_2021], MATCH(tblGoogleUnits[[#This Row],[Products]],tblPrices[Products],0), 0)* tblGoogleUnits[[#This Row],[cv_2021]]/10^6</f>
        <v>0</v>
      </c>
      <c r="Q41" s="62" cm="1">
        <f t="array" ref="Q41">INDEX(tblPrices[cv_2022], MATCH(tblGoogleUnits[[#This Row],[Products]],tblPrices[Products],0), 0)* tblGoogleUnits[[#This Row],[cv_2022]]/10^6</f>
        <v>0</v>
      </c>
      <c r="R41" s="62" cm="1">
        <f t="array" ref="R41">INDEX(tblPrices[cv_2023], MATCH(tblGoogleUnits[[#This Row],[Products]],tblPrices[Products],0), 0)* tblGoogleUnits[[#This Row],[cv_2023]]/10^6</f>
        <v>0</v>
      </c>
      <c r="S41" s="62" cm="1">
        <f t="array" ref="S41">INDEX(tblPrices[cv_2024], MATCH(tblGoogleUnits[[#This Row],[Products]],tblPrices[Products],0), 0)* tblGoogleUnits[[#This Row],[cv_2024]]/10^6</f>
        <v>0</v>
      </c>
      <c r="T41" s="62" cm="1">
        <f t="array" ref="T41">INDEX(tblPrices[cv_2025], MATCH(tblGoogleUnits[[#This Row],[Products]],tblPrices[Products],0), 0)* tblGoogleUnits[[#This Row],[cv_2025]]/10^6</f>
        <v>0</v>
      </c>
      <c r="U41" s="62" cm="1">
        <f t="array" ref="U41">INDEX(tblPrices[cv_2026], MATCH(tblGoogleUnits[[#This Row],[Products]],tblPrices[Products],0), 0)* tblGoogleUnits[[#This Row],[cv_2026]]/10^6</f>
        <v>0</v>
      </c>
      <c r="V41" s="62" cm="1">
        <f t="array" ref="V41">INDEX(tblPrices[cv_2027], MATCH(tblGoogleUnits[[#This Row],[Products]],tblPrices[Products],0), 0)* tblGoogleUnits[[#This Row],[cv_2027]]/10^6</f>
        <v>0</v>
      </c>
      <c r="W41" s="62" cm="1">
        <f t="array" ref="W41">INDEX(tblPrices[cv_2028], MATCH(tblGoogleUnits[[#This Row],[Products]],tblPrices[Products],0), 0)* tblGoogleUnits[[#This Row],[cv_2028]]/10^6</f>
        <v>0</v>
      </c>
      <c r="X41" s="1">
        <f>VLOOKUP(A41,Products!$A$11:$F$110,6,FALSE)</f>
        <v>10</v>
      </c>
    </row>
    <row r="42" spans="1:24" s="1" customFormat="1" ht="13.15">
      <c r="A42" s="16" t="s">
        <v>158</v>
      </c>
      <c r="B42" s="36">
        <v>13543.294038288965</v>
      </c>
      <c r="C42" s="36">
        <v>0</v>
      </c>
      <c r="D42" s="36"/>
      <c r="E42" s="36"/>
      <c r="F42" s="36"/>
      <c r="G42" s="36"/>
      <c r="H42" s="36"/>
      <c r="I42" s="36"/>
      <c r="J42" s="36"/>
      <c r="K42" s="36"/>
      <c r="L42" s="36"/>
      <c r="M42" s="62" cm="1">
        <f t="array" ref="M42">INDEX(tblPrices[cv_2018], MATCH(tblGoogleUnits[[#This Row],[Products]],tblPrices[Products],0), 0) *tblGoogleUnits[[#This Row],[cv_2018]]/10^6</f>
        <v>0.32740259267910782</v>
      </c>
      <c r="N42" s="62" cm="1">
        <f t="array" ref="N42">INDEX(tblPrices[cv_2019], MATCH(tblGoogleUnits[[#This Row],[Products]],tblPrices[Products],0), 0)* tblGoogleUnits[[#This Row],[cv_2019]]/10^6</f>
        <v>0</v>
      </c>
      <c r="O42" s="62" cm="1">
        <f t="array" ref="O42">INDEX(tblPrices[cv_2020], MATCH(tblGoogleUnits[[#This Row],[Products]],tblPrices[Products],0), 0)* tblGoogleUnits[[#This Row],[cv_2020]]/10^6</f>
        <v>0</v>
      </c>
      <c r="P42" s="62" cm="1">
        <f t="array" ref="P42">INDEX(tblPrices[cv_2021], MATCH(tblGoogleUnits[[#This Row],[Products]],tblPrices[Products],0), 0)* tblGoogleUnits[[#This Row],[cv_2021]]/10^6</f>
        <v>0</v>
      </c>
      <c r="Q42" s="62" cm="1">
        <f t="array" ref="Q42">INDEX(tblPrices[cv_2022], MATCH(tblGoogleUnits[[#This Row],[Products]],tblPrices[Products],0), 0)* tblGoogleUnits[[#This Row],[cv_2022]]/10^6</f>
        <v>0</v>
      </c>
      <c r="R42" s="62" cm="1">
        <f t="array" ref="R42">INDEX(tblPrices[cv_2023], MATCH(tblGoogleUnits[[#This Row],[Products]],tblPrices[Products],0), 0)* tblGoogleUnits[[#This Row],[cv_2023]]/10^6</f>
        <v>0</v>
      </c>
      <c r="S42" s="62" cm="1">
        <f t="array" ref="S42">INDEX(tblPrices[cv_2024], MATCH(tblGoogleUnits[[#This Row],[Products]],tblPrices[Products],0), 0)* tblGoogleUnits[[#This Row],[cv_2024]]/10^6</f>
        <v>0</v>
      </c>
      <c r="T42" s="62" cm="1">
        <f t="array" ref="T42">INDEX(tblPrices[cv_2025], MATCH(tblGoogleUnits[[#This Row],[Products]],tblPrices[Products],0), 0)* tblGoogleUnits[[#This Row],[cv_2025]]/10^6</f>
        <v>0</v>
      </c>
      <c r="U42" s="62" cm="1">
        <f t="array" ref="U42">INDEX(tblPrices[cv_2026], MATCH(tblGoogleUnits[[#This Row],[Products]],tblPrices[Products],0), 0)* tblGoogleUnits[[#This Row],[cv_2026]]/10^6</f>
        <v>0</v>
      </c>
      <c r="V42" s="62" cm="1">
        <f t="array" ref="V42">INDEX(tblPrices[cv_2027], MATCH(tblGoogleUnits[[#This Row],[Products]],tblPrices[Products],0), 0)* tblGoogleUnits[[#This Row],[cv_2027]]/10^6</f>
        <v>0</v>
      </c>
      <c r="W42" s="62" cm="1">
        <f t="array" ref="W42">INDEX(tblPrices[cv_2028], MATCH(tblGoogleUnits[[#This Row],[Products]],tblPrices[Products],0), 0)* tblGoogleUnits[[#This Row],[cv_2028]]/10^6</f>
        <v>0</v>
      </c>
      <c r="X42" s="1">
        <f>VLOOKUP(A42,Products!$A$11:$F$110,6,FALSE)</f>
        <v>10</v>
      </c>
    </row>
    <row r="43" spans="1:24" s="1" customFormat="1" ht="13.15">
      <c r="A43" s="16" t="s">
        <v>159</v>
      </c>
      <c r="B43" s="36">
        <v>404.23741186028195</v>
      </c>
      <c r="C43" s="36">
        <v>0</v>
      </c>
      <c r="D43" s="36"/>
      <c r="E43" s="36"/>
      <c r="F43" s="36"/>
      <c r="G43" s="36"/>
      <c r="H43" s="36"/>
      <c r="I43" s="36"/>
      <c r="J43" s="36"/>
      <c r="K43" s="36"/>
      <c r="L43" s="36"/>
      <c r="M43" s="62" cm="1">
        <f t="array" ref="M43">INDEX(tblPrices[cv_2018], MATCH(tblGoogleUnits[[#This Row],[Products]],tblPrices[Products],0), 0) *tblGoogleUnits[[#This Row],[cv_2018]]/10^6</f>
        <v>4.8373838660726982E-2</v>
      </c>
      <c r="N43" s="62" cm="1">
        <f t="array" ref="N43">INDEX(tblPrices[cv_2019], MATCH(tblGoogleUnits[[#This Row],[Products]],tblPrices[Products],0), 0)* tblGoogleUnits[[#This Row],[cv_2019]]/10^6</f>
        <v>0</v>
      </c>
      <c r="O43" s="62" cm="1">
        <f t="array" ref="O43">INDEX(tblPrices[cv_2020], MATCH(tblGoogleUnits[[#This Row],[Products]],tblPrices[Products],0), 0)* tblGoogleUnits[[#This Row],[cv_2020]]/10^6</f>
        <v>0</v>
      </c>
      <c r="P43" s="62" cm="1">
        <f t="array" ref="P43">INDEX(tblPrices[cv_2021], MATCH(tblGoogleUnits[[#This Row],[Products]],tblPrices[Products],0), 0)* tblGoogleUnits[[#This Row],[cv_2021]]/10^6</f>
        <v>0</v>
      </c>
      <c r="Q43" s="62" cm="1">
        <f t="array" ref="Q43">INDEX(tblPrices[cv_2022], MATCH(tblGoogleUnits[[#This Row],[Products]],tblPrices[Products],0), 0)* tblGoogleUnits[[#This Row],[cv_2022]]/10^6</f>
        <v>0</v>
      </c>
      <c r="R43" s="62" cm="1">
        <f t="array" ref="R43">INDEX(tblPrices[cv_2023], MATCH(tblGoogleUnits[[#This Row],[Products]],tblPrices[Products],0), 0)* tblGoogleUnits[[#This Row],[cv_2023]]/10^6</f>
        <v>0</v>
      </c>
      <c r="S43" s="62" cm="1">
        <f t="array" ref="S43">INDEX(tblPrices[cv_2024], MATCH(tblGoogleUnits[[#This Row],[Products]],tblPrices[Products],0), 0)* tblGoogleUnits[[#This Row],[cv_2024]]/10^6</f>
        <v>0</v>
      </c>
      <c r="T43" s="62" cm="1">
        <f t="array" ref="T43">INDEX(tblPrices[cv_2025], MATCH(tblGoogleUnits[[#This Row],[Products]],tblPrices[Products],0), 0)* tblGoogleUnits[[#This Row],[cv_2025]]/10^6</f>
        <v>0</v>
      </c>
      <c r="U43" s="62" cm="1">
        <f t="array" ref="U43">INDEX(tblPrices[cv_2026], MATCH(tblGoogleUnits[[#This Row],[Products]],tblPrices[Products],0), 0)* tblGoogleUnits[[#This Row],[cv_2026]]/10^6</f>
        <v>0</v>
      </c>
      <c r="V43" s="62" cm="1">
        <f t="array" ref="V43">INDEX(tblPrices[cv_2027], MATCH(tblGoogleUnits[[#This Row],[Products]],tblPrices[Products],0), 0)* tblGoogleUnits[[#This Row],[cv_2027]]/10^6</f>
        <v>0</v>
      </c>
      <c r="W43" s="62" cm="1">
        <f t="array" ref="W43">INDEX(tblPrices[cv_2028], MATCH(tblGoogleUnits[[#This Row],[Products]],tblPrices[Products],0), 0)* tblGoogleUnits[[#This Row],[cv_2028]]/10^6</f>
        <v>0</v>
      </c>
      <c r="X43" s="1">
        <f>VLOOKUP(A43,Products!$A$11:$F$110,6,FALSE)</f>
        <v>10</v>
      </c>
    </row>
    <row r="44" spans="1:24" s="1" customFormat="1" ht="13.15">
      <c r="A44" s="9" t="s">
        <v>0</v>
      </c>
      <c r="B44" s="8">
        <v>114316.10049999999</v>
      </c>
      <c r="C44" s="8">
        <v>33595.382999999994</v>
      </c>
      <c r="D44" s="8"/>
      <c r="E44" s="8"/>
      <c r="F44" s="8"/>
      <c r="G44" s="8"/>
      <c r="H44" s="8"/>
      <c r="I44" s="8"/>
      <c r="J44" s="8"/>
      <c r="K44" s="8"/>
      <c r="L44" s="8"/>
      <c r="M44" s="62" cm="1">
        <f t="array" ref="M44">INDEX(tblPrices[cv_2018], MATCH(tblGoogleUnits[[#This Row],[Products]],tblPrices[Products],0), 0) *tblGoogleUnits[[#This Row],[cv_2018]]/10^6</f>
        <v>6.7058126965823348</v>
      </c>
      <c r="N44" s="62" cm="1">
        <f t="array" ref="N44">INDEX(tblPrices[cv_2019], MATCH(tblGoogleUnits[[#This Row],[Products]],tblPrices[Products],0), 0)* tblGoogleUnits[[#This Row],[cv_2019]]/10^6</f>
        <v>1.5494900689285709</v>
      </c>
      <c r="O44" s="62" cm="1">
        <f t="array" ref="O44">INDEX(tblPrices[cv_2020], MATCH(tblGoogleUnits[[#This Row],[Products]],tblPrices[Products],0), 0)* tblGoogleUnits[[#This Row],[cv_2020]]/10^6</f>
        <v>0</v>
      </c>
      <c r="P44" s="62" cm="1">
        <f t="array" ref="P44">INDEX(tblPrices[cv_2021], MATCH(tblGoogleUnits[[#This Row],[Products]],tblPrices[Products],0), 0)* tblGoogleUnits[[#This Row],[cv_2021]]/10^6</f>
        <v>0</v>
      </c>
      <c r="Q44" s="62" cm="1">
        <f t="array" ref="Q44">INDEX(tblPrices[cv_2022], MATCH(tblGoogleUnits[[#This Row],[Products]],tblPrices[Products],0), 0)* tblGoogleUnits[[#This Row],[cv_2022]]/10^6</f>
        <v>0</v>
      </c>
      <c r="R44" s="62" cm="1">
        <f t="array" ref="R44">INDEX(tblPrices[cv_2023], MATCH(tblGoogleUnits[[#This Row],[Products]],tblPrices[Products],0), 0)* tblGoogleUnits[[#This Row],[cv_2023]]/10^6</f>
        <v>0</v>
      </c>
      <c r="S44" s="62" cm="1">
        <f t="array" ref="S44">INDEX(tblPrices[cv_2024], MATCH(tblGoogleUnits[[#This Row],[Products]],tblPrices[Products],0), 0)* tblGoogleUnits[[#This Row],[cv_2024]]/10^6</f>
        <v>0</v>
      </c>
      <c r="T44" s="62" cm="1">
        <f t="array" ref="T44">INDEX(tblPrices[cv_2025], MATCH(tblGoogleUnits[[#This Row],[Products]],tblPrices[Products],0), 0)* tblGoogleUnits[[#This Row],[cv_2025]]/10^6</f>
        <v>0</v>
      </c>
      <c r="U44" s="62" cm="1">
        <f t="array" ref="U44">INDEX(tblPrices[cv_2026], MATCH(tblGoogleUnits[[#This Row],[Products]],tblPrices[Products],0), 0)* tblGoogleUnits[[#This Row],[cv_2026]]/10^6</f>
        <v>0</v>
      </c>
      <c r="V44" s="62" cm="1">
        <f t="array" ref="V44">INDEX(tblPrices[cv_2027], MATCH(tblGoogleUnits[[#This Row],[Products]],tblPrices[Products],0), 0)* tblGoogleUnits[[#This Row],[cv_2027]]/10^6</f>
        <v>0</v>
      </c>
      <c r="W44" s="62" cm="1">
        <f t="array" ref="W44">INDEX(tblPrices[cv_2028], MATCH(tblGoogleUnits[[#This Row],[Products]],tblPrices[Products],0), 0)* tblGoogleUnits[[#This Row],[cv_2028]]/10^6</f>
        <v>0</v>
      </c>
      <c r="X44" s="1">
        <f>VLOOKUP(A44,Products!$A$11:$F$110,6,FALSE)</f>
        <v>40</v>
      </c>
    </row>
    <row r="45" spans="1:24" s="1" customFormat="1" ht="13.15">
      <c r="A45" s="9" t="s">
        <v>1</v>
      </c>
      <c r="B45" s="8">
        <v>58436.973000000005</v>
      </c>
      <c r="C45" s="8">
        <v>14974.314</v>
      </c>
      <c r="D45" s="8"/>
      <c r="E45" s="8"/>
      <c r="F45" s="8"/>
      <c r="G45" s="8"/>
      <c r="H45" s="8"/>
      <c r="I45" s="8"/>
      <c r="J45" s="8"/>
      <c r="K45" s="8"/>
      <c r="L45" s="8"/>
      <c r="M45" s="62" cm="1">
        <f t="array" ref="M45">INDEX(tblPrices[cv_2018], MATCH(tblGoogleUnits[[#This Row],[Products]],tblPrices[Products],0), 0) *tblGoogleUnits[[#This Row],[cv_2018]]/10^6</f>
        <v>3.7312545189924089</v>
      </c>
      <c r="N45" s="62" cm="1">
        <f t="array" ref="N45">INDEX(tblPrices[cv_2019], MATCH(tblGoogleUnits[[#This Row],[Products]],tblPrices[Products],0), 0)* tblGoogleUnits[[#This Row],[cv_2019]]/10^6</f>
        <v>0.92910468899999987</v>
      </c>
      <c r="O45" s="62" cm="1">
        <f t="array" ref="O45">INDEX(tblPrices[cv_2020], MATCH(tblGoogleUnits[[#This Row],[Products]],tblPrices[Products],0), 0)* tblGoogleUnits[[#This Row],[cv_2020]]/10^6</f>
        <v>0</v>
      </c>
      <c r="P45" s="62" cm="1">
        <f t="array" ref="P45">INDEX(tblPrices[cv_2021], MATCH(tblGoogleUnits[[#This Row],[Products]],tblPrices[Products],0), 0)* tblGoogleUnits[[#This Row],[cv_2021]]/10^6</f>
        <v>0</v>
      </c>
      <c r="Q45" s="62" cm="1">
        <f t="array" ref="Q45">INDEX(tblPrices[cv_2022], MATCH(tblGoogleUnits[[#This Row],[Products]],tblPrices[Products],0), 0)* tblGoogleUnits[[#This Row],[cv_2022]]/10^6</f>
        <v>0</v>
      </c>
      <c r="R45" s="62" cm="1">
        <f t="array" ref="R45">INDEX(tblPrices[cv_2023], MATCH(tblGoogleUnits[[#This Row],[Products]],tblPrices[Products],0), 0)* tblGoogleUnits[[#This Row],[cv_2023]]/10^6</f>
        <v>0</v>
      </c>
      <c r="S45" s="62" cm="1">
        <f t="array" ref="S45">INDEX(tblPrices[cv_2024], MATCH(tblGoogleUnits[[#This Row],[Products]],tblPrices[Products],0), 0)* tblGoogleUnits[[#This Row],[cv_2024]]/10^6</f>
        <v>0</v>
      </c>
      <c r="T45" s="62" cm="1">
        <f t="array" ref="T45">INDEX(tblPrices[cv_2025], MATCH(tblGoogleUnits[[#This Row],[Products]],tblPrices[Products],0), 0)* tblGoogleUnits[[#This Row],[cv_2025]]/10^6</f>
        <v>0</v>
      </c>
      <c r="U45" s="62" cm="1">
        <f t="array" ref="U45">INDEX(tblPrices[cv_2026], MATCH(tblGoogleUnits[[#This Row],[Products]],tblPrices[Products],0), 0)* tblGoogleUnits[[#This Row],[cv_2026]]/10^6</f>
        <v>0</v>
      </c>
      <c r="V45" s="62" cm="1">
        <f t="array" ref="V45">INDEX(tblPrices[cv_2027], MATCH(tblGoogleUnits[[#This Row],[Products]],tblPrices[Products],0), 0)* tblGoogleUnits[[#This Row],[cv_2027]]/10^6</f>
        <v>0</v>
      </c>
      <c r="W45" s="62" cm="1">
        <f t="array" ref="W45">INDEX(tblPrices[cv_2028], MATCH(tblGoogleUnits[[#This Row],[Products]],tblPrices[Products],0), 0)* tblGoogleUnits[[#This Row],[cv_2028]]/10^6</f>
        <v>0</v>
      </c>
      <c r="X45" s="1">
        <f>VLOOKUP(A45,Products!$A$11:$F$110,6,FALSE)</f>
        <v>40</v>
      </c>
    </row>
    <row r="46" spans="1:24" s="1" customFormat="1" ht="13.15">
      <c r="A46" s="9" t="s">
        <v>2</v>
      </c>
      <c r="B46" s="8">
        <v>24463.89</v>
      </c>
      <c r="C46" s="8">
        <v>12923.7</v>
      </c>
      <c r="D46" s="8"/>
      <c r="E46" s="8"/>
      <c r="F46" s="8"/>
      <c r="G46" s="8"/>
      <c r="H46" s="8"/>
      <c r="I46" s="8"/>
      <c r="J46" s="8"/>
      <c r="K46" s="8"/>
      <c r="L46" s="8"/>
      <c r="M46" s="62" cm="1">
        <f t="array" ref="M46">INDEX(tblPrices[cv_2018], MATCH(tblGoogleUnits[[#This Row],[Products]],tblPrices[Products],0), 0) *tblGoogleUnits[[#This Row],[cv_2018]]/10^6</f>
        <v>7.4293452234000004</v>
      </c>
      <c r="N46" s="62" cm="1">
        <f t="array" ref="N46">INDEX(tblPrices[cv_2019], MATCH(tblGoogleUnits[[#This Row],[Products]],tblPrices[Products],0), 0)* tblGoogleUnits[[#This Row],[cv_2019]]/10^6</f>
        <v>3.2752723765764986</v>
      </c>
      <c r="O46" s="62" cm="1">
        <f t="array" ref="O46">INDEX(tblPrices[cv_2020], MATCH(tblGoogleUnits[[#This Row],[Products]],tblPrices[Products],0), 0)* tblGoogleUnits[[#This Row],[cv_2020]]/10^6</f>
        <v>0</v>
      </c>
      <c r="P46" s="62" cm="1">
        <f t="array" ref="P46">INDEX(tblPrices[cv_2021], MATCH(tblGoogleUnits[[#This Row],[Products]],tblPrices[Products],0), 0)* tblGoogleUnits[[#This Row],[cv_2021]]/10^6</f>
        <v>0</v>
      </c>
      <c r="Q46" s="62" cm="1">
        <f t="array" ref="Q46">INDEX(tblPrices[cv_2022], MATCH(tblGoogleUnits[[#This Row],[Products]],tblPrices[Products],0), 0)* tblGoogleUnits[[#This Row],[cv_2022]]/10^6</f>
        <v>0</v>
      </c>
      <c r="R46" s="62" cm="1">
        <f t="array" ref="R46">INDEX(tblPrices[cv_2023], MATCH(tblGoogleUnits[[#This Row],[Products]],tblPrices[Products],0), 0)* tblGoogleUnits[[#This Row],[cv_2023]]/10^6</f>
        <v>0</v>
      </c>
      <c r="S46" s="62" cm="1">
        <f t="array" ref="S46">INDEX(tblPrices[cv_2024], MATCH(tblGoogleUnits[[#This Row],[Products]],tblPrices[Products],0), 0)* tblGoogleUnits[[#This Row],[cv_2024]]/10^6</f>
        <v>0</v>
      </c>
      <c r="T46" s="62" cm="1">
        <f t="array" ref="T46">INDEX(tblPrices[cv_2025], MATCH(tblGoogleUnits[[#This Row],[Products]],tblPrices[Products],0), 0)* tblGoogleUnits[[#This Row],[cv_2025]]/10^6</f>
        <v>0</v>
      </c>
      <c r="U46" s="62" cm="1">
        <f t="array" ref="U46">INDEX(tblPrices[cv_2026], MATCH(tblGoogleUnits[[#This Row],[Products]],tblPrices[Products],0), 0)* tblGoogleUnits[[#This Row],[cv_2026]]/10^6</f>
        <v>0</v>
      </c>
      <c r="V46" s="62" cm="1">
        <f t="array" ref="V46">INDEX(tblPrices[cv_2027], MATCH(tblGoogleUnits[[#This Row],[Products]],tblPrices[Products],0), 0)* tblGoogleUnits[[#This Row],[cv_2027]]/10^6</f>
        <v>0</v>
      </c>
      <c r="W46" s="62" cm="1">
        <f t="array" ref="W46">INDEX(tblPrices[cv_2028], MATCH(tblGoogleUnits[[#This Row],[Products]],tblPrices[Products],0), 0)* tblGoogleUnits[[#This Row],[cv_2028]]/10^6</f>
        <v>0</v>
      </c>
      <c r="X46" s="1">
        <f>VLOOKUP(A46,Products!$A$11:$F$110,6,FALSE)</f>
        <v>40</v>
      </c>
    </row>
    <row r="47" spans="1:24" s="1" customFormat="1" ht="13.15">
      <c r="A47" s="9" t="s">
        <v>3</v>
      </c>
      <c r="B47" s="8">
        <v>784527.06149999995</v>
      </c>
      <c r="C47" s="8">
        <v>647696.49119999993</v>
      </c>
      <c r="D47" s="8"/>
      <c r="E47" s="8"/>
      <c r="F47" s="8"/>
      <c r="G47" s="8"/>
      <c r="H47" s="8"/>
      <c r="I47" s="8"/>
      <c r="J47" s="8"/>
      <c r="K47" s="8"/>
      <c r="L47" s="8"/>
      <c r="M47" s="62" cm="1">
        <f t="array" ref="M47">INDEX(tblPrices[cv_2018], MATCH(tblGoogleUnits[[#This Row],[Products]],tblPrices[Products],0), 0) *tblGoogleUnits[[#This Row],[cv_2018]]/10^6</f>
        <v>89.080560741993082</v>
      </c>
      <c r="N47" s="62" cm="1">
        <f t="array" ref="N47">INDEX(tblPrices[cv_2019], MATCH(tblGoogleUnits[[#This Row],[Products]],tblPrices[Products],0), 0)* tblGoogleUnits[[#This Row],[cv_2019]]/10^6</f>
        <v>55.048127145051417</v>
      </c>
      <c r="O47" s="62" cm="1">
        <f t="array" ref="O47">INDEX(tblPrices[cv_2020], MATCH(tblGoogleUnits[[#This Row],[Products]],tblPrices[Products],0), 0)* tblGoogleUnits[[#This Row],[cv_2020]]/10^6</f>
        <v>0</v>
      </c>
      <c r="P47" s="62" cm="1">
        <f t="array" ref="P47">INDEX(tblPrices[cv_2021], MATCH(tblGoogleUnits[[#This Row],[Products]],tblPrices[Products],0), 0)* tblGoogleUnits[[#This Row],[cv_2021]]/10^6</f>
        <v>0</v>
      </c>
      <c r="Q47" s="62" cm="1">
        <f t="array" ref="Q47">INDEX(tblPrices[cv_2022], MATCH(tblGoogleUnits[[#This Row],[Products]],tblPrices[Products],0), 0)* tblGoogleUnits[[#This Row],[cv_2022]]/10^6</f>
        <v>0</v>
      </c>
      <c r="R47" s="62" cm="1">
        <f t="array" ref="R47">INDEX(tblPrices[cv_2023], MATCH(tblGoogleUnits[[#This Row],[Products]],tblPrices[Products],0), 0)* tblGoogleUnits[[#This Row],[cv_2023]]/10^6</f>
        <v>0</v>
      </c>
      <c r="S47" s="62" cm="1">
        <f t="array" ref="S47">INDEX(tblPrices[cv_2024], MATCH(tblGoogleUnits[[#This Row],[Products]],tblPrices[Products],0), 0)* tblGoogleUnits[[#This Row],[cv_2024]]/10^6</f>
        <v>0</v>
      </c>
      <c r="T47" s="62" cm="1">
        <f t="array" ref="T47">INDEX(tblPrices[cv_2025], MATCH(tblGoogleUnits[[#This Row],[Products]],tblPrices[Products],0), 0)* tblGoogleUnits[[#This Row],[cv_2025]]/10^6</f>
        <v>0</v>
      </c>
      <c r="U47" s="62" cm="1">
        <f t="array" ref="U47">INDEX(tblPrices[cv_2026], MATCH(tblGoogleUnits[[#This Row],[Products]],tblPrices[Products],0), 0)* tblGoogleUnits[[#This Row],[cv_2026]]/10^6</f>
        <v>0</v>
      </c>
      <c r="V47" s="62" cm="1">
        <f t="array" ref="V47">INDEX(tblPrices[cv_2027], MATCH(tblGoogleUnits[[#This Row],[Products]],tblPrices[Products],0), 0)* tblGoogleUnits[[#This Row],[cv_2027]]/10^6</f>
        <v>0</v>
      </c>
      <c r="W47" s="62" cm="1">
        <f t="array" ref="W47">INDEX(tblPrices[cv_2028], MATCH(tblGoogleUnits[[#This Row],[Products]],tblPrices[Products],0), 0)* tblGoogleUnits[[#This Row],[cv_2028]]/10^6</f>
        <v>0</v>
      </c>
      <c r="X47" s="1">
        <f>VLOOKUP(A47,Products!$A$11:$F$110,6,FALSE)</f>
        <v>100</v>
      </c>
    </row>
    <row r="48" spans="1:24" s="1" customFormat="1" ht="13.15">
      <c r="A48" s="9" t="s">
        <v>4</v>
      </c>
      <c r="B48" s="8">
        <v>3590.9999999999995</v>
      </c>
      <c r="C48" s="8">
        <v>5734.7999999999984</v>
      </c>
      <c r="D48" s="8"/>
      <c r="E48" s="8"/>
      <c r="F48" s="8"/>
      <c r="G48" s="8"/>
      <c r="H48" s="8"/>
      <c r="I48" s="8"/>
      <c r="J48" s="8"/>
      <c r="K48" s="8"/>
      <c r="L48" s="8"/>
      <c r="M48" s="62" cm="1">
        <f t="array" ref="M48">INDEX(tblPrices[cv_2018], MATCH(tblGoogleUnits[[#This Row],[Products]],tblPrices[Products],0), 0) *tblGoogleUnits[[#This Row],[cv_2018]]/10^6</f>
        <v>0.61046999999999985</v>
      </c>
      <c r="N48" s="62" cm="1">
        <f t="array" ref="N48">INDEX(tblPrices[cv_2019], MATCH(tblGoogleUnits[[#This Row],[Products]],tblPrices[Products],0), 0)* tblGoogleUnits[[#This Row],[cv_2019]]/10^6</f>
        <v>0.71684999999999977</v>
      </c>
      <c r="O48" s="62" cm="1">
        <f t="array" ref="O48">INDEX(tblPrices[cv_2020], MATCH(tblGoogleUnits[[#This Row],[Products]],tblPrices[Products],0), 0)* tblGoogleUnits[[#This Row],[cv_2020]]/10^6</f>
        <v>0</v>
      </c>
      <c r="P48" s="62" cm="1">
        <f t="array" ref="P48">INDEX(tblPrices[cv_2021], MATCH(tblGoogleUnits[[#This Row],[Products]],tblPrices[Products],0), 0)* tblGoogleUnits[[#This Row],[cv_2021]]/10^6</f>
        <v>0</v>
      </c>
      <c r="Q48" s="62" cm="1">
        <f t="array" ref="Q48">INDEX(tblPrices[cv_2022], MATCH(tblGoogleUnits[[#This Row],[Products]],tblPrices[Products],0), 0)* tblGoogleUnits[[#This Row],[cv_2022]]/10^6</f>
        <v>0</v>
      </c>
      <c r="R48" s="62" cm="1">
        <f t="array" ref="R48">INDEX(tblPrices[cv_2023], MATCH(tblGoogleUnits[[#This Row],[Products]],tblPrices[Products],0), 0)* tblGoogleUnits[[#This Row],[cv_2023]]/10^6</f>
        <v>0</v>
      </c>
      <c r="S48" s="62" cm="1">
        <f t="array" ref="S48">INDEX(tblPrices[cv_2024], MATCH(tblGoogleUnits[[#This Row],[Products]],tblPrices[Products],0), 0)* tblGoogleUnits[[#This Row],[cv_2024]]/10^6</f>
        <v>0</v>
      </c>
      <c r="T48" s="62" cm="1">
        <f t="array" ref="T48">INDEX(tblPrices[cv_2025], MATCH(tblGoogleUnits[[#This Row],[Products]],tblPrices[Products],0), 0)* tblGoogleUnits[[#This Row],[cv_2025]]/10^6</f>
        <v>0</v>
      </c>
      <c r="U48" s="62" cm="1">
        <f t="array" ref="U48">INDEX(tblPrices[cv_2026], MATCH(tblGoogleUnits[[#This Row],[Products]],tblPrices[Products],0), 0)* tblGoogleUnits[[#This Row],[cv_2026]]/10^6</f>
        <v>0</v>
      </c>
      <c r="V48" s="62" cm="1">
        <f t="array" ref="V48">INDEX(tblPrices[cv_2027], MATCH(tblGoogleUnits[[#This Row],[Products]],tblPrices[Products],0), 0)* tblGoogleUnits[[#This Row],[cv_2027]]/10^6</f>
        <v>0</v>
      </c>
      <c r="W48" s="62" cm="1">
        <f t="array" ref="W48">INDEX(tblPrices[cv_2028], MATCH(tblGoogleUnits[[#This Row],[Products]],tblPrices[Products],0), 0)* tblGoogleUnits[[#This Row],[cv_2028]]/10^6</f>
        <v>0</v>
      </c>
      <c r="X48" s="1">
        <f>VLOOKUP(A48,Products!$A$11:$F$110,6,FALSE)</f>
        <v>100</v>
      </c>
    </row>
    <row r="49" spans="1:24" s="1" customFormat="1" ht="13.15">
      <c r="A49" s="9" t="s">
        <v>5</v>
      </c>
      <c r="B49" s="8">
        <v>1110444.1083333332</v>
      </c>
      <c r="C49" s="8">
        <v>777711.67500000005</v>
      </c>
      <c r="D49" s="8"/>
      <c r="E49" s="8"/>
      <c r="F49" s="8"/>
      <c r="G49" s="8"/>
      <c r="H49" s="8"/>
      <c r="I49" s="8"/>
      <c r="J49" s="8"/>
      <c r="K49" s="8"/>
      <c r="L49" s="8"/>
      <c r="M49" s="62" cm="1">
        <f t="array" ref="M49">INDEX(tblPrices[cv_2018], MATCH(tblGoogleUnits[[#This Row],[Products]],tblPrices[Products],0), 0) *tblGoogleUnits[[#This Row],[cv_2018]]/10^6</f>
        <v>544.11761308333325</v>
      </c>
      <c r="N49" s="62" cm="1">
        <f t="array" ref="N49">INDEX(tblPrices[cv_2019], MATCH(tblGoogleUnits[[#This Row],[Products]],tblPrices[Products],0), 0)* tblGoogleUnits[[#This Row],[cv_2019]]/10^6</f>
        <v>186.650802</v>
      </c>
      <c r="O49" s="62" cm="1">
        <f t="array" ref="O49">INDEX(tblPrices[cv_2020], MATCH(tblGoogleUnits[[#This Row],[Products]],tblPrices[Products],0), 0)* tblGoogleUnits[[#This Row],[cv_2020]]/10^6</f>
        <v>0</v>
      </c>
      <c r="P49" s="62" cm="1">
        <f t="array" ref="P49">INDEX(tblPrices[cv_2021], MATCH(tblGoogleUnits[[#This Row],[Products]],tblPrices[Products],0), 0)* tblGoogleUnits[[#This Row],[cv_2021]]/10^6</f>
        <v>0</v>
      </c>
      <c r="Q49" s="62" cm="1">
        <f t="array" ref="Q49">INDEX(tblPrices[cv_2022], MATCH(tblGoogleUnits[[#This Row],[Products]],tblPrices[Products],0), 0)* tblGoogleUnits[[#This Row],[cv_2022]]/10^6</f>
        <v>0</v>
      </c>
      <c r="R49" s="62" cm="1">
        <f t="array" ref="R49">INDEX(tblPrices[cv_2023], MATCH(tblGoogleUnits[[#This Row],[Products]],tblPrices[Products],0), 0)* tblGoogleUnits[[#This Row],[cv_2023]]/10^6</f>
        <v>0</v>
      </c>
      <c r="S49" s="62" cm="1">
        <f t="array" ref="S49">INDEX(tblPrices[cv_2024], MATCH(tblGoogleUnits[[#This Row],[Products]],tblPrices[Products],0), 0)* tblGoogleUnits[[#This Row],[cv_2024]]/10^6</f>
        <v>0</v>
      </c>
      <c r="T49" s="62" cm="1">
        <f t="array" ref="T49">INDEX(tblPrices[cv_2025], MATCH(tblGoogleUnits[[#This Row],[Products]],tblPrices[Products],0), 0)* tblGoogleUnits[[#This Row],[cv_2025]]/10^6</f>
        <v>0</v>
      </c>
      <c r="U49" s="62" cm="1">
        <f t="array" ref="U49">INDEX(tblPrices[cv_2026], MATCH(tblGoogleUnits[[#This Row],[Products]],tblPrices[Products],0), 0)* tblGoogleUnits[[#This Row],[cv_2026]]/10^6</f>
        <v>0</v>
      </c>
      <c r="V49" s="62" cm="1">
        <f t="array" ref="V49">INDEX(tblPrices[cv_2027], MATCH(tblGoogleUnits[[#This Row],[Products]],tblPrices[Products],0), 0)* tblGoogleUnits[[#This Row],[cv_2027]]/10^6</f>
        <v>0</v>
      </c>
      <c r="W49" s="62" cm="1">
        <f t="array" ref="W49">INDEX(tblPrices[cv_2028], MATCH(tblGoogleUnits[[#This Row],[Products]],tblPrices[Products],0), 0)* tblGoogleUnits[[#This Row],[cv_2028]]/10^6</f>
        <v>0</v>
      </c>
      <c r="X49" s="1">
        <f>VLOOKUP(A49,Products!$A$11:$F$110,6,FALSE)</f>
        <v>100</v>
      </c>
    </row>
    <row r="50" spans="1:24" s="1" customFormat="1" ht="13.15">
      <c r="A50" s="9" t="s">
        <v>6</v>
      </c>
      <c r="B50" s="8">
        <v>63364.160485294109</v>
      </c>
      <c r="C50" s="8">
        <v>58330.164750000011</v>
      </c>
      <c r="D50" s="8"/>
      <c r="E50" s="8"/>
      <c r="F50" s="8"/>
      <c r="G50" s="8"/>
      <c r="H50" s="8"/>
      <c r="I50" s="8"/>
      <c r="J50" s="8"/>
      <c r="K50" s="8"/>
      <c r="L50" s="8"/>
      <c r="M50" s="62" cm="1">
        <f t="array" ref="M50">INDEX(tblPrices[cv_2018], MATCH(tblGoogleUnits[[#This Row],[Products]],tblPrices[Products],0), 0) *tblGoogleUnits[[#This Row],[cv_2018]]/10^6</f>
        <v>52.835116173342072</v>
      </c>
      <c r="N50" s="62" cm="1">
        <f t="array" ref="N50">INDEX(tblPrices[cv_2019], MATCH(tblGoogleUnits[[#This Row],[Products]],tblPrices[Products],0), 0)* tblGoogleUnits[[#This Row],[cv_2019]]/10^6</f>
        <v>30.745082285651982</v>
      </c>
      <c r="O50" s="62" cm="1">
        <f t="array" ref="O50">INDEX(tblPrices[cv_2020], MATCH(tblGoogleUnits[[#This Row],[Products]],tblPrices[Products],0), 0)* tblGoogleUnits[[#This Row],[cv_2020]]/10^6</f>
        <v>0</v>
      </c>
      <c r="P50" s="62" cm="1">
        <f t="array" ref="P50">INDEX(tblPrices[cv_2021], MATCH(tblGoogleUnits[[#This Row],[Products]],tblPrices[Products],0), 0)* tblGoogleUnits[[#This Row],[cv_2021]]/10^6</f>
        <v>0</v>
      </c>
      <c r="Q50" s="62" cm="1">
        <f t="array" ref="Q50">INDEX(tblPrices[cv_2022], MATCH(tblGoogleUnits[[#This Row],[Products]],tblPrices[Products],0), 0)* tblGoogleUnits[[#This Row],[cv_2022]]/10^6</f>
        <v>0</v>
      </c>
      <c r="R50" s="62" cm="1">
        <f t="array" ref="R50">INDEX(tblPrices[cv_2023], MATCH(tblGoogleUnits[[#This Row],[Products]],tblPrices[Products],0), 0)* tblGoogleUnits[[#This Row],[cv_2023]]/10^6</f>
        <v>0</v>
      </c>
      <c r="S50" s="62" cm="1">
        <f t="array" ref="S50">INDEX(tblPrices[cv_2024], MATCH(tblGoogleUnits[[#This Row],[Products]],tblPrices[Products],0), 0)* tblGoogleUnits[[#This Row],[cv_2024]]/10^6</f>
        <v>0</v>
      </c>
      <c r="T50" s="62" cm="1">
        <f t="array" ref="T50">INDEX(tblPrices[cv_2025], MATCH(tblGoogleUnits[[#This Row],[Products]],tblPrices[Products],0), 0)* tblGoogleUnits[[#This Row],[cv_2025]]/10^6</f>
        <v>0</v>
      </c>
      <c r="U50" s="62" cm="1">
        <f t="array" ref="U50">INDEX(tblPrices[cv_2026], MATCH(tblGoogleUnits[[#This Row],[Products]],tblPrices[Products],0), 0)* tblGoogleUnits[[#This Row],[cv_2026]]/10^6</f>
        <v>0</v>
      </c>
      <c r="V50" s="62" cm="1">
        <f t="array" ref="V50">INDEX(tblPrices[cv_2027], MATCH(tblGoogleUnits[[#This Row],[Products]],tblPrices[Products],0), 0)* tblGoogleUnits[[#This Row],[cv_2027]]/10^6</f>
        <v>0</v>
      </c>
      <c r="W50" s="62" cm="1">
        <f t="array" ref="W50">INDEX(tblPrices[cv_2028], MATCH(tblGoogleUnits[[#This Row],[Products]],tblPrices[Products],0), 0)* tblGoogleUnits[[#This Row],[cv_2028]]/10^6</f>
        <v>0</v>
      </c>
      <c r="X50" s="1">
        <f>VLOOKUP(A50,Products!$A$29:$F$110,6,FALSE)</f>
        <v>100</v>
      </c>
    </row>
    <row r="51" spans="1:24" s="1" customFormat="1" ht="13.15">
      <c r="A51" s="9" t="s">
        <v>7</v>
      </c>
      <c r="B51" s="8">
        <v>43119.999999999993</v>
      </c>
      <c r="C51" s="8">
        <v>33592.993199999997</v>
      </c>
      <c r="D51" s="8"/>
      <c r="E51" s="8"/>
      <c r="F51" s="8"/>
      <c r="G51" s="8"/>
      <c r="H51" s="8"/>
      <c r="I51" s="8"/>
      <c r="J51" s="8"/>
      <c r="K51" s="8"/>
      <c r="L51" s="8"/>
      <c r="M51" s="62" cm="1">
        <f t="array" ref="M51">INDEX(tblPrices[cv_2018], MATCH(tblGoogleUnits[[#This Row],[Products]],tblPrices[Products],0), 0) *tblGoogleUnits[[#This Row],[cv_2018]]/10^6</f>
        <v>12.935999999999998</v>
      </c>
      <c r="N51" s="62" cm="1">
        <f t="array" ref="N51">INDEX(tblPrices[cv_2019], MATCH(tblGoogleUnits[[#This Row],[Products]],tblPrices[Products],0), 0)* tblGoogleUnits[[#This Row],[cv_2019]]/10^6</f>
        <v>6.9274981282772998</v>
      </c>
      <c r="O51" s="62" cm="1">
        <f t="array" ref="O51">INDEX(tblPrices[cv_2020], MATCH(tblGoogleUnits[[#This Row],[Products]],tblPrices[Products],0), 0)* tblGoogleUnits[[#This Row],[cv_2020]]/10^6</f>
        <v>0</v>
      </c>
      <c r="P51" s="62" cm="1">
        <f t="array" ref="P51">INDEX(tblPrices[cv_2021], MATCH(tblGoogleUnits[[#This Row],[Products]],tblPrices[Products],0), 0)* tblGoogleUnits[[#This Row],[cv_2021]]/10^6</f>
        <v>0</v>
      </c>
      <c r="Q51" s="62" cm="1">
        <f t="array" ref="Q51">INDEX(tblPrices[cv_2022], MATCH(tblGoogleUnits[[#This Row],[Products]],tblPrices[Products],0), 0)* tblGoogleUnits[[#This Row],[cv_2022]]/10^6</f>
        <v>0</v>
      </c>
      <c r="R51" s="62" cm="1">
        <f t="array" ref="R51">INDEX(tblPrices[cv_2023], MATCH(tblGoogleUnits[[#This Row],[Products]],tblPrices[Products],0), 0)* tblGoogleUnits[[#This Row],[cv_2023]]/10^6</f>
        <v>0</v>
      </c>
      <c r="S51" s="62" cm="1">
        <f t="array" ref="S51">INDEX(tblPrices[cv_2024], MATCH(tblGoogleUnits[[#This Row],[Products]],tblPrices[Products],0), 0)* tblGoogleUnits[[#This Row],[cv_2024]]/10^6</f>
        <v>0</v>
      </c>
      <c r="T51" s="62" cm="1">
        <f t="array" ref="T51">INDEX(tblPrices[cv_2025], MATCH(tblGoogleUnits[[#This Row],[Products]],tblPrices[Products],0), 0)* tblGoogleUnits[[#This Row],[cv_2025]]/10^6</f>
        <v>0</v>
      </c>
      <c r="U51" s="62" cm="1">
        <f t="array" ref="U51">INDEX(tblPrices[cv_2026], MATCH(tblGoogleUnits[[#This Row],[Products]],tblPrices[Products],0), 0)* tblGoogleUnits[[#This Row],[cv_2026]]/10^6</f>
        <v>0</v>
      </c>
      <c r="V51" s="62" cm="1">
        <f t="array" ref="V51">INDEX(tblPrices[cv_2027], MATCH(tblGoogleUnits[[#This Row],[Products]],tblPrices[Products],0), 0)* tblGoogleUnits[[#This Row],[cv_2027]]/10^6</f>
        <v>0</v>
      </c>
      <c r="W51" s="62" cm="1">
        <f t="array" ref="W51">INDEX(tblPrices[cv_2028], MATCH(tblGoogleUnits[[#This Row],[Products]],tblPrices[Products],0), 0)* tblGoogleUnits[[#This Row],[cv_2028]]/10^6</f>
        <v>0</v>
      </c>
      <c r="X51" s="1">
        <f>VLOOKUP(A51,Products!$A$29:$F$110,6,FALSE)</f>
        <v>100</v>
      </c>
    </row>
    <row r="52" spans="1:24" s="1" customFormat="1" ht="13.15">
      <c r="A52" s="9" t="s">
        <v>8</v>
      </c>
      <c r="B52" s="8">
        <v>0</v>
      </c>
      <c r="C52" s="8">
        <v>1417.5200000000002</v>
      </c>
      <c r="D52" s="8"/>
      <c r="E52" s="8"/>
      <c r="F52" s="8"/>
      <c r="G52" s="8"/>
      <c r="H52" s="8"/>
      <c r="I52" s="8"/>
      <c r="J52" s="8"/>
      <c r="K52" s="8"/>
      <c r="L52" s="8"/>
      <c r="M52" s="62" cm="1">
        <f t="array" ref="M52">INDEX(tblPrices[cv_2018], MATCH(tblGoogleUnits[[#This Row],[Products]],tblPrices[Products],0), 0) *tblGoogleUnits[[#This Row],[cv_2018]]/10^6</f>
        <v>0</v>
      </c>
      <c r="N52" s="62" cm="1">
        <f t="array" ref="N52">INDEX(tblPrices[cv_2019], MATCH(tblGoogleUnits[[#This Row],[Products]],tblPrices[Products],0), 0)* tblGoogleUnits[[#This Row],[cv_2019]]/10^6</f>
        <v>2.4206211466055789</v>
      </c>
      <c r="O52" s="62" cm="1">
        <f t="array" ref="O52">INDEX(tblPrices[cv_2020], MATCH(tblGoogleUnits[[#This Row],[Products]],tblPrices[Products],0), 0)* tblGoogleUnits[[#This Row],[cv_2020]]/10^6</f>
        <v>0</v>
      </c>
      <c r="P52" s="62" cm="1">
        <f t="array" ref="P52">INDEX(tblPrices[cv_2021], MATCH(tblGoogleUnits[[#This Row],[Products]],tblPrices[Products],0), 0)* tblGoogleUnits[[#This Row],[cv_2021]]/10^6</f>
        <v>0</v>
      </c>
      <c r="Q52" s="62" cm="1">
        <f t="array" ref="Q52">INDEX(tblPrices[cv_2022], MATCH(tblGoogleUnits[[#This Row],[Products]],tblPrices[Products],0), 0)* tblGoogleUnits[[#This Row],[cv_2022]]/10^6</f>
        <v>0</v>
      </c>
      <c r="R52" s="62" cm="1">
        <f t="array" ref="R52">INDEX(tblPrices[cv_2023], MATCH(tblGoogleUnits[[#This Row],[Products]],tblPrices[Products],0), 0)* tblGoogleUnits[[#This Row],[cv_2023]]/10^6</f>
        <v>0</v>
      </c>
      <c r="S52" s="62" cm="1">
        <f t="array" ref="S52">INDEX(tblPrices[cv_2024], MATCH(tblGoogleUnits[[#This Row],[Products]],tblPrices[Products],0), 0)* tblGoogleUnits[[#This Row],[cv_2024]]/10^6</f>
        <v>0</v>
      </c>
      <c r="T52" s="62" cm="1">
        <f t="array" ref="T52">INDEX(tblPrices[cv_2025], MATCH(tblGoogleUnits[[#This Row],[Products]],tblPrices[Products],0), 0)* tblGoogleUnits[[#This Row],[cv_2025]]/10^6</f>
        <v>0</v>
      </c>
      <c r="U52" s="62" cm="1">
        <f t="array" ref="U52">INDEX(tblPrices[cv_2026], MATCH(tblGoogleUnits[[#This Row],[Products]],tblPrices[Products],0), 0)* tblGoogleUnits[[#This Row],[cv_2026]]/10^6</f>
        <v>0</v>
      </c>
      <c r="V52" s="62" cm="1">
        <f t="array" ref="V52">INDEX(tblPrices[cv_2027], MATCH(tblGoogleUnits[[#This Row],[Products]],tblPrices[Products],0), 0)* tblGoogleUnits[[#This Row],[cv_2027]]/10^6</f>
        <v>0</v>
      </c>
      <c r="W52" s="62" cm="1">
        <f t="array" ref="W52">INDEX(tblPrices[cv_2028], MATCH(tblGoogleUnits[[#This Row],[Products]],tblPrices[Products],0), 0)* tblGoogleUnits[[#This Row],[cv_2028]]/10^6</f>
        <v>0</v>
      </c>
      <c r="X52" s="1">
        <f>VLOOKUP(A52,Products!$A$29:$F$110,6,FALSE)</f>
        <v>100</v>
      </c>
    </row>
    <row r="53" spans="1:24" s="1" customFormat="1" ht="13.15">
      <c r="A53" s="9" t="s">
        <v>9</v>
      </c>
      <c r="B53" s="8">
        <v>23000</v>
      </c>
      <c r="C53" s="8">
        <v>60000</v>
      </c>
      <c r="D53" s="8"/>
      <c r="E53" s="8"/>
      <c r="F53" s="8"/>
      <c r="G53" s="8"/>
      <c r="H53" s="8"/>
      <c r="I53" s="8"/>
      <c r="J53" s="8"/>
      <c r="K53" s="8"/>
      <c r="L53" s="8"/>
      <c r="M53" s="62" cm="1">
        <f t="array" ref="M53">INDEX(tblPrices[cv_2018], MATCH(tblGoogleUnits[[#This Row],[Products]],tblPrices[Products],0), 0) *tblGoogleUnits[[#This Row],[cv_2018]]/10^6</f>
        <v>14.811999999999999</v>
      </c>
      <c r="N53" s="62" cm="1">
        <f t="array" ref="N53">INDEX(tblPrices[cv_2019], MATCH(tblGoogleUnits[[#This Row],[Products]],tblPrices[Products],0), 0)* tblGoogleUnits[[#This Row],[cv_2019]]/10^6</f>
        <v>31.2</v>
      </c>
      <c r="O53" s="62" cm="1">
        <f t="array" ref="O53">INDEX(tblPrices[cv_2020], MATCH(tblGoogleUnits[[#This Row],[Products]],tblPrices[Products],0), 0)* tblGoogleUnits[[#This Row],[cv_2020]]/10^6</f>
        <v>0</v>
      </c>
      <c r="P53" s="62" cm="1">
        <f t="array" ref="P53">INDEX(tblPrices[cv_2021], MATCH(tblGoogleUnits[[#This Row],[Products]],tblPrices[Products],0), 0)* tblGoogleUnits[[#This Row],[cv_2021]]/10^6</f>
        <v>0</v>
      </c>
      <c r="Q53" s="62" cm="1">
        <f t="array" ref="Q53">INDEX(tblPrices[cv_2022], MATCH(tblGoogleUnits[[#This Row],[Products]],tblPrices[Products],0), 0)* tblGoogleUnits[[#This Row],[cv_2022]]/10^6</f>
        <v>0</v>
      </c>
      <c r="R53" s="62" cm="1">
        <f t="array" ref="R53">INDEX(tblPrices[cv_2023], MATCH(tblGoogleUnits[[#This Row],[Products]],tblPrices[Products],0), 0)* tblGoogleUnits[[#This Row],[cv_2023]]/10^6</f>
        <v>0</v>
      </c>
      <c r="S53" s="62" cm="1">
        <f t="array" ref="S53">INDEX(tblPrices[cv_2024], MATCH(tblGoogleUnits[[#This Row],[Products]],tblPrices[Products],0), 0)* tblGoogleUnits[[#This Row],[cv_2024]]/10^6</f>
        <v>0</v>
      </c>
      <c r="T53" s="62" cm="1">
        <f t="array" ref="T53">INDEX(tblPrices[cv_2025], MATCH(tblGoogleUnits[[#This Row],[Products]],tblPrices[Products],0), 0)* tblGoogleUnits[[#This Row],[cv_2025]]/10^6</f>
        <v>0</v>
      </c>
      <c r="U53" s="62" cm="1">
        <f t="array" ref="U53">INDEX(tblPrices[cv_2026], MATCH(tblGoogleUnits[[#This Row],[Products]],tblPrices[Products],0), 0)* tblGoogleUnits[[#This Row],[cv_2026]]/10^6</f>
        <v>0</v>
      </c>
      <c r="V53" s="62" cm="1">
        <f t="array" ref="V53">INDEX(tblPrices[cv_2027], MATCH(tblGoogleUnits[[#This Row],[Products]],tblPrices[Products],0), 0)* tblGoogleUnits[[#This Row],[cv_2027]]/10^6</f>
        <v>0</v>
      </c>
      <c r="W53" s="62" cm="1">
        <f t="array" ref="W53">INDEX(tblPrices[cv_2028], MATCH(tblGoogleUnits[[#This Row],[Products]],tblPrices[Products],0), 0)* tblGoogleUnits[[#This Row],[cv_2028]]/10^6</f>
        <v>0</v>
      </c>
      <c r="X53" s="1">
        <f>VLOOKUP(A53,Products!$A$29:$F$110,6,FALSE)</f>
        <v>400</v>
      </c>
    </row>
    <row r="54" spans="1:24" s="1" customFormat="1" ht="13.15">
      <c r="A54" s="9" t="s">
        <v>10</v>
      </c>
      <c r="B54" s="8">
        <v>12000</v>
      </c>
      <c r="C54" s="8">
        <v>53000</v>
      </c>
      <c r="D54" s="8"/>
      <c r="E54" s="8"/>
      <c r="F54" s="8"/>
      <c r="G54" s="8"/>
      <c r="H54" s="8"/>
      <c r="I54" s="8"/>
      <c r="J54" s="8"/>
      <c r="K54" s="8"/>
      <c r="L54" s="8"/>
      <c r="M54" s="62" cm="1">
        <f t="array" ref="M54">INDEX(tblPrices[cv_2018], MATCH(tblGoogleUnits[[#This Row],[Products]],tblPrices[Products],0), 0) *tblGoogleUnits[[#This Row],[cv_2018]]/10^6</f>
        <v>22.2</v>
      </c>
      <c r="N54" s="62" cm="1">
        <f t="array" ref="N54">INDEX(tblPrices[cv_2019], MATCH(tblGoogleUnits[[#This Row],[Products]],tblPrices[Products],0), 0)* tblGoogleUnits[[#This Row],[cv_2019]]/10^6</f>
        <v>53</v>
      </c>
      <c r="O54" s="62" cm="1">
        <f t="array" ref="O54">INDEX(tblPrices[cv_2020], MATCH(tblGoogleUnits[[#This Row],[Products]],tblPrices[Products],0), 0)* tblGoogleUnits[[#This Row],[cv_2020]]/10^6</f>
        <v>0</v>
      </c>
      <c r="P54" s="62" cm="1">
        <f t="array" ref="P54">INDEX(tblPrices[cv_2021], MATCH(tblGoogleUnits[[#This Row],[Products]],tblPrices[Products],0), 0)* tblGoogleUnits[[#This Row],[cv_2021]]/10^6</f>
        <v>0</v>
      </c>
      <c r="Q54" s="62" cm="1">
        <f t="array" ref="Q54">INDEX(tblPrices[cv_2022], MATCH(tblGoogleUnits[[#This Row],[Products]],tblPrices[Products],0), 0)* tblGoogleUnits[[#This Row],[cv_2022]]/10^6</f>
        <v>0</v>
      </c>
      <c r="R54" s="62" cm="1">
        <f t="array" ref="R54">INDEX(tblPrices[cv_2023], MATCH(tblGoogleUnits[[#This Row],[Products]],tblPrices[Products],0), 0)* tblGoogleUnits[[#This Row],[cv_2023]]/10^6</f>
        <v>0</v>
      </c>
      <c r="S54" s="62" cm="1">
        <f t="array" ref="S54">INDEX(tblPrices[cv_2024], MATCH(tblGoogleUnits[[#This Row],[Products]],tblPrices[Products],0), 0)* tblGoogleUnits[[#This Row],[cv_2024]]/10^6</f>
        <v>0</v>
      </c>
      <c r="T54" s="62" cm="1">
        <f t="array" ref="T54">INDEX(tblPrices[cv_2025], MATCH(tblGoogleUnits[[#This Row],[Products]],tblPrices[Products],0), 0)* tblGoogleUnits[[#This Row],[cv_2025]]/10^6</f>
        <v>0</v>
      </c>
      <c r="U54" s="62" cm="1">
        <f t="array" ref="U54">INDEX(tblPrices[cv_2026], MATCH(tblGoogleUnits[[#This Row],[Products]],tblPrices[Products],0), 0)* tblGoogleUnits[[#This Row],[cv_2026]]/10^6</f>
        <v>0</v>
      </c>
      <c r="V54" s="62" cm="1">
        <f t="array" ref="V54">INDEX(tblPrices[cv_2027], MATCH(tblGoogleUnits[[#This Row],[Products]],tblPrices[Products],0), 0)* tblGoogleUnits[[#This Row],[cv_2027]]/10^6</f>
        <v>0</v>
      </c>
      <c r="W54" s="62" cm="1">
        <f t="array" ref="W54">INDEX(tblPrices[cv_2028], MATCH(tblGoogleUnits[[#This Row],[Products]],tblPrices[Products],0), 0)* tblGoogleUnits[[#This Row],[cv_2028]]/10^6</f>
        <v>0</v>
      </c>
      <c r="X54" s="1">
        <f>VLOOKUP(A54,Products!$A$29:$F$110,6,FALSE)</f>
        <v>400</v>
      </c>
    </row>
    <row r="55" spans="1:24" s="1" customFormat="1" ht="13.15">
      <c r="A55" s="9" t="s">
        <v>11</v>
      </c>
      <c r="B55" s="8">
        <v>0</v>
      </c>
      <c r="C55" s="8">
        <v>0</v>
      </c>
      <c r="D55" s="8"/>
      <c r="E55" s="8"/>
      <c r="F55" s="8"/>
      <c r="G55" s="8"/>
      <c r="H55" s="8"/>
      <c r="I55" s="8"/>
      <c r="J55" s="8"/>
      <c r="K55" s="8"/>
      <c r="L55" s="8"/>
      <c r="M55" s="62" cm="1">
        <f t="array" ref="M55">INDEX(tblPrices[cv_2018], MATCH(tblGoogleUnits[[#This Row],[Products]],tblPrices[Products],0), 0) *tblGoogleUnits[[#This Row],[cv_2018]]/10^6</f>
        <v>0</v>
      </c>
      <c r="N55" s="62" cm="1">
        <f t="array" ref="N55">INDEX(tblPrices[cv_2019], MATCH(tblGoogleUnits[[#This Row],[Products]],tblPrices[Products],0), 0)* tblGoogleUnits[[#This Row],[cv_2019]]/10^6</f>
        <v>0</v>
      </c>
      <c r="O55" s="62" cm="1">
        <f t="array" ref="O55">INDEX(tblPrices[cv_2020], MATCH(tblGoogleUnits[[#This Row],[Products]],tblPrices[Products],0), 0)* tblGoogleUnits[[#This Row],[cv_2020]]/10^6</f>
        <v>0</v>
      </c>
      <c r="P55" s="62" cm="1">
        <f t="array" ref="P55">INDEX(tblPrices[cv_2021], MATCH(tblGoogleUnits[[#This Row],[Products]],tblPrices[Products],0), 0)* tblGoogleUnits[[#This Row],[cv_2021]]/10^6</f>
        <v>0</v>
      </c>
      <c r="Q55" s="62" cm="1">
        <f t="array" ref="Q55">INDEX(tblPrices[cv_2022], MATCH(tblGoogleUnits[[#This Row],[Products]],tblPrices[Products],0), 0)* tblGoogleUnits[[#This Row],[cv_2022]]/10^6</f>
        <v>0</v>
      </c>
      <c r="R55" s="62" cm="1">
        <f t="array" ref="R55">INDEX(tblPrices[cv_2023], MATCH(tblGoogleUnits[[#This Row],[Products]],tblPrices[Products],0), 0)* tblGoogleUnits[[#This Row],[cv_2023]]/10^6</f>
        <v>0</v>
      </c>
      <c r="S55" s="62" cm="1">
        <f t="array" ref="S55">INDEX(tblPrices[cv_2024], MATCH(tblGoogleUnits[[#This Row],[Products]],tblPrices[Products],0), 0)* tblGoogleUnits[[#This Row],[cv_2024]]/10^6</f>
        <v>0</v>
      </c>
      <c r="T55" s="62" cm="1">
        <f t="array" ref="T55">INDEX(tblPrices[cv_2025], MATCH(tblGoogleUnits[[#This Row],[Products]],tblPrices[Products],0), 0)* tblGoogleUnits[[#This Row],[cv_2025]]/10^6</f>
        <v>0</v>
      </c>
      <c r="U55" s="62" cm="1">
        <f t="array" ref="U55">INDEX(tblPrices[cv_2026], MATCH(tblGoogleUnits[[#This Row],[Products]],tblPrices[Products],0), 0)* tblGoogleUnits[[#This Row],[cv_2026]]/10^6</f>
        <v>0</v>
      </c>
      <c r="V55" s="62" cm="1">
        <f t="array" ref="V55">INDEX(tblPrices[cv_2027], MATCH(tblGoogleUnits[[#This Row],[Products]],tblPrices[Products],0), 0)* tblGoogleUnits[[#This Row],[cv_2027]]/10^6</f>
        <v>0</v>
      </c>
      <c r="W55" s="62" cm="1">
        <f t="array" ref="W55">INDEX(tblPrices[cv_2028], MATCH(tblGoogleUnits[[#This Row],[Products]],tblPrices[Products],0), 0)* tblGoogleUnits[[#This Row],[cv_2028]]/10^6</f>
        <v>0</v>
      </c>
      <c r="X55" s="1">
        <f>VLOOKUP(A55,Products!$A$29:$F$110,6,FALSE)</f>
        <v>400</v>
      </c>
    </row>
    <row r="56" spans="1:24" s="1" customFormat="1" ht="13.15">
      <c r="A56" s="9" t="s">
        <v>12</v>
      </c>
      <c r="B56" s="8">
        <v>0</v>
      </c>
      <c r="C56" s="8">
        <v>0</v>
      </c>
      <c r="D56" s="8"/>
      <c r="E56" s="8"/>
      <c r="F56" s="8"/>
      <c r="G56" s="8"/>
      <c r="H56" s="8"/>
      <c r="I56" s="8"/>
      <c r="J56" s="8"/>
      <c r="K56" s="8"/>
      <c r="L56" s="8"/>
      <c r="M56" s="62" cm="1">
        <f t="array" ref="M56">INDEX(tblPrices[cv_2018], MATCH(tblGoogleUnits[[#This Row],[Products]],tblPrices[Products],0), 0) *tblGoogleUnits[[#This Row],[cv_2018]]/10^6</f>
        <v>0</v>
      </c>
      <c r="N56" s="62" cm="1">
        <f t="array" ref="N56">INDEX(tblPrices[cv_2019], MATCH(tblGoogleUnits[[#This Row],[Products]],tblPrices[Products],0), 0)* tblGoogleUnits[[#This Row],[cv_2019]]/10^6</f>
        <v>0</v>
      </c>
      <c r="O56" s="62" cm="1">
        <f t="array" ref="O56">INDEX(tblPrices[cv_2020], MATCH(tblGoogleUnits[[#This Row],[Products]],tblPrices[Products],0), 0)* tblGoogleUnits[[#This Row],[cv_2020]]/10^6</f>
        <v>0</v>
      </c>
      <c r="P56" s="62" cm="1">
        <f t="array" ref="P56">INDEX(tblPrices[cv_2021], MATCH(tblGoogleUnits[[#This Row],[Products]],tblPrices[Products],0), 0)* tblGoogleUnits[[#This Row],[cv_2021]]/10^6</f>
        <v>0</v>
      </c>
      <c r="Q56" s="62" cm="1">
        <f t="array" ref="Q56">INDEX(tblPrices[cv_2022], MATCH(tblGoogleUnits[[#This Row],[Products]],tblPrices[Products],0), 0)* tblGoogleUnits[[#This Row],[cv_2022]]/10^6</f>
        <v>0</v>
      </c>
      <c r="R56" s="62" cm="1">
        <f t="array" ref="R56">INDEX(tblPrices[cv_2023], MATCH(tblGoogleUnits[[#This Row],[Products]],tblPrices[Products],0), 0)* tblGoogleUnits[[#This Row],[cv_2023]]/10^6</f>
        <v>0</v>
      </c>
      <c r="S56" s="62" cm="1">
        <f t="array" ref="S56">INDEX(tblPrices[cv_2024], MATCH(tblGoogleUnits[[#This Row],[Products]],tblPrices[Products],0), 0)* tblGoogleUnits[[#This Row],[cv_2024]]/10^6</f>
        <v>0</v>
      </c>
      <c r="T56" s="62" cm="1">
        <f t="array" ref="T56">INDEX(tblPrices[cv_2025], MATCH(tblGoogleUnits[[#This Row],[Products]],tblPrices[Products],0), 0)* tblGoogleUnits[[#This Row],[cv_2025]]/10^6</f>
        <v>0</v>
      </c>
      <c r="U56" s="62" cm="1">
        <f t="array" ref="U56">INDEX(tblPrices[cv_2026], MATCH(tblGoogleUnits[[#This Row],[Products]],tblPrices[Products],0), 0)* tblGoogleUnits[[#This Row],[cv_2026]]/10^6</f>
        <v>0</v>
      </c>
      <c r="V56" s="62" cm="1">
        <f t="array" ref="V56">INDEX(tblPrices[cv_2027], MATCH(tblGoogleUnits[[#This Row],[Products]],tblPrices[Products],0), 0)* tblGoogleUnits[[#This Row],[cv_2027]]/10^6</f>
        <v>0</v>
      </c>
      <c r="W56" s="62" cm="1">
        <f t="array" ref="W56">INDEX(tblPrices[cv_2028], MATCH(tblGoogleUnits[[#This Row],[Products]],tblPrices[Products],0), 0)* tblGoogleUnits[[#This Row],[cv_2028]]/10^6</f>
        <v>0</v>
      </c>
      <c r="X56" s="1">
        <f>VLOOKUP(A56,Products!$A$29:$F$110,6,FALSE)</f>
        <v>400</v>
      </c>
    </row>
    <row r="57" spans="1:24" s="1" customFormat="1" ht="13.15">
      <c r="A57" s="9" t="s">
        <v>13</v>
      </c>
      <c r="B57" s="8">
        <v>0</v>
      </c>
      <c r="C57" s="8">
        <v>0</v>
      </c>
      <c r="D57" s="8"/>
      <c r="E57" s="8"/>
      <c r="F57" s="8"/>
      <c r="G57" s="8"/>
      <c r="H57" s="8"/>
      <c r="I57" s="8"/>
      <c r="J57" s="8"/>
      <c r="K57" s="8"/>
      <c r="L57" s="8"/>
      <c r="M57" s="62" cm="1">
        <f t="array" ref="M57">INDEX(tblPrices[cv_2018], MATCH(tblGoogleUnits[[#This Row],[Products]],tblPrices[Products],0), 0) *tblGoogleUnits[[#This Row],[cv_2018]]/10^6</f>
        <v>0</v>
      </c>
      <c r="N57" s="62" cm="1">
        <f t="array" ref="N57">INDEX(tblPrices[cv_2019], MATCH(tblGoogleUnits[[#This Row],[Products]],tblPrices[Products],0), 0)* tblGoogleUnits[[#This Row],[cv_2019]]/10^6</f>
        <v>0</v>
      </c>
      <c r="O57" s="62" cm="1">
        <f t="array" ref="O57">INDEX(tblPrices[cv_2020], MATCH(tblGoogleUnits[[#This Row],[Products]],tblPrices[Products],0), 0)* tblGoogleUnits[[#This Row],[cv_2020]]/10^6</f>
        <v>0</v>
      </c>
      <c r="P57" s="62" cm="1">
        <f t="array" ref="P57">INDEX(tblPrices[cv_2021], MATCH(tblGoogleUnits[[#This Row],[Products]],tblPrices[Products],0), 0)* tblGoogleUnits[[#This Row],[cv_2021]]/10^6</f>
        <v>0</v>
      </c>
      <c r="Q57" s="62" cm="1">
        <f t="array" ref="Q57">INDEX(tblPrices[cv_2022], MATCH(tblGoogleUnits[[#This Row],[Products]],tblPrices[Products],0), 0)* tblGoogleUnits[[#This Row],[cv_2022]]/10^6</f>
        <v>0</v>
      </c>
      <c r="R57" s="62" cm="1">
        <f t="array" ref="R57">INDEX(tblPrices[cv_2023], MATCH(tblGoogleUnits[[#This Row],[Products]],tblPrices[Products],0), 0)* tblGoogleUnits[[#This Row],[cv_2023]]/10^6</f>
        <v>0</v>
      </c>
      <c r="S57" s="62" cm="1">
        <f t="array" ref="S57">INDEX(tblPrices[cv_2024], MATCH(tblGoogleUnits[[#This Row],[Products]],tblPrices[Products],0), 0)* tblGoogleUnits[[#This Row],[cv_2024]]/10^6</f>
        <v>0</v>
      </c>
      <c r="T57" s="62" cm="1">
        <f t="array" ref="T57">INDEX(tblPrices[cv_2025], MATCH(tblGoogleUnits[[#This Row],[Products]],tblPrices[Products],0), 0)* tblGoogleUnits[[#This Row],[cv_2025]]/10^6</f>
        <v>0</v>
      </c>
      <c r="U57" s="62" cm="1">
        <f t="array" ref="U57">INDEX(tblPrices[cv_2026], MATCH(tblGoogleUnits[[#This Row],[Products]],tblPrices[Products],0), 0)* tblGoogleUnits[[#This Row],[cv_2026]]/10^6</f>
        <v>0</v>
      </c>
      <c r="V57" s="62" cm="1">
        <f t="array" ref="V57">INDEX(tblPrices[cv_2027], MATCH(tblGoogleUnits[[#This Row],[Products]],tblPrices[Products],0), 0)* tblGoogleUnits[[#This Row],[cv_2027]]/10^6</f>
        <v>0</v>
      </c>
      <c r="W57" s="62" cm="1">
        <f t="array" ref="W57">INDEX(tblPrices[cv_2028], MATCH(tblGoogleUnits[[#This Row],[Products]],tblPrices[Products],0), 0)* tblGoogleUnits[[#This Row],[cv_2028]]/10^6</f>
        <v>0</v>
      </c>
      <c r="X57" s="1">
        <f>VLOOKUP(A57,Products!$A$29:$F$110,6,FALSE)</f>
        <v>800</v>
      </c>
    </row>
    <row r="58" spans="1:24" s="1" customFormat="1" ht="13.15">
      <c r="A58" s="9" t="s">
        <v>14</v>
      </c>
      <c r="B58" s="8">
        <v>0</v>
      </c>
      <c r="C58" s="8">
        <v>0</v>
      </c>
      <c r="D58" s="8"/>
      <c r="E58" s="8"/>
      <c r="F58" s="8"/>
      <c r="G58" s="8"/>
      <c r="H58" s="8"/>
      <c r="I58" s="8"/>
      <c r="J58" s="8"/>
      <c r="K58" s="8"/>
      <c r="L58" s="8"/>
      <c r="M58" s="62" cm="1">
        <f t="array" ref="M58">INDEX(tblPrices[cv_2018], MATCH(tblGoogleUnits[[#This Row],[Products]],tblPrices[Products],0), 0) *tblGoogleUnits[[#This Row],[cv_2018]]/10^6</f>
        <v>0</v>
      </c>
      <c r="N58" s="62" cm="1">
        <f t="array" ref="N58">INDEX(tblPrices[cv_2019], MATCH(tblGoogleUnits[[#This Row],[Products]],tblPrices[Products],0), 0)* tblGoogleUnits[[#This Row],[cv_2019]]/10^6</f>
        <v>0</v>
      </c>
      <c r="O58" s="62" cm="1">
        <f t="array" ref="O58">INDEX(tblPrices[cv_2020], MATCH(tblGoogleUnits[[#This Row],[Products]],tblPrices[Products],0), 0)* tblGoogleUnits[[#This Row],[cv_2020]]/10^6</f>
        <v>0</v>
      </c>
      <c r="P58" s="62" cm="1">
        <f t="array" ref="P58">INDEX(tblPrices[cv_2021], MATCH(tblGoogleUnits[[#This Row],[Products]],tblPrices[Products],0), 0)* tblGoogleUnits[[#This Row],[cv_2021]]/10^6</f>
        <v>0</v>
      </c>
      <c r="Q58" s="62" cm="1">
        <f t="array" ref="Q58">INDEX(tblPrices[cv_2022], MATCH(tblGoogleUnits[[#This Row],[Products]],tblPrices[Products],0), 0)* tblGoogleUnits[[#This Row],[cv_2022]]/10^6</f>
        <v>0</v>
      </c>
      <c r="R58" s="62" cm="1">
        <f t="array" ref="R58">INDEX(tblPrices[cv_2023], MATCH(tblGoogleUnits[[#This Row],[Products]],tblPrices[Products],0), 0)* tblGoogleUnits[[#This Row],[cv_2023]]/10^6</f>
        <v>0</v>
      </c>
      <c r="S58" s="62" cm="1">
        <f t="array" ref="S58">INDEX(tblPrices[cv_2024], MATCH(tblGoogleUnits[[#This Row],[Products]],tblPrices[Products],0), 0)* tblGoogleUnits[[#This Row],[cv_2024]]/10^6</f>
        <v>0</v>
      </c>
      <c r="T58" s="62" cm="1">
        <f t="array" ref="T58">INDEX(tblPrices[cv_2025], MATCH(tblGoogleUnits[[#This Row],[Products]],tblPrices[Products],0), 0)* tblGoogleUnits[[#This Row],[cv_2025]]/10^6</f>
        <v>0</v>
      </c>
      <c r="U58" s="62" cm="1">
        <f t="array" ref="U58">INDEX(tblPrices[cv_2026], MATCH(tblGoogleUnits[[#This Row],[Products]],tblPrices[Products],0), 0)* tblGoogleUnits[[#This Row],[cv_2026]]/10^6</f>
        <v>0</v>
      </c>
      <c r="V58" s="62" cm="1">
        <f t="array" ref="V58">INDEX(tblPrices[cv_2027], MATCH(tblGoogleUnits[[#This Row],[Products]],tblPrices[Products],0), 0)* tblGoogleUnits[[#This Row],[cv_2027]]/10^6</f>
        <v>0</v>
      </c>
      <c r="W58" s="62" cm="1">
        <f t="array" ref="W58">INDEX(tblPrices[cv_2028], MATCH(tblGoogleUnits[[#This Row],[Products]],tblPrices[Products],0), 0)* tblGoogleUnits[[#This Row],[cv_2028]]/10^6</f>
        <v>0</v>
      </c>
      <c r="X58" s="1">
        <f>VLOOKUP(A58,Products!$A$29:$F$110,6,FALSE)</f>
        <v>800</v>
      </c>
    </row>
    <row r="59" spans="1:24" s="1" customFormat="1" ht="13.15">
      <c r="A59" s="9" t="s">
        <v>15</v>
      </c>
      <c r="B59" s="8">
        <v>0</v>
      </c>
      <c r="C59" s="8">
        <v>0</v>
      </c>
      <c r="D59" s="8"/>
      <c r="E59" s="8"/>
      <c r="F59" s="8"/>
      <c r="G59" s="8"/>
      <c r="H59" s="8"/>
      <c r="I59" s="8"/>
      <c r="J59" s="8"/>
      <c r="K59" s="8"/>
      <c r="L59" s="8"/>
      <c r="M59" s="62" cm="1">
        <f t="array" ref="M59">INDEX(tblPrices[cv_2018], MATCH(tblGoogleUnits[[#This Row],[Products]],tblPrices[Products],0), 0) *tblGoogleUnits[[#This Row],[cv_2018]]/10^6</f>
        <v>0</v>
      </c>
      <c r="N59" s="62" cm="1">
        <f t="array" ref="N59">INDEX(tblPrices[cv_2019], MATCH(tblGoogleUnits[[#This Row],[Products]],tblPrices[Products],0), 0)* tblGoogleUnits[[#This Row],[cv_2019]]/10^6</f>
        <v>0</v>
      </c>
      <c r="O59" s="62" cm="1">
        <f t="array" ref="O59">INDEX(tblPrices[cv_2020], MATCH(tblGoogleUnits[[#This Row],[Products]],tblPrices[Products],0), 0)* tblGoogleUnits[[#This Row],[cv_2020]]/10^6</f>
        <v>0</v>
      </c>
      <c r="P59" s="62" cm="1">
        <f t="array" ref="P59">INDEX(tblPrices[cv_2021], MATCH(tblGoogleUnits[[#This Row],[Products]],tblPrices[Products],0), 0)* tblGoogleUnits[[#This Row],[cv_2021]]/10^6</f>
        <v>0</v>
      </c>
      <c r="Q59" s="62" cm="1">
        <f t="array" ref="Q59">INDEX(tblPrices[cv_2022], MATCH(tblGoogleUnits[[#This Row],[Products]],tblPrices[Products],0), 0)* tblGoogleUnits[[#This Row],[cv_2022]]/10^6</f>
        <v>0</v>
      </c>
      <c r="R59" s="62" cm="1">
        <f t="array" ref="R59">INDEX(tblPrices[cv_2023], MATCH(tblGoogleUnits[[#This Row],[Products]],tblPrices[Products],0), 0)* tblGoogleUnits[[#This Row],[cv_2023]]/10^6</f>
        <v>0</v>
      </c>
      <c r="S59" s="62" cm="1">
        <f t="array" ref="S59">INDEX(tblPrices[cv_2024], MATCH(tblGoogleUnits[[#This Row],[Products]],tblPrices[Products],0), 0)* tblGoogleUnits[[#This Row],[cv_2024]]/10^6</f>
        <v>0</v>
      </c>
      <c r="T59" s="62" cm="1">
        <f t="array" ref="T59">INDEX(tblPrices[cv_2025], MATCH(tblGoogleUnits[[#This Row],[Products]],tblPrices[Products],0), 0)* tblGoogleUnits[[#This Row],[cv_2025]]/10^6</f>
        <v>0</v>
      </c>
      <c r="U59" s="62" cm="1">
        <f t="array" ref="U59">INDEX(tblPrices[cv_2026], MATCH(tblGoogleUnits[[#This Row],[Products]],tblPrices[Products],0), 0)* tblGoogleUnits[[#This Row],[cv_2026]]/10^6</f>
        <v>0</v>
      </c>
      <c r="V59" s="62" cm="1">
        <f t="array" ref="V59">INDEX(tblPrices[cv_2027], MATCH(tblGoogleUnits[[#This Row],[Products]],tblPrices[Products],0), 0)* tblGoogleUnits[[#This Row],[cv_2027]]/10^6</f>
        <v>0</v>
      </c>
      <c r="W59" s="62" cm="1">
        <f t="array" ref="W59">INDEX(tblPrices[cv_2028], MATCH(tblGoogleUnits[[#This Row],[Products]],tblPrices[Products],0), 0)* tblGoogleUnits[[#This Row],[cv_2028]]/10^6</f>
        <v>0</v>
      </c>
      <c r="X59" s="1">
        <f>VLOOKUP(A59,Products!$A$29:$F$110,6,FALSE)</f>
        <v>800</v>
      </c>
    </row>
    <row r="60" spans="1:24" s="1" customFormat="1" ht="13.15">
      <c r="A60" s="9" t="s">
        <v>16</v>
      </c>
      <c r="B60" s="8">
        <v>0</v>
      </c>
      <c r="C60" s="8">
        <v>0</v>
      </c>
      <c r="D60" s="8"/>
      <c r="E60" s="8"/>
      <c r="F60" s="8"/>
      <c r="G60" s="8"/>
      <c r="H60" s="8"/>
      <c r="I60" s="8"/>
      <c r="J60" s="8"/>
      <c r="K60" s="8"/>
      <c r="L60" s="8"/>
      <c r="M60" s="62" cm="1">
        <f t="array" ref="M60">INDEX(tblPrices[cv_2018], MATCH(tblGoogleUnits[[#This Row],[Products]],tblPrices[Products],0), 0) *tblGoogleUnits[[#This Row],[cv_2018]]/10^6</f>
        <v>0</v>
      </c>
      <c r="N60" s="62" cm="1">
        <f t="array" ref="N60">INDEX(tblPrices[cv_2019], MATCH(tblGoogleUnits[[#This Row],[Products]],tblPrices[Products],0), 0)* tblGoogleUnits[[#This Row],[cv_2019]]/10^6</f>
        <v>0</v>
      </c>
      <c r="O60" s="62" cm="1">
        <f t="array" ref="O60">INDEX(tblPrices[cv_2020], MATCH(tblGoogleUnits[[#This Row],[Products]],tblPrices[Products],0), 0)* tblGoogleUnits[[#This Row],[cv_2020]]/10^6</f>
        <v>0</v>
      </c>
      <c r="P60" s="62" cm="1">
        <f t="array" ref="P60">INDEX(tblPrices[cv_2021], MATCH(tblGoogleUnits[[#This Row],[Products]],tblPrices[Products],0), 0)* tblGoogleUnits[[#This Row],[cv_2021]]/10^6</f>
        <v>0</v>
      </c>
      <c r="Q60" s="62" cm="1">
        <f t="array" ref="Q60">INDEX(tblPrices[cv_2022], MATCH(tblGoogleUnits[[#This Row],[Products]],tblPrices[Products],0), 0)* tblGoogleUnits[[#This Row],[cv_2022]]/10^6</f>
        <v>0</v>
      </c>
      <c r="R60" s="62" cm="1">
        <f t="array" ref="R60">INDEX(tblPrices[cv_2023], MATCH(tblGoogleUnits[[#This Row],[Products]],tblPrices[Products],0), 0)* tblGoogleUnits[[#This Row],[cv_2023]]/10^6</f>
        <v>0</v>
      </c>
      <c r="S60" s="62" cm="1">
        <f t="array" ref="S60">INDEX(tblPrices[cv_2024], MATCH(tblGoogleUnits[[#This Row],[Products]],tblPrices[Products],0), 0)* tblGoogleUnits[[#This Row],[cv_2024]]/10^6</f>
        <v>0</v>
      </c>
      <c r="T60" s="62" cm="1">
        <f t="array" ref="T60">INDEX(tblPrices[cv_2025], MATCH(tblGoogleUnits[[#This Row],[Products]],tblPrices[Products],0), 0)* tblGoogleUnits[[#This Row],[cv_2025]]/10^6</f>
        <v>0</v>
      </c>
      <c r="U60" s="62" cm="1">
        <f t="array" ref="U60">INDEX(tblPrices[cv_2026], MATCH(tblGoogleUnits[[#This Row],[Products]],tblPrices[Products],0), 0)* tblGoogleUnits[[#This Row],[cv_2026]]/10^6</f>
        <v>0</v>
      </c>
      <c r="V60" s="62" cm="1">
        <f t="array" ref="V60">INDEX(tblPrices[cv_2027], MATCH(tblGoogleUnits[[#This Row],[Products]],tblPrices[Products],0), 0)* tblGoogleUnits[[#This Row],[cv_2027]]/10^6</f>
        <v>0</v>
      </c>
      <c r="W60" s="62" cm="1">
        <f t="array" ref="W60">INDEX(tblPrices[cv_2028], MATCH(tblGoogleUnits[[#This Row],[Products]],tblPrices[Products],0), 0)* tblGoogleUnits[[#This Row],[cv_2028]]/10^6</f>
        <v>0</v>
      </c>
      <c r="X60" s="1">
        <f>VLOOKUP(A60,Products!$A$29:$F$110,6,FALSE)</f>
        <v>800</v>
      </c>
    </row>
    <row r="61" spans="1:24" s="1" customFormat="1" ht="13.15">
      <c r="A61" s="9" t="s">
        <v>17</v>
      </c>
      <c r="B61" s="8">
        <v>0</v>
      </c>
      <c r="C61" s="8">
        <v>0</v>
      </c>
      <c r="D61" s="8"/>
      <c r="E61" s="8"/>
      <c r="F61" s="8"/>
      <c r="G61" s="8"/>
      <c r="H61" s="8"/>
      <c r="I61" s="8"/>
      <c r="J61" s="8"/>
      <c r="K61" s="8"/>
      <c r="L61" s="8"/>
      <c r="M61" s="62" cm="1">
        <f t="array" ref="M61">INDEX(tblPrices[cv_2018], MATCH(tblGoogleUnits[[#This Row],[Products]],tblPrices[Products],0), 0) *tblGoogleUnits[[#This Row],[cv_2018]]/10^6</f>
        <v>0</v>
      </c>
      <c r="N61" s="62" cm="1">
        <f t="array" ref="N61">INDEX(tblPrices[cv_2019], MATCH(tblGoogleUnits[[#This Row],[Products]],tblPrices[Products],0), 0)* tblGoogleUnits[[#This Row],[cv_2019]]/10^6</f>
        <v>0</v>
      </c>
      <c r="O61" s="62" cm="1">
        <f t="array" ref="O61">INDEX(tblPrices[cv_2020], MATCH(tblGoogleUnits[[#This Row],[Products]],tblPrices[Products],0), 0)* tblGoogleUnits[[#This Row],[cv_2020]]/10^6</f>
        <v>0</v>
      </c>
      <c r="P61" s="62" cm="1">
        <f t="array" ref="P61">INDEX(tblPrices[cv_2021], MATCH(tblGoogleUnits[[#This Row],[Products]],tblPrices[Products],0), 0)* tblGoogleUnits[[#This Row],[cv_2021]]/10^6</f>
        <v>0</v>
      </c>
      <c r="Q61" s="62" cm="1">
        <f t="array" ref="Q61">INDEX(tblPrices[cv_2022], MATCH(tblGoogleUnits[[#This Row],[Products]],tblPrices[Products],0), 0)* tblGoogleUnits[[#This Row],[cv_2022]]/10^6</f>
        <v>0</v>
      </c>
      <c r="R61" s="62" cm="1">
        <f t="array" ref="R61">INDEX(tblPrices[cv_2023], MATCH(tblGoogleUnits[[#This Row],[Products]],tblPrices[Products],0), 0)* tblGoogleUnits[[#This Row],[cv_2023]]/10^6</f>
        <v>0</v>
      </c>
      <c r="S61" s="62" cm="1">
        <f t="array" ref="S61">INDEX(tblPrices[cv_2024], MATCH(tblGoogleUnits[[#This Row],[Products]],tblPrices[Products],0), 0)* tblGoogleUnits[[#This Row],[cv_2024]]/10^6</f>
        <v>0</v>
      </c>
      <c r="T61" s="62" cm="1">
        <f t="array" ref="T61">INDEX(tblPrices[cv_2025], MATCH(tblGoogleUnits[[#This Row],[Products]],tblPrices[Products],0), 0)* tblGoogleUnits[[#This Row],[cv_2025]]/10^6</f>
        <v>0</v>
      </c>
      <c r="U61" s="62" cm="1">
        <f t="array" ref="U61">INDEX(tblPrices[cv_2026], MATCH(tblGoogleUnits[[#This Row],[Products]],tblPrices[Products],0), 0)* tblGoogleUnits[[#This Row],[cv_2026]]/10^6</f>
        <v>0</v>
      </c>
      <c r="V61" s="62" cm="1">
        <f t="array" ref="V61">INDEX(tblPrices[cv_2027], MATCH(tblGoogleUnits[[#This Row],[Products]],tblPrices[Products],0), 0)* tblGoogleUnits[[#This Row],[cv_2027]]/10^6</f>
        <v>0</v>
      </c>
      <c r="W61" s="62" cm="1">
        <f t="array" ref="W61">INDEX(tblPrices[cv_2028], MATCH(tblGoogleUnits[[#This Row],[Products]],tblPrices[Products],0), 0)* tblGoogleUnits[[#This Row],[cv_2028]]/10^6</f>
        <v>0</v>
      </c>
      <c r="X61" s="1">
        <f>VLOOKUP(A61,Products!$A$29:$F$110,6,FALSE)</f>
        <v>800</v>
      </c>
    </row>
    <row r="62" spans="1:24" s="1" customFormat="1" ht="13.15">
      <c r="A62" s="9" t="s">
        <v>18</v>
      </c>
      <c r="B62" s="8">
        <v>0</v>
      </c>
      <c r="C62" s="8">
        <v>0</v>
      </c>
      <c r="D62" s="8"/>
      <c r="E62" s="8"/>
      <c r="F62" s="8"/>
      <c r="G62" s="8"/>
      <c r="H62" s="8"/>
      <c r="I62" s="8"/>
      <c r="J62" s="8"/>
      <c r="K62" s="8"/>
      <c r="L62" s="8"/>
      <c r="M62" s="62" cm="1">
        <f t="array" ref="M62">INDEX(tblPrices[cv_2018], MATCH(tblGoogleUnits[[#This Row],[Products]],tblPrices[Products],0), 0) *tblGoogleUnits[[#This Row],[cv_2018]]/10^6</f>
        <v>0</v>
      </c>
      <c r="N62" s="62" cm="1">
        <f t="array" ref="N62">INDEX(tblPrices[cv_2019], MATCH(tblGoogleUnits[[#This Row],[Products]],tblPrices[Products],0), 0)* tblGoogleUnits[[#This Row],[cv_2019]]/10^6</f>
        <v>0</v>
      </c>
      <c r="O62" s="62" cm="1">
        <f t="array" ref="O62">INDEX(tblPrices[cv_2020], MATCH(tblGoogleUnits[[#This Row],[Products]],tblPrices[Products],0), 0)* tblGoogleUnits[[#This Row],[cv_2020]]/10^6</f>
        <v>0</v>
      </c>
      <c r="P62" s="62" cm="1">
        <f t="array" ref="P62">INDEX(tblPrices[cv_2021], MATCH(tblGoogleUnits[[#This Row],[Products]],tblPrices[Products],0), 0)* tblGoogleUnits[[#This Row],[cv_2021]]/10^6</f>
        <v>0</v>
      </c>
      <c r="Q62" s="62" cm="1">
        <f t="array" ref="Q62">INDEX(tblPrices[cv_2022], MATCH(tblGoogleUnits[[#This Row],[Products]],tblPrices[Products],0), 0)* tblGoogleUnits[[#This Row],[cv_2022]]/10^6</f>
        <v>0</v>
      </c>
      <c r="R62" s="62" cm="1">
        <f t="array" ref="R62">INDEX(tblPrices[cv_2023], MATCH(tblGoogleUnits[[#This Row],[Products]],tblPrices[Products],0), 0)* tblGoogleUnits[[#This Row],[cv_2023]]/10^6</f>
        <v>0</v>
      </c>
      <c r="S62" s="62" cm="1">
        <f t="array" ref="S62">INDEX(tblPrices[cv_2024], MATCH(tblGoogleUnits[[#This Row],[Products]],tblPrices[Products],0), 0)* tblGoogleUnits[[#This Row],[cv_2024]]/10^6</f>
        <v>0</v>
      </c>
      <c r="T62" s="62" cm="1">
        <f t="array" ref="T62">INDEX(tblPrices[cv_2025], MATCH(tblGoogleUnits[[#This Row],[Products]],tblPrices[Products],0), 0)* tblGoogleUnits[[#This Row],[cv_2025]]/10^6</f>
        <v>0</v>
      </c>
      <c r="U62" s="62" cm="1">
        <f t="array" ref="U62">INDEX(tblPrices[cv_2026], MATCH(tblGoogleUnits[[#This Row],[Products]],tblPrices[Products],0), 0)* tblGoogleUnits[[#This Row],[cv_2026]]/10^6</f>
        <v>0</v>
      </c>
      <c r="V62" s="62" cm="1">
        <f t="array" ref="V62">INDEX(tblPrices[cv_2027], MATCH(tblGoogleUnits[[#This Row],[Products]],tblPrices[Products],0), 0)* tblGoogleUnits[[#This Row],[cv_2027]]/10^6</f>
        <v>0</v>
      </c>
      <c r="W62" s="62" cm="1">
        <f t="array" ref="W62">INDEX(tblPrices[cv_2028], MATCH(tblGoogleUnits[[#This Row],[Products]],tblPrices[Products],0), 0)* tblGoogleUnits[[#This Row],[cv_2028]]/10^6</f>
        <v>0</v>
      </c>
      <c r="X62" s="1">
        <f>VLOOKUP(A62,Products!$A$29:$F$110,6,FALSE)</f>
        <v>1600</v>
      </c>
    </row>
    <row r="63" spans="1:24" s="1" customFormat="1" ht="13.15">
      <c r="A63" s="9" t="s">
        <v>19</v>
      </c>
      <c r="B63" s="8">
        <v>0</v>
      </c>
      <c r="C63" s="8">
        <v>0</v>
      </c>
      <c r="D63" s="8"/>
      <c r="E63" s="8"/>
      <c r="F63" s="8"/>
      <c r="G63" s="8"/>
      <c r="H63" s="8"/>
      <c r="I63" s="8"/>
      <c r="J63" s="8"/>
      <c r="K63" s="8"/>
      <c r="L63" s="8"/>
      <c r="M63" s="62" cm="1">
        <f t="array" ref="M63">INDEX(tblPrices[cv_2018], MATCH(tblGoogleUnits[[#This Row],[Products]],tblPrices[Products],0), 0) *tblGoogleUnits[[#This Row],[cv_2018]]/10^6</f>
        <v>0</v>
      </c>
      <c r="N63" s="62" cm="1">
        <f t="array" ref="N63">INDEX(tblPrices[cv_2019], MATCH(tblGoogleUnits[[#This Row],[Products]],tblPrices[Products],0), 0)* tblGoogleUnits[[#This Row],[cv_2019]]/10^6</f>
        <v>0</v>
      </c>
      <c r="O63" s="62" cm="1">
        <f t="array" ref="O63">INDEX(tblPrices[cv_2020], MATCH(tblGoogleUnits[[#This Row],[Products]],tblPrices[Products],0), 0)* tblGoogleUnits[[#This Row],[cv_2020]]/10^6</f>
        <v>0</v>
      </c>
      <c r="P63" s="62" cm="1">
        <f t="array" ref="P63">INDEX(tblPrices[cv_2021], MATCH(tblGoogleUnits[[#This Row],[Products]],tblPrices[Products],0), 0)* tblGoogleUnits[[#This Row],[cv_2021]]/10^6</f>
        <v>0</v>
      </c>
      <c r="Q63" s="62" cm="1">
        <f t="array" ref="Q63">INDEX(tblPrices[cv_2022], MATCH(tblGoogleUnits[[#This Row],[Products]],tblPrices[Products],0), 0)* tblGoogleUnits[[#This Row],[cv_2022]]/10^6</f>
        <v>0</v>
      </c>
      <c r="R63" s="62" cm="1">
        <f t="array" ref="R63">INDEX(tblPrices[cv_2023], MATCH(tblGoogleUnits[[#This Row],[Products]],tblPrices[Products],0), 0)* tblGoogleUnits[[#This Row],[cv_2023]]/10^6</f>
        <v>0</v>
      </c>
      <c r="S63" s="62" cm="1">
        <f t="array" ref="S63">INDEX(tblPrices[cv_2024], MATCH(tblGoogleUnits[[#This Row],[Products]],tblPrices[Products],0), 0)* tblGoogleUnits[[#This Row],[cv_2024]]/10^6</f>
        <v>0</v>
      </c>
      <c r="T63" s="62" cm="1">
        <f t="array" ref="T63">INDEX(tblPrices[cv_2025], MATCH(tblGoogleUnits[[#This Row],[Products]],tblPrices[Products],0), 0)* tblGoogleUnits[[#This Row],[cv_2025]]/10^6</f>
        <v>0</v>
      </c>
      <c r="U63" s="62" cm="1">
        <f t="array" ref="U63">INDEX(tblPrices[cv_2026], MATCH(tblGoogleUnits[[#This Row],[Products]],tblPrices[Products],0), 0)* tblGoogleUnits[[#This Row],[cv_2026]]/10^6</f>
        <v>0</v>
      </c>
      <c r="V63" s="62" cm="1">
        <f t="array" ref="V63">INDEX(tblPrices[cv_2027], MATCH(tblGoogleUnits[[#This Row],[Products]],tblPrices[Products],0), 0)* tblGoogleUnits[[#This Row],[cv_2027]]/10^6</f>
        <v>0</v>
      </c>
      <c r="W63" s="62" cm="1">
        <f t="array" ref="W63">INDEX(tblPrices[cv_2028], MATCH(tblGoogleUnits[[#This Row],[Products]],tblPrices[Products],0), 0)* tblGoogleUnits[[#This Row],[cv_2028]]/10^6</f>
        <v>0</v>
      </c>
      <c r="X63" s="1">
        <f>VLOOKUP(A63,Products!$A$29:$F$110,6,FALSE)</f>
        <v>1600</v>
      </c>
    </row>
    <row r="64" spans="1:24" s="1" customFormat="1" ht="13.15">
      <c r="A64" s="72" t="s">
        <v>20</v>
      </c>
      <c r="B64" s="73">
        <v>0</v>
      </c>
      <c r="C64" s="73">
        <v>0</v>
      </c>
      <c r="D64" s="73"/>
      <c r="E64" s="73"/>
      <c r="F64" s="73"/>
      <c r="G64" s="73"/>
      <c r="H64" s="73"/>
      <c r="I64" s="73"/>
      <c r="J64" s="73"/>
      <c r="K64" s="73"/>
      <c r="L64" s="73"/>
      <c r="M64" s="115" cm="1">
        <f t="array" ref="M64">INDEX(tblPrices[cv_2018], MATCH(tblGoogleUnits[[#This Row],[Products]],tblPrices[Products],0), 0) *tblGoogleUnits[[#This Row],[cv_2018]]/10^6</f>
        <v>0</v>
      </c>
      <c r="N64" s="115" cm="1">
        <f t="array" ref="N64">INDEX(tblPrices[cv_2019], MATCH(tblGoogleUnits[[#This Row],[Products]],tblPrices[Products],0), 0)* tblGoogleUnits[[#This Row],[cv_2019]]/10^6</f>
        <v>0</v>
      </c>
      <c r="O64" s="115" cm="1">
        <f t="array" ref="O64">INDEX(tblPrices[cv_2020], MATCH(tblGoogleUnits[[#This Row],[Products]],tblPrices[Products],0), 0)* tblGoogleUnits[[#This Row],[cv_2020]]/10^6</f>
        <v>0</v>
      </c>
      <c r="P64" s="115" cm="1">
        <f t="array" ref="P64">INDEX(tblPrices[cv_2021], MATCH(tblGoogleUnits[[#This Row],[Products]],tblPrices[Products],0), 0)* tblGoogleUnits[[#This Row],[cv_2021]]/10^6</f>
        <v>0</v>
      </c>
      <c r="Q64" s="115" cm="1">
        <f t="array" ref="Q64">INDEX(tblPrices[cv_2022], MATCH(tblGoogleUnits[[#This Row],[Products]],tblPrices[Products],0), 0)* tblGoogleUnits[[#This Row],[cv_2022]]/10^6</f>
        <v>0</v>
      </c>
      <c r="R64" s="115" cm="1">
        <f t="array" ref="R64">INDEX(tblPrices[cv_2023], MATCH(tblGoogleUnits[[#This Row],[Products]],tblPrices[Products],0), 0)* tblGoogleUnits[[#This Row],[cv_2023]]/10^6</f>
        <v>0</v>
      </c>
      <c r="S64" s="115" cm="1">
        <f t="array" ref="S64">INDEX(tblPrices[cv_2024], MATCH(tblGoogleUnits[[#This Row],[Products]],tblPrices[Products],0), 0)* tblGoogleUnits[[#This Row],[cv_2024]]/10^6</f>
        <v>0</v>
      </c>
      <c r="T64" s="115" cm="1">
        <f t="array" ref="T64">INDEX(tblPrices[cv_2025], MATCH(tblGoogleUnits[[#This Row],[Products]],tblPrices[Products],0), 0)* tblGoogleUnits[[#This Row],[cv_2025]]/10^6</f>
        <v>0</v>
      </c>
      <c r="U64" s="115" cm="1">
        <f t="array" ref="U64">INDEX(tblPrices[cv_2026], MATCH(tblGoogleUnits[[#This Row],[Products]],tblPrices[Products],0), 0)* tblGoogleUnits[[#This Row],[cv_2026]]/10^6</f>
        <v>0</v>
      </c>
      <c r="V64" s="115" cm="1">
        <f t="array" ref="V64">INDEX(tblPrices[cv_2027], MATCH(tblGoogleUnits[[#This Row],[Products]],tblPrices[Products],0), 0)* tblGoogleUnits[[#This Row],[cv_2027]]/10^6</f>
        <v>0</v>
      </c>
      <c r="W64" s="115" cm="1">
        <f t="array" ref="W64">INDEX(tblPrices[cv_2028], MATCH(tblGoogleUnits[[#This Row],[Products]],tblPrices[Products],0), 0)* tblGoogleUnits[[#This Row],[cv_2028]]/10^6</f>
        <v>0</v>
      </c>
      <c r="X64" s="4">
        <f>VLOOKUP(A64,Products!$A$29:$F$110,6,FALSE)</f>
        <v>1600</v>
      </c>
    </row>
    <row r="65" spans="1:24" s="1" customFormat="1" ht="13.15">
      <c r="A65" s="16" t="s">
        <v>21</v>
      </c>
      <c r="B65" s="8">
        <v>5770.9134000000013</v>
      </c>
      <c r="C65" s="8">
        <v>3678.5107290667543</v>
      </c>
      <c r="D65" s="8"/>
      <c r="E65" s="8"/>
      <c r="F65" s="8"/>
      <c r="G65" s="8"/>
      <c r="H65" s="8"/>
      <c r="I65" s="8"/>
      <c r="J65" s="8"/>
      <c r="K65" s="8"/>
      <c r="L65" s="8"/>
      <c r="M65" s="62" cm="1">
        <f t="array" ref="M65">INDEX(tblPrices[cv_2018], MATCH(tblGoogleUnits[[#This Row],[Products]],tblPrices[Products],0), 0) *tblGoogleUnits[[#This Row],[cv_2018]]/10^6</f>
        <v>2.7646957465932185</v>
      </c>
      <c r="N65" s="62" cm="1">
        <f t="array" ref="N65">INDEX(tblPrices[cv_2019], MATCH(tblGoogleUnits[[#This Row],[Products]],tblPrices[Products],0), 0)* tblGoogleUnits[[#This Row],[cv_2019]]/10^6</f>
        <v>1.4406182854953333</v>
      </c>
      <c r="O65" s="62" cm="1">
        <f t="array" ref="O65">INDEX(tblPrices[cv_2020], MATCH(tblGoogleUnits[[#This Row],[Products]],tblPrices[Products],0), 0)* tblGoogleUnits[[#This Row],[cv_2020]]/10^6</f>
        <v>0</v>
      </c>
      <c r="P65" s="62" cm="1">
        <f t="array" ref="P65">INDEX(tblPrices[cv_2021], MATCH(tblGoogleUnits[[#This Row],[Products]],tblPrices[Products],0), 0)* tblGoogleUnits[[#This Row],[cv_2021]]/10^6</f>
        <v>0</v>
      </c>
      <c r="Q65" s="62" cm="1">
        <f t="array" ref="Q65">INDEX(tblPrices[cv_2022], MATCH(tblGoogleUnits[[#This Row],[Products]],tblPrices[Products],0), 0)* tblGoogleUnits[[#This Row],[cv_2022]]/10^6</f>
        <v>0</v>
      </c>
      <c r="R65" s="62" cm="1">
        <f t="array" ref="R65">INDEX(tblPrices[cv_2023], MATCH(tblGoogleUnits[[#This Row],[Products]],tblPrices[Products],0), 0)* tblGoogleUnits[[#This Row],[cv_2023]]/10^6</f>
        <v>0</v>
      </c>
      <c r="S65" s="62" cm="1">
        <f t="array" ref="S65">INDEX(tblPrices[cv_2024], MATCH(tblGoogleUnits[[#This Row],[Products]],tblPrices[Products],0), 0)* tblGoogleUnits[[#This Row],[cv_2024]]/10^6</f>
        <v>0</v>
      </c>
      <c r="T65" s="62" cm="1">
        <f t="array" ref="T65">INDEX(tblPrices[cv_2025], MATCH(tblGoogleUnits[[#This Row],[Products]],tblPrices[Products],0), 0)* tblGoogleUnits[[#This Row],[cv_2025]]/10^6</f>
        <v>0</v>
      </c>
      <c r="U65" s="62" cm="1">
        <f t="array" ref="U65">INDEX(tblPrices[cv_2026], MATCH(tblGoogleUnits[[#This Row],[Products]],tblPrices[Products],0), 0)* tblGoogleUnits[[#This Row],[cv_2026]]/10^6</f>
        <v>0</v>
      </c>
      <c r="V65" s="62" cm="1">
        <f t="array" ref="V65">INDEX(tblPrices[cv_2027], MATCH(tblGoogleUnits[[#This Row],[Products]],tblPrices[Products],0), 0)* tblGoogleUnits[[#This Row],[cv_2027]]/10^6</f>
        <v>0</v>
      </c>
      <c r="W65" s="62" cm="1">
        <f t="array" ref="W65">INDEX(tblPrices[cv_2028], MATCH(tblGoogleUnits[[#This Row],[Products]],tblPrices[Products],0), 0)* tblGoogleUnits[[#This Row],[cv_2028]]/10^6</f>
        <v>0</v>
      </c>
      <c r="X65" s="1">
        <f>VLOOKUP(A65,Products!$A$29:$F$110,6,FALSE)</f>
        <v>10</v>
      </c>
    </row>
    <row r="66" spans="1:24" s="1" customFormat="1" ht="13.15">
      <c r="A66" s="16" t="s">
        <v>22</v>
      </c>
      <c r="B66" s="8">
        <v>0</v>
      </c>
      <c r="C66" s="8">
        <v>0</v>
      </c>
      <c r="D66" s="8"/>
      <c r="E66" s="8"/>
      <c r="F66" s="8"/>
      <c r="G66" s="8"/>
      <c r="H66" s="8"/>
      <c r="I66" s="8"/>
      <c r="J66" s="8"/>
      <c r="K66" s="8"/>
      <c r="L66" s="8"/>
      <c r="M66" s="62" cm="1">
        <f t="array" ref="M66">INDEX(tblPrices[cv_2018], MATCH(tblGoogleUnits[[#This Row],[Products]],tblPrices[Products],0), 0) *tblGoogleUnits[[#This Row],[cv_2018]]/10^6</f>
        <v>0</v>
      </c>
      <c r="N66" s="62" cm="1">
        <f t="array" ref="N66">INDEX(tblPrices[cv_2019], MATCH(tblGoogleUnits[[#This Row],[Products]],tblPrices[Products],0), 0)* tblGoogleUnits[[#This Row],[cv_2019]]/10^6</f>
        <v>0</v>
      </c>
      <c r="O66" s="62" cm="1">
        <f t="array" ref="O66">INDEX(tblPrices[cv_2020], MATCH(tblGoogleUnits[[#This Row],[Products]],tblPrices[Products],0), 0)* tblGoogleUnits[[#This Row],[cv_2020]]/10^6</f>
        <v>0</v>
      </c>
      <c r="P66" s="62" cm="1">
        <f t="array" ref="P66">INDEX(tblPrices[cv_2021], MATCH(tblGoogleUnits[[#This Row],[Products]],tblPrices[Products],0), 0)* tblGoogleUnits[[#This Row],[cv_2021]]/10^6</f>
        <v>0</v>
      </c>
      <c r="Q66" s="62" cm="1">
        <f t="array" ref="Q66">INDEX(tblPrices[cv_2022], MATCH(tblGoogleUnits[[#This Row],[Products]],tblPrices[Products],0), 0)* tblGoogleUnits[[#This Row],[cv_2022]]/10^6</f>
        <v>0</v>
      </c>
      <c r="R66" s="62" cm="1">
        <f t="array" ref="R66">INDEX(tblPrices[cv_2023], MATCH(tblGoogleUnits[[#This Row],[Products]],tblPrices[Products],0), 0)* tblGoogleUnits[[#This Row],[cv_2023]]/10^6</f>
        <v>0</v>
      </c>
      <c r="S66" s="62" cm="1">
        <f t="array" ref="S66">INDEX(tblPrices[cv_2024], MATCH(tblGoogleUnits[[#This Row],[Products]],tblPrices[Products],0), 0)* tblGoogleUnits[[#This Row],[cv_2024]]/10^6</f>
        <v>0</v>
      </c>
      <c r="T66" s="62" cm="1">
        <f t="array" ref="T66">INDEX(tblPrices[cv_2025], MATCH(tblGoogleUnits[[#This Row],[Products]],tblPrices[Products],0), 0)* tblGoogleUnits[[#This Row],[cv_2025]]/10^6</f>
        <v>0</v>
      </c>
      <c r="U66" s="62" cm="1">
        <f t="array" ref="U66">INDEX(tblPrices[cv_2026], MATCH(tblGoogleUnits[[#This Row],[Products]],tblPrices[Products],0), 0)* tblGoogleUnits[[#This Row],[cv_2026]]/10^6</f>
        <v>0</v>
      </c>
      <c r="V66" s="62" cm="1">
        <f t="array" ref="V66">INDEX(tblPrices[cv_2027], MATCH(tblGoogleUnits[[#This Row],[Products]],tblPrices[Products],0), 0)* tblGoogleUnits[[#This Row],[cv_2027]]/10^6</f>
        <v>0</v>
      </c>
      <c r="W66" s="62" cm="1">
        <f t="array" ref="W66">INDEX(tblPrices[cv_2028], MATCH(tblGoogleUnits[[#This Row],[Products]],tblPrices[Products],0), 0)* tblGoogleUnits[[#This Row],[cv_2028]]/10^6</f>
        <v>0</v>
      </c>
      <c r="X66" s="1">
        <f>VLOOKUP(A66,Products!$A$29:$F$110,6,FALSE)</f>
        <v>40</v>
      </c>
    </row>
    <row r="67" spans="1:24" s="1" customFormat="1" ht="13.15">
      <c r="A67" s="16" t="s">
        <v>23</v>
      </c>
      <c r="B67" s="8">
        <v>9273.5433647058853</v>
      </c>
      <c r="C67" s="8">
        <v>3974.763600000002</v>
      </c>
      <c r="D67" s="8"/>
      <c r="E67" s="8"/>
      <c r="F67" s="8"/>
      <c r="G67" s="8"/>
      <c r="H67" s="8"/>
      <c r="I67" s="8"/>
      <c r="J67" s="8"/>
      <c r="K67" s="8"/>
      <c r="L67" s="8"/>
      <c r="M67" s="62" cm="1">
        <f t="array" ref="M67">INDEX(tblPrices[cv_2018], MATCH(tblGoogleUnits[[#This Row],[Products]],tblPrices[Products],0), 0) *tblGoogleUnits[[#This Row],[cv_2018]]/10^6</f>
        <v>74.188346917647081</v>
      </c>
      <c r="N67" s="62" cm="1">
        <f t="array" ref="N67">INDEX(tblPrices[cv_2019], MATCH(tblGoogleUnits[[#This Row],[Products]],tblPrices[Products],0), 0)* tblGoogleUnits[[#This Row],[cv_2019]]/10^6</f>
        <v>25.438487040000012</v>
      </c>
      <c r="O67" s="62" cm="1">
        <f t="array" ref="O67">INDEX(tblPrices[cv_2020], MATCH(tblGoogleUnits[[#This Row],[Products]],tblPrices[Products],0), 0)* tblGoogleUnits[[#This Row],[cv_2020]]/10^6</f>
        <v>0</v>
      </c>
      <c r="P67" s="62" cm="1">
        <f t="array" ref="P67">INDEX(tblPrices[cv_2021], MATCH(tblGoogleUnits[[#This Row],[Products]],tblPrices[Products],0), 0)* tblGoogleUnits[[#This Row],[cv_2021]]/10^6</f>
        <v>0</v>
      </c>
      <c r="Q67" s="62" cm="1">
        <f t="array" ref="Q67">INDEX(tblPrices[cv_2022], MATCH(tblGoogleUnits[[#This Row],[Products]],tblPrices[Products],0), 0)* tblGoogleUnits[[#This Row],[cv_2022]]/10^6</f>
        <v>0</v>
      </c>
      <c r="R67" s="62" cm="1">
        <f t="array" ref="R67">INDEX(tblPrices[cv_2023], MATCH(tblGoogleUnits[[#This Row],[Products]],tblPrices[Products],0), 0)* tblGoogleUnits[[#This Row],[cv_2023]]/10^6</f>
        <v>0</v>
      </c>
      <c r="S67" s="62" cm="1">
        <f t="array" ref="S67">INDEX(tblPrices[cv_2024], MATCH(tblGoogleUnits[[#This Row],[Products]],tblPrices[Products],0), 0)* tblGoogleUnits[[#This Row],[cv_2024]]/10^6</f>
        <v>0</v>
      </c>
      <c r="T67" s="62" cm="1">
        <f t="array" ref="T67">INDEX(tblPrices[cv_2025], MATCH(tblGoogleUnits[[#This Row],[Products]],tblPrices[Products],0), 0)* tblGoogleUnits[[#This Row],[cv_2025]]/10^6</f>
        <v>0</v>
      </c>
      <c r="U67" s="62" cm="1">
        <f t="array" ref="U67">INDEX(tblPrices[cv_2026], MATCH(tblGoogleUnits[[#This Row],[Products]],tblPrices[Products],0), 0)* tblGoogleUnits[[#This Row],[cv_2026]]/10^6</f>
        <v>0</v>
      </c>
      <c r="V67" s="62" cm="1">
        <f t="array" ref="V67">INDEX(tblPrices[cv_2027], MATCH(tblGoogleUnits[[#This Row],[Products]],tblPrices[Products],0), 0)* tblGoogleUnits[[#This Row],[cv_2027]]/10^6</f>
        <v>0</v>
      </c>
      <c r="W67" s="62" cm="1">
        <f t="array" ref="W67">INDEX(tblPrices[cv_2028], MATCH(tblGoogleUnits[[#This Row],[Products]],tblPrices[Products],0), 0)* tblGoogleUnits[[#This Row],[cv_2028]]/10^6</f>
        <v>0</v>
      </c>
      <c r="X67" s="1">
        <f>VLOOKUP(A67,Products!$A$29:$F$110,6,FALSE)</f>
        <v>100</v>
      </c>
    </row>
    <row r="68" spans="1:24" s="1" customFormat="1" ht="13.15">
      <c r="A68" s="16" t="s">
        <v>24</v>
      </c>
      <c r="B68" s="8">
        <v>0</v>
      </c>
      <c r="C68" s="8">
        <v>0</v>
      </c>
      <c r="D68" s="8"/>
      <c r="E68" s="8"/>
      <c r="F68" s="8"/>
      <c r="G68" s="8"/>
      <c r="H68" s="8"/>
      <c r="I68" s="8"/>
      <c r="J68" s="8"/>
      <c r="K68" s="8"/>
      <c r="L68" s="8"/>
      <c r="M68" s="62" cm="1">
        <f t="array" ref="M68">INDEX(tblPrices[cv_2018], MATCH(tblGoogleUnits[[#This Row],[Products]],tblPrices[Products],0), 0) *tblGoogleUnits[[#This Row],[cv_2018]]/10^6</f>
        <v>0</v>
      </c>
      <c r="N68" s="62" cm="1">
        <f t="array" ref="N68">INDEX(tblPrices[cv_2019], MATCH(tblGoogleUnits[[#This Row],[Products]],tblPrices[Products],0), 0)* tblGoogleUnits[[#This Row],[cv_2019]]/10^6</f>
        <v>0</v>
      </c>
      <c r="O68" s="62" cm="1">
        <f t="array" ref="O68">INDEX(tblPrices[cv_2020], MATCH(tblGoogleUnits[[#This Row],[Products]],tblPrices[Products],0), 0)* tblGoogleUnits[[#This Row],[cv_2020]]/10^6</f>
        <v>0</v>
      </c>
      <c r="P68" s="62" cm="1">
        <f t="array" ref="P68">INDEX(tblPrices[cv_2021], MATCH(tblGoogleUnits[[#This Row],[Products]],tblPrices[Products],0), 0)* tblGoogleUnits[[#This Row],[cv_2021]]/10^6</f>
        <v>0</v>
      </c>
      <c r="Q68" s="62" cm="1">
        <f t="array" ref="Q68">INDEX(tblPrices[cv_2022], MATCH(tblGoogleUnits[[#This Row],[Products]],tblPrices[Products],0), 0)* tblGoogleUnits[[#This Row],[cv_2022]]/10^6</f>
        <v>0</v>
      </c>
      <c r="R68" s="62" cm="1">
        <f t="array" ref="R68">INDEX(tblPrices[cv_2023], MATCH(tblGoogleUnits[[#This Row],[Products]],tblPrices[Products],0), 0)* tblGoogleUnits[[#This Row],[cv_2023]]/10^6</f>
        <v>0</v>
      </c>
      <c r="S68" s="62" cm="1">
        <f t="array" ref="S68">INDEX(tblPrices[cv_2024], MATCH(tblGoogleUnits[[#This Row],[Products]],tblPrices[Products],0), 0)* tblGoogleUnits[[#This Row],[cv_2024]]/10^6</f>
        <v>0</v>
      </c>
      <c r="T68" s="62" cm="1">
        <f t="array" ref="T68">INDEX(tblPrices[cv_2025], MATCH(tblGoogleUnits[[#This Row],[Products]],tblPrices[Products],0), 0)* tblGoogleUnits[[#This Row],[cv_2025]]/10^6</f>
        <v>0</v>
      </c>
      <c r="U68" s="62" cm="1">
        <f t="array" ref="U68">INDEX(tblPrices[cv_2026], MATCH(tblGoogleUnits[[#This Row],[Products]],tblPrices[Products],0), 0)* tblGoogleUnits[[#This Row],[cv_2026]]/10^6</f>
        <v>0</v>
      </c>
      <c r="V68" s="62" cm="1">
        <f t="array" ref="V68">INDEX(tblPrices[cv_2027], MATCH(tblGoogleUnits[[#This Row],[Products]],tblPrices[Products],0), 0)* tblGoogleUnits[[#This Row],[cv_2027]]/10^6</f>
        <v>0</v>
      </c>
      <c r="W68" s="62" cm="1">
        <f t="array" ref="W68">INDEX(tblPrices[cv_2028], MATCH(tblGoogleUnits[[#This Row],[Products]],tblPrices[Products],0), 0)* tblGoogleUnits[[#This Row],[cv_2028]]/10^6</f>
        <v>0</v>
      </c>
      <c r="X68" s="1">
        <f>VLOOKUP(A68,Products!$A$29:$F$110,6,FALSE)</f>
        <v>100</v>
      </c>
    </row>
    <row r="69" spans="1:24" s="1" customFormat="1" ht="13.15">
      <c r="A69" s="16" t="s">
        <v>25</v>
      </c>
      <c r="B69" s="8">
        <v>1655.0883095238096</v>
      </c>
      <c r="C69" s="8">
        <v>1851.7344000000003</v>
      </c>
      <c r="D69" s="8"/>
      <c r="E69" s="8"/>
      <c r="F69" s="8"/>
      <c r="G69" s="8"/>
      <c r="H69" s="8"/>
      <c r="I69" s="8"/>
      <c r="J69" s="8"/>
      <c r="K69" s="8"/>
      <c r="L69" s="8"/>
      <c r="M69" s="62" cm="1">
        <f t="array" ref="M69">INDEX(tblPrices[cv_2018], MATCH(tblGoogleUnits[[#This Row],[Products]],tblPrices[Products],0), 0) *tblGoogleUnits[[#This Row],[cv_2018]]/10^6</f>
        <v>9.1029857023809537</v>
      </c>
      <c r="N69" s="62" cm="1">
        <f t="array" ref="N69">INDEX(tblPrices[cv_2019], MATCH(tblGoogleUnits[[#This Row],[Products]],tblPrices[Products],0), 0)* tblGoogleUnits[[#This Row],[cv_2019]]/10^6</f>
        <v>8.1476313600000019</v>
      </c>
      <c r="O69" s="62" cm="1">
        <f t="array" ref="O69">INDEX(tblPrices[cv_2020], MATCH(tblGoogleUnits[[#This Row],[Products]],tblPrices[Products],0), 0)* tblGoogleUnits[[#This Row],[cv_2020]]/10^6</f>
        <v>0</v>
      </c>
      <c r="P69" s="62" cm="1">
        <f t="array" ref="P69">INDEX(tblPrices[cv_2021], MATCH(tblGoogleUnits[[#This Row],[Products]],tblPrices[Products],0), 0)* tblGoogleUnits[[#This Row],[cv_2021]]/10^6</f>
        <v>0</v>
      </c>
      <c r="Q69" s="62" cm="1">
        <f t="array" ref="Q69">INDEX(tblPrices[cv_2022], MATCH(tblGoogleUnits[[#This Row],[Products]],tblPrices[Products],0), 0)* tblGoogleUnits[[#This Row],[cv_2022]]/10^6</f>
        <v>0</v>
      </c>
      <c r="R69" s="62" cm="1">
        <f t="array" ref="R69">INDEX(tblPrices[cv_2023], MATCH(tblGoogleUnits[[#This Row],[Products]],tblPrices[Products],0), 0)* tblGoogleUnits[[#This Row],[cv_2023]]/10^6</f>
        <v>0</v>
      </c>
      <c r="S69" s="62" cm="1">
        <f t="array" ref="S69">INDEX(tblPrices[cv_2024], MATCH(tblGoogleUnits[[#This Row],[Products]],tblPrices[Products],0), 0)* tblGoogleUnits[[#This Row],[cv_2024]]/10^6</f>
        <v>0</v>
      </c>
      <c r="T69" s="62" cm="1">
        <f t="array" ref="T69">INDEX(tblPrices[cv_2025], MATCH(tblGoogleUnits[[#This Row],[Products]],tblPrices[Products],0), 0)* tblGoogleUnits[[#This Row],[cv_2025]]/10^6</f>
        <v>0</v>
      </c>
      <c r="U69" s="62" cm="1">
        <f t="array" ref="U69">INDEX(tblPrices[cv_2026], MATCH(tblGoogleUnits[[#This Row],[Products]],tblPrices[Products],0), 0)* tblGoogleUnits[[#This Row],[cv_2026]]/10^6</f>
        <v>0</v>
      </c>
      <c r="V69" s="62" cm="1">
        <f t="array" ref="V69">INDEX(tblPrices[cv_2027], MATCH(tblGoogleUnits[[#This Row],[Products]],tblPrices[Products],0), 0)* tblGoogleUnits[[#This Row],[cv_2027]]/10^6</f>
        <v>0</v>
      </c>
      <c r="W69" s="62" cm="1">
        <f t="array" ref="W69">INDEX(tblPrices[cv_2028], MATCH(tblGoogleUnits[[#This Row],[Products]],tblPrices[Products],0), 0)* tblGoogleUnits[[#This Row],[cv_2028]]/10^6</f>
        <v>0</v>
      </c>
      <c r="X69" s="1">
        <f>VLOOKUP(A69,Products!$A$29:$F$110,6,FALSE)</f>
        <v>100</v>
      </c>
    </row>
    <row r="70" spans="1:24" s="1" customFormat="1" ht="13.15">
      <c r="A70" s="16" t="s">
        <v>26</v>
      </c>
      <c r="B70" s="8">
        <v>0</v>
      </c>
      <c r="C70" s="8">
        <v>0</v>
      </c>
      <c r="D70" s="8"/>
      <c r="E70" s="8"/>
      <c r="F70" s="8"/>
      <c r="G70" s="8"/>
      <c r="H70" s="8"/>
      <c r="I70" s="8"/>
      <c r="J70" s="8"/>
      <c r="K70" s="8"/>
      <c r="L70" s="8"/>
      <c r="M70" s="62" cm="1">
        <f t="array" ref="M70">INDEX(tblPrices[cv_2018], MATCH(tblGoogleUnits[[#This Row],[Products]],tblPrices[Products],0), 0) *tblGoogleUnits[[#This Row],[cv_2018]]/10^6</f>
        <v>0</v>
      </c>
      <c r="N70" s="62" cm="1">
        <f t="array" ref="N70">INDEX(tblPrices[cv_2019], MATCH(tblGoogleUnits[[#This Row],[Products]],tblPrices[Products],0), 0)* tblGoogleUnits[[#This Row],[cv_2019]]/10^6</f>
        <v>0</v>
      </c>
      <c r="O70" s="62" cm="1">
        <f t="array" ref="O70">INDEX(tblPrices[cv_2020], MATCH(tblGoogleUnits[[#This Row],[Products]],tblPrices[Products],0), 0)* tblGoogleUnits[[#This Row],[cv_2020]]/10^6</f>
        <v>0</v>
      </c>
      <c r="P70" s="62" cm="1">
        <f t="array" ref="P70">INDEX(tblPrices[cv_2021], MATCH(tblGoogleUnits[[#This Row],[Products]],tblPrices[Products],0), 0)* tblGoogleUnits[[#This Row],[cv_2021]]/10^6</f>
        <v>0</v>
      </c>
      <c r="Q70" s="62" cm="1">
        <f t="array" ref="Q70">INDEX(tblPrices[cv_2022], MATCH(tblGoogleUnits[[#This Row],[Products]],tblPrices[Products],0), 0)* tblGoogleUnits[[#This Row],[cv_2022]]/10^6</f>
        <v>0</v>
      </c>
      <c r="R70" s="62" cm="1">
        <f t="array" ref="R70">INDEX(tblPrices[cv_2023], MATCH(tblGoogleUnits[[#This Row],[Products]],tblPrices[Products],0), 0)* tblGoogleUnits[[#This Row],[cv_2023]]/10^6</f>
        <v>0</v>
      </c>
      <c r="S70" s="62" cm="1">
        <f t="array" ref="S70">INDEX(tblPrices[cv_2024], MATCH(tblGoogleUnits[[#This Row],[Products]],tblPrices[Products],0), 0)* tblGoogleUnits[[#This Row],[cv_2024]]/10^6</f>
        <v>0</v>
      </c>
      <c r="T70" s="62" cm="1">
        <f t="array" ref="T70">INDEX(tblPrices[cv_2025], MATCH(tblGoogleUnits[[#This Row],[Products]],tblPrices[Products],0), 0)* tblGoogleUnits[[#This Row],[cv_2025]]/10^6</f>
        <v>0</v>
      </c>
      <c r="U70" s="62" cm="1">
        <f t="array" ref="U70">INDEX(tblPrices[cv_2026], MATCH(tblGoogleUnits[[#This Row],[Products]],tblPrices[Products],0), 0)* tblGoogleUnits[[#This Row],[cv_2026]]/10^6</f>
        <v>0</v>
      </c>
      <c r="V70" s="62" cm="1">
        <f t="array" ref="V70">INDEX(tblPrices[cv_2027], MATCH(tblGoogleUnits[[#This Row],[Products]],tblPrices[Products],0), 0)* tblGoogleUnits[[#This Row],[cv_2027]]/10^6</f>
        <v>0</v>
      </c>
      <c r="W70" s="62" cm="1">
        <f t="array" ref="W70">INDEX(tblPrices[cv_2028], MATCH(tblGoogleUnits[[#This Row],[Products]],tblPrices[Products],0), 0)* tblGoogleUnits[[#This Row],[cv_2028]]/10^6</f>
        <v>0</v>
      </c>
      <c r="X70" s="1">
        <f>VLOOKUP(A70,Products!$A$29:$F$110,6,FALSE)</f>
        <v>100</v>
      </c>
    </row>
    <row r="71" spans="1:24" s="1" customFormat="1" ht="13.15">
      <c r="A71" s="16" t="s">
        <v>27</v>
      </c>
      <c r="B71" s="8">
        <v>0</v>
      </c>
      <c r="C71" s="8">
        <v>0</v>
      </c>
      <c r="D71" s="8"/>
      <c r="E71" s="8"/>
      <c r="F71" s="8"/>
      <c r="G71" s="8"/>
      <c r="H71" s="8"/>
      <c r="I71" s="8"/>
      <c r="J71" s="8"/>
      <c r="K71" s="8"/>
      <c r="L71" s="8"/>
      <c r="M71" s="62" cm="1">
        <f t="array" ref="M71">INDEX(tblPrices[cv_2018], MATCH(tblGoogleUnits[[#This Row],[Products]],tblPrices[Products],0), 0) *tblGoogleUnits[[#This Row],[cv_2018]]/10^6</f>
        <v>0</v>
      </c>
      <c r="N71" s="62" cm="1">
        <f t="array" ref="N71">INDEX(tblPrices[cv_2019], MATCH(tblGoogleUnits[[#This Row],[Products]],tblPrices[Products],0), 0)* tblGoogleUnits[[#This Row],[cv_2019]]/10^6</f>
        <v>0</v>
      </c>
      <c r="O71" s="62" cm="1">
        <f t="array" ref="O71">INDEX(tblPrices[cv_2020], MATCH(tblGoogleUnits[[#This Row],[Products]],tblPrices[Products],0), 0)* tblGoogleUnits[[#This Row],[cv_2020]]/10^6</f>
        <v>0</v>
      </c>
      <c r="P71" s="62" cm="1">
        <f t="array" ref="P71">INDEX(tblPrices[cv_2021], MATCH(tblGoogleUnits[[#This Row],[Products]],tblPrices[Products],0), 0)* tblGoogleUnits[[#This Row],[cv_2021]]/10^6</f>
        <v>0</v>
      </c>
      <c r="Q71" s="62" cm="1">
        <f t="array" ref="Q71">INDEX(tblPrices[cv_2022], MATCH(tblGoogleUnits[[#This Row],[Products]],tblPrices[Products],0), 0)* tblGoogleUnits[[#This Row],[cv_2022]]/10^6</f>
        <v>0</v>
      </c>
      <c r="R71" s="62" cm="1">
        <f t="array" ref="R71">INDEX(tblPrices[cv_2023], MATCH(tblGoogleUnits[[#This Row],[Products]],tblPrices[Products],0), 0)* tblGoogleUnits[[#This Row],[cv_2023]]/10^6</f>
        <v>0</v>
      </c>
      <c r="S71" s="62" cm="1">
        <f t="array" ref="S71">INDEX(tblPrices[cv_2024], MATCH(tblGoogleUnits[[#This Row],[Products]],tblPrices[Products],0), 0)* tblGoogleUnits[[#This Row],[cv_2024]]/10^6</f>
        <v>0</v>
      </c>
      <c r="T71" s="62" cm="1">
        <f t="array" ref="T71">INDEX(tblPrices[cv_2025], MATCH(tblGoogleUnits[[#This Row],[Products]],tblPrices[Products],0), 0)* tblGoogleUnits[[#This Row],[cv_2025]]/10^6</f>
        <v>0</v>
      </c>
      <c r="U71" s="62" cm="1">
        <f t="array" ref="U71">INDEX(tblPrices[cv_2026], MATCH(tblGoogleUnits[[#This Row],[Products]],tblPrices[Products],0), 0)* tblGoogleUnits[[#This Row],[cv_2026]]/10^6</f>
        <v>0</v>
      </c>
      <c r="V71" s="62" cm="1">
        <f t="array" ref="V71">INDEX(tblPrices[cv_2027], MATCH(tblGoogleUnits[[#This Row],[Products]],tblPrices[Products],0), 0)* tblGoogleUnits[[#This Row],[cv_2027]]/10^6</f>
        <v>0</v>
      </c>
      <c r="W71" s="62" cm="1">
        <f t="array" ref="W71">INDEX(tblPrices[cv_2028], MATCH(tblGoogleUnits[[#This Row],[Products]],tblPrices[Products],0), 0)* tblGoogleUnits[[#This Row],[cv_2028]]/10^6</f>
        <v>0</v>
      </c>
      <c r="X71" s="1">
        <f>VLOOKUP(A71,Products!$A$29:$F$110,6,FALSE)</f>
        <v>100</v>
      </c>
    </row>
    <row r="72" spans="1:24" s="1" customFormat="1" ht="13.15">
      <c r="A72" s="16" t="s">
        <v>28</v>
      </c>
      <c r="B72" s="8">
        <v>4850.1737704918032</v>
      </c>
      <c r="C72" s="8">
        <v>6852.254399999998</v>
      </c>
      <c r="D72" s="8"/>
      <c r="E72" s="8"/>
      <c r="F72" s="8"/>
      <c r="G72" s="8"/>
      <c r="H72" s="8"/>
      <c r="I72" s="8"/>
      <c r="J72" s="8"/>
      <c r="K72" s="8"/>
      <c r="L72" s="8"/>
      <c r="M72" s="62" cm="1">
        <f t="array" ref="M72">INDEX(tblPrices[cv_2018], MATCH(tblGoogleUnits[[#This Row],[Products]],tblPrices[Products],0), 0) *tblGoogleUnits[[#This Row],[cv_2018]]/10^6</f>
        <v>42.328789269746643</v>
      </c>
      <c r="N72" s="62" cm="1">
        <f t="array" ref="N72">INDEX(tblPrices[cv_2019], MATCH(tblGoogleUnits[[#This Row],[Products]],tblPrices[Products],0), 0)* tblGoogleUnits[[#This Row],[cv_2019]]/10^6</f>
        <v>47.841194356363623</v>
      </c>
      <c r="O72" s="62" cm="1">
        <f t="array" ref="O72">INDEX(tblPrices[cv_2020], MATCH(tblGoogleUnits[[#This Row],[Products]],tblPrices[Products],0), 0)* tblGoogleUnits[[#This Row],[cv_2020]]/10^6</f>
        <v>0</v>
      </c>
      <c r="P72" s="62" cm="1">
        <f t="array" ref="P72">INDEX(tblPrices[cv_2021], MATCH(tblGoogleUnits[[#This Row],[Products]],tblPrices[Products],0), 0)* tblGoogleUnits[[#This Row],[cv_2021]]/10^6</f>
        <v>0</v>
      </c>
      <c r="Q72" s="62" cm="1">
        <f t="array" ref="Q72">INDEX(tblPrices[cv_2022], MATCH(tblGoogleUnits[[#This Row],[Products]],tblPrices[Products],0), 0)* tblGoogleUnits[[#This Row],[cv_2022]]/10^6</f>
        <v>0</v>
      </c>
      <c r="R72" s="62" cm="1">
        <f t="array" ref="R72">INDEX(tblPrices[cv_2023], MATCH(tblGoogleUnits[[#This Row],[Products]],tblPrices[Products],0), 0)* tblGoogleUnits[[#This Row],[cv_2023]]/10^6</f>
        <v>0</v>
      </c>
      <c r="S72" s="62" cm="1">
        <f t="array" ref="S72">INDEX(tblPrices[cv_2024], MATCH(tblGoogleUnits[[#This Row],[Products]],tblPrices[Products],0), 0)* tblGoogleUnits[[#This Row],[cv_2024]]/10^6</f>
        <v>0</v>
      </c>
      <c r="T72" s="62" cm="1">
        <f t="array" ref="T72">INDEX(tblPrices[cv_2025], MATCH(tblGoogleUnits[[#This Row],[Products]],tblPrices[Products],0), 0)* tblGoogleUnits[[#This Row],[cv_2025]]/10^6</f>
        <v>0</v>
      </c>
      <c r="U72" s="62" cm="1">
        <f t="array" ref="U72">INDEX(tblPrices[cv_2026], MATCH(tblGoogleUnits[[#This Row],[Products]],tblPrices[Products],0), 0)* tblGoogleUnits[[#This Row],[cv_2026]]/10^6</f>
        <v>0</v>
      </c>
      <c r="V72" s="62" cm="1">
        <f t="array" ref="V72">INDEX(tblPrices[cv_2027], MATCH(tblGoogleUnits[[#This Row],[Products]],tblPrices[Products],0), 0)* tblGoogleUnits[[#This Row],[cv_2027]]/10^6</f>
        <v>0</v>
      </c>
      <c r="W72" s="62" cm="1">
        <f t="array" ref="W72">INDEX(tblPrices[cv_2028], MATCH(tblGoogleUnits[[#This Row],[Products]],tblPrices[Products],0), 0)* tblGoogleUnits[[#This Row],[cv_2028]]/10^6</f>
        <v>0</v>
      </c>
      <c r="X72" s="1">
        <f>VLOOKUP(A72,Products!$A$29:$F$110,6,FALSE)</f>
        <v>200</v>
      </c>
    </row>
    <row r="73" spans="1:24" s="1" customFormat="1" ht="13.15">
      <c r="A73" s="16" t="s">
        <v>29</v>
      </c>
      <c r="B73" s="8">
        <v>2041.2663934426228</v>
      </c>
      <c r="C73" s="8">
        <v>6172.7759999999989</v>
      </c>
      <c r="D73" s="8"/>
      <c r="E73" s="8"/>
      <c r="F73" s="8"/>
      <c r="G73" s="8"/>
      <c r="H73" s="8"/>
      <c r="I73" s="8"/>
      <c r="J73" s="8"/>
      <c r="K73" s="8"/>
      <c r="L73" s="8"/>
      <c r="M73" s="62" cm="1">
        <f t="array" ref="M73">INDEX(tblPrices[cv_2018], MATCH(tblGoogleUnits[[#This Row],[Products]],tblPrices[Products],0), 0) *tblGoogleUnits[[#This Row],[cv_2018]]/10^6</f>
        <v>12.247598360655736</v>
      </c>
      <c r="N73" s="62" cm="1">
        <f t="array" ref="N73">INDEX(tblPrices[cv_2019], MATCH(tblGoogleUnits[[#This Row],[Products]],tblPrices[Products],0), 0)* tblGoogleUnits[[#This Row],[cv_2019]]/10^6</f>
        <v>29.629324799999992</v>
      </c>
      <c r="O73" s="62" cm="1">
        <f t="array" ref="O73">INDEX(tblPrices[cv_2020], MATCH(tblGoogleUnits[[#This Row],[Products]],tblPrices[Products],0), 0)* tblGoogleUnits[[#This Row],[cv_2020]]/10^6</f>
        <v>0</v>
      </c>
      <c r="P73" s="62" cm="1">
        <f t="array" ref="P73">INDEX(tblPrices[cv_2021], MATCH(tblGoogleUnits[[#This Row],[Products]],tblPrices[Products],0), 0)* tblGoogleUnits[[#This Row],[cv_2021]]/10^6</f>
        <v>0</v>
      </c>
      <c r="Q73" s="62" cm="1">
        <f t="array" ref="Q73">INDEX(tblPrices[cv_2022], MATCH(tblGoogleUnits[[#This Row],[Products]],tblPrices[Products],0), 0)* tblGoogleUnits[[#This Row],[cv_2022]]/10^6</f>
        <v>0</v>
      </c>
      <c r="R73" s="62" cm="1">
        <f t="array" ref="R73">INDEX(tblPrices[cv_2023], MATCH(tblGoogleUnits[[#This Row],[Products]],tblPrices[Products],0), 0)* tblGoogleUnits[[#This Row],[cv_2023]]/10^6</f>
        <v>0</v>
      </c>
      <c r="S73" s="62" cm="1">
        <f t="array" ref="S73">INDEX(tblPrices[cv_2024], MATCH(tblGoogleUnits[[#This Row],[Products]],tblPrices[Products],0), 0)* tblGoogleUnits[[#This Row],[cv_2024]]/10^6</f>
        <v>0</v>
      </c>
      <c r="T73" s="62" cm="1">
        <f t="array" ref="T73">INDEX(tblPrices[cv_2025], MATCH(tblGoogleUnits[[#This Row],[Products]],tblPrices[Products],0), 0)* tblGoogleUnits[[#This Row],[cv_2025]]/10^6</f>
        <v>0</v>
      </c>
      <c r="U73" s="62" cm="1">
        <f t="array" ref="U73">INDEX(tblPrices[cv_2026], MATCH(tblGoogleUnits[[#This Row],[Products]],tblPrices[Products],0), 0)* tblGoogleUnits[[#This Row],[cv_2026]]/10^6</f>
        <v>0</v>
      </c>
      <c r="V73" s="62" cm="1">
        <f t="array" ref="V73">INDEX(tblPrices[cv_2027], MATCH(tblGoogleUnits[[#This Row],[Products]],tblPrices[Products],0), 0)* tblGoogleUnits[[#This Row],[cv_2027]]/10^6</f>
        <v>0</v>
      </c>
      <c r="W73" s="62" cm="1">
        <f t="array" ref="W73">INDEX(tblPrices[cv_2028], MATCH(tblGoogleUnits[[#This Row],[Products]],tblPrices[Products],0), 0)* tblGoogleUnits[[#This Row],[cv_2028]]/10^6</f>
        <v>0</v>
      </c>
      <c r="X73" s="1">
        <f>VLOOKUP(A73,Products!$A$29:$F$110,6,FALSE)</f>
        <v>200</v>
      </c>
    </row>
    <row r="74" spans="1:24" s="1" customFormat="1" ht="13.15">
      <c r="A74" s="16" t="s">
        <v>30</v>
      </c>
      <c r="B74" s="8">
        <v>0</v>
      </c>
      <c r="C74" s="8">
        <v>0</v>
      </c>
      <c r="D74" s="8"/>
      <c r="E74" s="8"/>
      <c r="F74" s="8"/>
      <c r="G74" s="8"/>
      <c r="H74" s="8"/>
      <c r="I74" s="8"/>
      <c r="J74" s="8"/>
      <c r="K74" s="8"/>
      <c r="L74" s="8"/>
      <c r="M74" s="62" cm="1">
        <f t="array" ref="M74">INDEX(tblPrices[cv_2018], MATCH(tblGoogleUnits[[#This Row],[Products]],tblPrices[Products],0), 0) *tblGoogleUnits[[#This Row],[cv_2018]]/10^6</f>
        <v>0</v>
      </c>
      <c r="N74" s="62" cm="1">
        <f t="array" ref="N74">INDEX(tblPrices[cv_2019], MATCH(tblGoogleUnits[[#This Row],[Products]],tblPrices[Products],0), 0)* tblGoogleUnits[[#This Row],[cv_2019]]/10^6</f>
        <v>0</v>
      </c>
      <c r="O74" s="62" cm="1">
        <f t="array" ref="O74">INDEX(tblPrices[cv_2020], MATCH(tblGoogleUnits[[#This Row],[Products]],tblPrices[Products],0), 0)* tblGoogleUnits[[#This Row],[cv_2020]]/10^6</f>
        <v>0</v>
      </c>
      <c r="P74" s="62" cm="1">
        <f t="array" ref="P74">INDEX(tblPrices[cv_2021], MATCH(tblGoogleUnits[[#This Row],[Products]],tblPrices[Products],0), 0)* tblGoogleUnits[[#This Row],[cv_2021]]/10^6</f>
        <v>0</v>
      </c>
      <c r="Q74" s="62" cm="1">
        <f t="array" ref="Q74">INDEX(tblPrices[cv_2022], MATCH(tblGoogleUnits[[#This Row],[Products]],tblPrices[Products],0), 0)* tblGoogleUnits[[#This Row],[cv_2022]]/10^6</f>
        <v>0</v>
      </c>
      <c r="R74" s="62" cm="1">
        <f t="array" ref="R74">INDEX(tblPrices[cv_2023], MATCH(tblGoogleUnits[[#This Row],[Products]],tblPrices[Products],0), 0)* tblGoogleUnits[[#This Row],[cv_2023]]/10^6</f>
        <v>0</v>
      </c>
      <c r="S74" s="62" cm="1">
        <f t="array" ref="S74">INDEX(tblPrices[cv_2024], MATCH(tblGoogleUnits[[#This Row],[Products]],tblPrices[Products],0), 0)* tblGoogleUnits[[#This Row],[cv_2024]]/10^6</f>
        <v>0</v>
      </c>
      <c r="T74" s="62" cm="1">
        <f t="array" ref="T74">INDEX(tblPrices[cv_2025], MATCH(tblGoogleUnits[[#This Row],[Products]],tblPrices[Products],0), 0)* tblGoogleUnits[[#This Row],[cv_2025]]/10^6</f>
        <v>0</v>
      </c>
      <c r="U74" s="62" cm="1">
        <f t="array" ref="U74">INDEX(tblPrices[cv_2026], MATCH(tblGoogleUnits[[#This Row],[Products]],tblPrices[Products],0), 0)* tblGoogleUnits[[#This Row],[cv_2026]]/10^6</f>
        <v>0</v>
      </c>
      <c r="V74" s="62" cm="1">
        <f t="array" ref="V74">INDEX(tblPrices[cv_2027], MATCH(tblGoogleUnits[[#This Row],[Products]],tblPrices[Products],0), 0)* tblGoogleUnits[[#This Row],[cv_2027]]/10^6</f>
        <v>0</v>
      </c>
      <c r="W74" s="62" cm="1">
        <f t="array" ref="W74">INDEX(tblPrices[cv_2028], MATCH(tblGoogleUnits[[#This Row],[Products]],tblPrices[Products],0), 0)* tblGoogleUnits[[#This Row],[cv_2028]]/10^6</f>
        <v>0</v>
      </c>
      <c r="X74" s="1">
        <f>VLOOKUP(A74,Products!$A$29:$F$110,6,FALSE)</f>
        <v>200</v>
      </c>
    </row>
    <row r="75" spans="1:24" s="1" customFormat="1" ht="13.15">
      <c r="A75" s="16" t="s">
        <v>31</v>
      </c>
      <c r="B75" s="8">
        <v>1750</v>
      </c>
      <c r="C75" s="8">
        <v>3483</v>
      </c>
      <c r="D75" s="8"/>
      <c r="E75" s="8"/>
      <c r="F75" s="8"/>
      <c r="G75" s="8"/>
      <c r="H75" s="8"/>
      <c r="I75" s="8"/>
      <c r="J75" s="8"/>
      <c r="K75" s="8"/>
      <c r="L75" s="8"/>
      <c r="M75" s="62" cm="1">
        <f t="array" ref="M75">INDEX(tblPrices[cv_2018], MATCH(tblGoogleUnits[[#This Row],[Products]],tblPrices[Products],0), 0) *tblGoogleUnits[[#This Row],[cv_2018]]/10^6</f>
        <v>0</v>
      </c>
      <c r="N75" s="62" cm="1">
        <f t="array" ref="N75">INDEX(tblPrices[cv_2019], MATCH(tblGoogleUnits[[#This Row],[Products]],tblPrices[Products],0), 0)* tblGoogleUnits[[#This Row],[cv_2019]]/10^6</f>
        <v>30.39709090909091</v>
      </c>
      <c r="O75" s="62" cm="1">
        <f t="array" ref="O75">INDEX(tblPrices[cv_2020], MATCH(tblGoogleUnits[[#This Row],[Products]],tblPrices[Products],0), 0)* tblGoogleUnits[[#This Row],[cv_2020]]/10^6</f>
        <v>0</v>
      </c>
      <c r="P75" s="62" cm="1">
        <f t="array" ref="P75">INDEX(tblPrices[cv_2021], MATCH(tblGoogleUnits[[#This Row],[Products]],tblPrices[Products],0), 0)* tblGoogleUnits[[#This Row],[cv_2021]]/10^6</f>
        <v>0</v>
      </c>
      <c r="Q75" s="62" cm="1">
        <f t="array" ref="Q75">INDEX(tblPrices[cv_2022], MATCH(tblGoogleUnits[[#This Row],[Products]],tblPrices[Products],0), 0)* tblGoogleUnits[[#This Row],[cv_2022]]/10^6</f>
        <v>0</v>
      </c>
      <c r="R75" s="62" cm="1">
        <f t="array" ref="R75">INDEX(tblPrices[cv_2023], MATCH(tblGoogleUnits[[#This Row],[Products]],tblPrices[Products],0), 0)* tblGoogleUnits[[#This Row],[cv_2023]]/10^6</f>
        <v>0</v>
      </c>
      <c r="S75" s="62" cm="1">
        <f t="array" ref="S75">INDEX(tblPrices[cv_2024], MATCH(tblGoogleUnits[[#This Row],[Products]],tblPrices[Products],0), 0)* tblGoogleUnits[[#This Row],[cv_2024]]/10^6</f>
        <v>0</v>
      </c>
      <c r="T75" s="62" cm="1">
        <f t="array" ref="T75">INDEX(tblPrices[cv_2025], MATCH(tblGoogleUnits[[#This Row],[Products]],tblPrices[Products],0), 0)* tblGoogleUnits[[#This Row],[cv_2025]]/10^6</f>
        <v>0</v>
      </c>
      <c r="U75" s="62" cm="1">
        <f t="array" ref="U75">INDEX(tblPrices[cv_2026], MATCH(tblGoogleUnits[[#This Row],[Products]],tblPrices[Products],0), 0)* tblGoogleUnits[[#This Row],[cv_2026]]/10^6</f>
        <v>0</v>
      </c>
      <c r="V75" s="62" cm="1">
        <f t="array" ref="V75">INDEX(tblPrices[cv_2027], MATCH(tblGoogleUnits[[#This Row],[Products]],tblPrices[Products],0), 0)* tblGoogleUnits[[#This Row],[cv_2027]]/10^6</f>
        <v>0</v>
      </c>
      <c r="W75" s="62" cm="1">
        <f t="array" ref="W75">INDEX(tblPrices[cv_2028], MATCH(tblGoogleUnits[[#This Row],[Products]],tblPrices[Products],0), 0)* tblGoogleUnits[[#This Row],[cv_2028]]/10^6</f>
        <v>0</v>
      </c>
      <c r="X75" s="1">
        <f>VLOOKUP(A75,Products!$A$29:$F$110,6,FALSE)</f>
        <v>400</v>
      </c>
    </row>
    <row r="76" spans="1:24" s="1" customFormat="1" ht="13.15">
      <c r="A76" s="16" t="s">
        <v>32</v>
      </c>
      <c r="B76" s="8">
        <v>0</v>
      </c>
      <c r="C76" s="8">
        <v>39.999999999999993</v>
      </c>
      <c r="D76" s="8"/>
      <c r="E76" s="8"/>
      <c r="F76" s="8"/>
      <c r="G76" s="8"/>
      <c r="H76" s="8"/>
      <c r="I76" s="8"/>
      <c r="J76" s="8"/>
      <c r="K76" s="8"/>
      <c r="L76" s="8"/>
      <c r="M76" s="62" cm="1">
        <f t="array" ref="M76">INDEX(tblPrices[cv_2018], MATCH(tblGoogleUnits[[#This Row],[Products]],tblPrices[Products],0), 0) *tblGoogleUnits[[#This Row],[cv_2018]]/10^6</f>
        <v>0</v>
      </c>
      <c r="N76" s="62" cm="1">
        <f t="array" ref="N76">INDEX(tblPrices[cv_2019], MATCH(tblGoogleUnits[[#This Row],[Products]],tblPrices[Products],0), 0)* tblGoogleUnits[[#This Row],[cv_2019]]/10^6</f>
        <v>0.23999999999999996</v>
      </c>
      <c r="O76" s="62" cm="1">
        <f t="array" ref="O76">INDEX(tblPrices[cv_2020], MATCH(tblGoogleUnits[[#This Row],[Products]],tblPrices[Products],0), 0)* tblGoogleUnits[[#This Row],[cv_2020]]/10^6</f>
        <v>0</v>
      </c>
      <c r="P76" s="62" cm="1">
        <f t="array" ref="P76">INDEX(tblPrices[cv_2021], MATCH(tblGoogleUnits[[#This Row],[Products]],tblPrices[Products],0), 0)* tblGoogleUnits[[#This Row],[cv_2021]]/10^6</f>
        <v>0</v>
      </c>
      <c r="Q76" s="62" cm="1">
        <f t="array" ref="Q76">INDEX(tblPrices[cv_2022], MATCH(tblGoogleUnits[[#This Row],[Products]],tblPrices[Products],0), 0)* tblGoogleUnits[[#This Row],[cv_2022]]/10^6</f>
        <v>0</v>
      </c>
      <c r="R76" s="62" cm="1">
        <f t="array" ref="R76">INDEX(tblPrices[cv_2023], MATCH(tblGoogleUnits[[#This Row],[Products]],tblPrices[Products],0), 0)* tblGoogleUnits[[#This Row],[cv_2023]]/10^6</f>
        <v>0</v>
      </c>
      <c r="S76" s="62" cm="1">
        <f t="array" ref="S76">INDEX(tblPrices[cv_2024], MATCH(tblGoogleUnits[[#This Row],[Products]],tblPrices[Products],0), 0)* tblGoogleUnits[[#This Row],[cv_2024]]/10^6</f>
        <v>0</v>
      </c>
      <c r="T76" s="62" cm="1">
        <f t="array" ref="T76">INDEX(tblPrices[cv_2025], MATCH(tblGoogleUnits[[#This Row],[Products]],tblPrices[Products],0), 0)* tblGoogleUnits[[#This Row],[cv_2025]]/10^6</f>
        <v>0</v>
      </c>
      <c r="U76" s="62" cm="1">
        <f t="array" ref="U76">INDEX(tblPrices[cv_2026], MATCH(tblGoogleUnits[[#This Row],[Products]],tblPrices[Products],0), 0)* tblGoogleUnits[[#This Row],[cv_2026]]/10^6</f>
        <v>0</v>
      </c>
      <c r="V76" s="62" cm="1">
        <f t="array" ref="V76">INDEX(tblPrices[cv_2027], MATCH(tblGoogleUnits[[#This Row],[Products]],tblPrices[Products],0), 0)* tblGoogleUnits[[#This Row],[cv_2027]]/10^6</f>
        <v>0</v>
      </c>
      <c r="W76" s="62" cm="1">
        <f t="array" ref="W76">INDEX(tblPrices[cv_2028], MATCH(tblGoogleUnits[[#This Row],[Products]],tblPrices[Products],0), 0)* tblGoogleUnits[[#This Row],[cv_2028]]/10^6</f>
        <v>0</v>
      </c>
      <c r="X76" s="1">
        <f>VLOOKUP(A76,Products!$A$29:$F$110,6,FALSE)</f>
        <v>400</v>
      </c>
    </row>
    <row r="77" spans="1:24" s="1" customFormat="1" ht="13.15">
      <c r="A77" s="16" t="s">
        <v>33</v>
      </c>
      <c r="B77" s="8">
        <v>0</v>
      </c>
      <c r="C77" s="8">
        <v>0</v>
      </c>
      <c r="D77" s="8"/>
      <c r="E77" s="8"/>
      <c r="F77" s="8"/>
      <c r="G77" s="8"/>
      <c r="H77" s="8"/>
      <c r="I77" s="8"/>
      <c r="J77" s="8"/>
      <c r="K77" s="8"/>
      <c r="L77" s="8"/>
      <c r="M77" s="62" cm="1">
        <f t="array" ref="M77">INDEX(tblPrices[cv_2018], MATCH(tblGoogleUnits[[#This Row],[Products]],tblPrices[Products],0), 0) *tblGoogleUnits[[#This Row],[cv_2018]]/10^6</f>
        <v>0</v>
      </c>
      <c r="N77" s="62" cm="1">
        <f t="array" ref="N77">INDEX(tblPrices[cv_2019], MATCH(tblGoogleUnits[[#This Row],[Products]],tblPrices[Products],0), 0)* tblGoogleUnits[[#This Row],[cv_2019]]/10^6</f>
        <v>0</v>
      </c>
      <c r="O77" s="62" cm="1">
        <f t="array" ref="O77">INDEX(tblPrices[cv_2020], MATCH(tblGoogleUnits[[#This Row],[Products]],tblPrices[Products],0), 0)* tblGoogleUnits[[#This Row],[cv_2020]]/10^6</f>
        <v>0</v>
      </c>
      <c r="P77" s="62" cm="1">
        <f t="array" ref="P77">INDEX(tblPrices[cv_2021], MATCH(tblGoogleUnits[[#This Row],[Products]],tblPrices[Products],0), 0)* tblGoogleUnits[[#This Row],[cv_2021]]/10^6</f>
        <v>0</v>
      </c>
      <c r="Q77" s="62" cm="1">
        <f t="array" ref="Q77">INDEX(tblPrices[cv_2022], MATCH(tblGoogleUnits[[#This Row],[Products]],tblPrices[Products],0), 0)* tblGoogleUnits[[#This Row],[cv_2022]]/10^6</f>
        <v>0</v>
      </c>
      <c r="R77" s="62" cm="1">
        <f t="array" ref="R77">INDEX(tblPrices[cv_2023], MATCH(tblGoogleUnits[[#This Row],[Products]],tblPrices[Products],0), 0)* tblGoogleUnits[[#This Row],[cv_2023]]/10^6</f>
        <v>0</v>
      </c>
      <c r="S77" s="62" cm="1">
        <f t="array" ref="S77">INDEX(tblPrices[cv_2024], MATCH(tblGoogleUnits[[#This Row],[Products]],tblPrices[Products],0), 0)* tblGoogleUnits[[#This Row],[cv_2024]]/10^6</f>
        <v>0</v>
      </c>
      <c r="T77" s="62" cm="1">
        <f t="array" ref="T77">INDEX(tblPrices[cv_2025], MATCH(tblGoogleUnits[[#This Row],[Products]],tblPrices[Products],0), 0)* tblGoogleUnits[[#This Row],[cv_2025]]/10^6</f>
        <v>0</v>
      </c>
      <c r="U77" s="62" cm="1">
        <f t="array" ref="U77">INDEX(tblPrices[cv_2026], MATCH(tblGoogleUnits[[#This Row],[Products]],tblPrices[Products],0), 0)* tblGoogleUnits[[#This Row],[cv_2026]]/10^6</f>
        <v>0</v>
      </c>
      <c r="V77" s="62" cm="1">
        <f t="array" ref="V77">INDEX(tblPrices[cv_2027], MATCH(tblGoogleUnits[[#This Row],[Products]],tblPrices[Products],0), 0)* tblGoogleUnits[[#This Row],[cv_2027]]/10^6</f>
        <v>0</v>
      </c>
      <c r="W77" s="62" cm="1">
        <f t="array" ref="W77">INDEX(tblPrices[cv_2028], MATCH(tblGoogleUnits[[#This Row],[Products]],tblPrices[Products],0), 0)* tblGoogleUnits[[#This Row],[cv_2028]]/10^6</f>
        <v>0</v>
      </c>
      <c r="X77" s="1">
        <f>VLOOKUP(A77,Products!$A$29:$F$110,6,FALSE)</f>
        <v>400</v>
      </c>
    </row>
    <row r="78" spans="1:24" s="1" customFormat="1" ht="13.15">
      <c r="A78" s="16" t="s">
        <v>34</v>
      </c>
      <c r="B78" s="8">
        <v>0</v>
      </c>
      <c r="C78" s="8">
        <v>0</v>
      </c>
      <c r="D78" s="8"/>
      <c r="E78" s="8"/>
      <c r="F78" s="8"/>
      <c r="G78" s="8"/>
      <c r="H78" s="8"/>
      <c r="I78" s="8"/>
      <c r="J78" s="8"/>
      <c r="K78" s="8"/>
      <c r="L78" s="8"/>
      <c r="M78" s="62" cm="1">
        <f t="array" ref="M78">INDEX(tblPrices[cv_2018], MATCH(tblGoogleUnits[[#This Row],[Products]],tblPrices[Products],0), 0) *tblGoogleUnits[[#This Row],[cv_2018]]/10^6</f>
        <v>0</v>
      </c>
      <c r="N78" s="62" cm="1">
        <f t="array" ref="N78">INDEX(tblPrices[cv_2019], MATCH(tblGoogleUnits[[#This Row],[Products]],tblPrices[Products],0), 0)* tblGoogleUnits[[#This Row],[cv_2019]]/10^6</f>
        <v>0</v>
      </c>
      <c r="O78" s="62" cm="1">
        <f t="array" ref="O78">INDEX(tblPrices[cv_2020], MATCH(tblGoogleUnits[[#This Row],[Products]],tblPrices[Products],0), 0)* tblGoogleUnits[[#This Row],[cv_2020]]/10^6</f>
        <v>0</v>
      </c>
      <c r="P78" s="62" cm="1">
        <f t="array" ref="P78">INDEX(tblPrices[cv_2021], MATCH(tblGoogleUnits[[#This Row],[Products]],tblPrices[Products],0), 0)* tblGoogleUnits[[#This Row],[cv_2021]]/10^6</f>
        <v>0</v>
      </c>
      <c r="Q78" s="62" cm="1">
        <f t="array" ref="Q78">INDEX(tblPrices[cv_2022], MATCH(tblGoogleUnits[[#This Row],[Products]],tblPrices[Products],0), 0)* tblGoogleUnits[[#This Row],[cv_2022]]/10^6</f>
        <v>0</v>
      </c>
      <c r="R78" s="62" cm="1">
        <f t="array" ref="R78">INDEX(tblPrices[cv_2023], MATCH(tblGoogleUnits[[#This Row],[Products]],tblPrices[Products],0), 0)* tblGoogleUnits[[#This Row],[cv_2023]]/10^6</f>
        <v>0</v>
      </c>
      <c r="S78" s="62" cm="1">
        <f t="array" ref="S78">INDEX(tblPrices[cv_2024], MATCH(tblGoogleUnits[[#This Row],[Products]],tblPrices[Products],0), 0)* tblGoogleUnits[[#This Row],[cv_2024]]/10^6</f>
        <v>0</v>
      </c>
      <c r="T78" s="62" cm="1">
        <f t="array" ref="T78">INDEX(tblPrices[cv_2025], MATCH(tblGoogleUnits[[#This Row],[Products]],tblPrices[Products],0), 0)* tblGoogleUnits[[#This Row],[cv_2025]]/10^6</f>
        <v>0</v>
      </c>
      <c r="U78" s="62" cm="1">
        <f t="array" ref="U78">INDEX(tblPrices[cv_2026], MATCH(tblGoogleUnits[[#This Row],[Products]],tblPrices[Products],0), 0)* tblGoogleUnits[[#This Row],[cv_2026]]/10^6</f>
        <v>0</v>
      </c>
      <c r="V78" s="62" cm="1">
        <f t="array" ref="V78">INDEX(tblPrices[cv_2027], MATCH(tblGoogleUnits[[#This Row],[Products]],tblPrices[Products],0), 0)* tblGoogleUnits[[#This Row],[cv_2027]]/10^6</f>
        <v>0</v>
      </c>
      <c r="W78" s="62" cm="1">
        <f t="array" ref="W78">INDEX(tblPrices[cv_2028], MATCH(tblGoogleUnits[[#This Row],[Products]],tblPrices[Products],0), 0)* tblGoogleUnits[[#This Row],[cv_2028]]/10^6</f>
        <v>0</v>
      </c>
      <c r="X78" s="1">
        <f>VLOOKUP(A78,Products!$A$29:$F$110,6,FALSE)</f>
        <v>400</v>
      </c>
    </row>
    <row r="79" spans="1:24" s="1" customFormat="1" ht="13.15">
      <c r="A79" s="16" t="s">
        <v>35</v>
      </c>
      <c r="B79" s="8">
        <v>0</v>
      </c>
      <c r="C79" s="8">
        <v>1.6400000000000003</v>
      </c>
      <c r="D79" s="8"/>
      <c r="E79" s="8"/>
      <c r="F79" s="8"/>
      <c r="G79" s="8"/>
      <c r="H79" s="8"/>
      <c r="I79" s="8"/>
      <c r="J79" s="8"/>
      <c r="K79" s="8"/>
      <c r="L79" s="8"/>
      <c r="M79" s="62" cm="1">
        <f t="array" ref="M79">INDEX(tblPrices[cv_2018], MATCH(tblGoogleUnits[[#This Row],[Products]],tblPrices[Products],0), 0) *tblGoogleUnits[[#This Row],[cv_2018]]/10^6</f>
        <v>0</v>
      </c>
      <c r="N79" s="62" cm="1">
        <f t="array" ref="N79">INDEX(tblPrices[cv_2019], MATCH(tblGoogleUnits[[#This Row],[Products]],tblPrices[Products],0), 0)* tblGoogleUnits[[#This Row],[cv_2019]]/10^6</f>
        <v>1.6400000000000005E-2</v>
      </c>
      <c r="O79" s="62" cm="1">
        <f t="array" ref="O79">INDEX(tblPrices[cv_2020], MATCH(tblGoogleUnits[[#This Row],[Products]],tblPrices[Products],0), 0)* tblGoogleUnits[[#This Row],[cv_2020]]/10^6</f>
        <v>0</v>
      </c>
      <c r="P79" s="62" cm="1">
        <f t="array" ref="P79">INDEX(tblPrices[cv_2021], MATCH(tblGoogleUnits[[#This Row],[Products]],tblPrices[Products],0), 0)* tblGoogleUnits[[#This Row],[cv_2021]]/10^6</f>
        <v>0</v>
      </c>
      <c r="Q79" s="62" cm="1">
        <f t="array" ref="Q79">INDEX(tblPrices[cv_2022], MATCH(tblGoogleUnits[[#This Row],[Products]],tblPrices[Products],0), 0)* tblGoogleUnits[[#This Row],[cv_2022]]/10^6</f>
        <v>0</v>
      </c>
      <c r="R79" s="62" cm="1">
        <f t="array" ref="R79">INDEX(tblPrices[cv_2023], MATCH(tblGoogleUnits[[#This Row],[Products]],tblPrices[Products],0), 0)* tblGoogleUnits[[#This Row],[cv_2023]]/10^6</f>
        <v>0</v>
      </c>
      <c r="S79" s="62" cm="1">
        <f t="array" ref="S79">INDEX(tblPrices[cv_2024], MATCH(tblGoogleUnits[[#This Row],[Products]],tblPrices[Products],0), 0)* tblGoogleUnits[[#This Row],[cv_2024]]/10^6</f>
        <v>0</v>
      </c>
      <c r="T79" s="62" cm="1">
        <f t="array" ref="T79">INDEX(tblPrices[cv_2025], MATCH(tblGoogleUnits[[#This Row],[Products]],tblPrices[Products],0), 0)* tblGoogleUnits[[#This Row],[cv_2025]]/10^6</f>
        <v>0</v>
      </c>
      <c r="U79" s="62" cm="1">
        <f t="array" ref="U79">INDEX(tblPrices[cv_2026], MATCH(tblGoogleUnits[[#This Row],[Products]],tblPrices[Products],0), 0)* tblGoogleUnits[[#This Row],[cv_2026]]/10^6</f>
        <v>0</v>
      </c>
      <c r="V79" s="62" cm="1">
        <f t="array" ref="V79">INDEX(tblPrices[cv_2027], MATCH(tblGoogleUnits[[#This Row],[Products]],tblPrices[Products],0), 0)* tblGoogleUnits[[#This Row],[cv_2027]]/10^6</f>
        <v>0</v>
      </c>
      <c r="W79" s="62" cm="1">
        <f t="array" ref="W79">INDEX(tblPrices[cv_2028], MATCH(tblGoogleUnits[[#This Row],[Products]],tblPrices[Products],0), 0)* tblGoogleUnits[[#This Row],[cv_2028]]/10^6</f>
        <v>0</v>
      </c>
      <c r="X79" s="1">
        <f>VLOOKUP(A79,Products!$A$29:$F$110,6,FALSE)</f>
        <v>600</v>
      </c>
    </row>
    <row r="80" spans="1:24" s="1" customFormat="1" ht="13.15">
      <c r="A80" s="16" t="s">
        <v>36</v>
      </c>
      <c r="B80" s="8">
        <v>0</v>
      </c>
      <c r="C80" s="8">
        <v>0</v>
      </c>
      <c r="D80" s="8"/>
      <c r="E80" s="8"/>
      <c r="F80" s="8"/>
      <c r="G80" s="8"/>
      <c r="H80" s="8"/>
      <c r="I80" s="8"/>
      <c r="J80" s="8"/>
      <c r="K80" s="8"/>
      <c r="L80" s="8"/>
      <c r="M80" s="62" cm="1">
        <f t="array" ref="M80">INDEX(tblPrices[cv_2018], MATCH(tblGoogleUnits[[#This Row],[Products]],tblPrices[Products],0), 0) *tblGoogleUnits[[#This Row],[cv_2018]]/10^6</f>
        <v>0</v>
      </c>
      <c r="N80" s="62" cm="1">
        <f t="array" ref="N80">INDEX(tblPrices[cv_2019], MATCH(tblGoogleUnits[[#This Row],[Products]],tblPrices[Products],0), 0)* tblGoogleUnits[[#This Row],[cv_2019]]/10^6</f>
        <v>0</v>
      </c>
      <c r="O80" s="62" cm="1">
        <f t="array" ref="O80">INDEX(tblPrices[cv_2020], MATCH(tblGoogleUnits[[#This Row],[Products]],tblPrices[Products],0), 0)* tblGoogleUnits[[#This Row],[cv_2020]]/10^6</f>
        <v>0</v>
      </c>
      <c r="P80" s="62" cm="1">
        <f t="array" ref="P80">INDEX(tblPrices[cv_2021], MATCH(tblGoogleUnits[[#This Row],[Products]],tblPrices[Products],0), 0)* tblGoogleUnits[[#This Row],[cv_2021]]/10^6</f>
        <v>0</v>
      </c>
      <c r="Q80" s="62" cm="1">
        <f t="array" ref="Q80">INDEX(tblPrices[cv_2022], MATCH(tblGoogleUnits[[#This Row],[Products]],tblPrices[Products],0), 0)* tblGoogleUnits[[#This Row],[cv_2022]]/10^6</f>
        <v>0</v>
      </c>
      <c r="R80" s="62" cm="1">
        <f t="array" ref="R80">INDEX(tblPrices[cv_2023], MATCH(tblGoogleUnits[[#This Row],[Products]],tblPrices[Products],0), 0)* tblGoogleUnits[[#This Row],[cv_2023]]/10^6</f>
        <v>0</v>
      </c>
      <c r="S80" s="62" cm="1">
        <f t="array" ref="S80">INDEX(tblPrices[cv_2024], MATCH(tblGoogleUnits[[#This Row],[Products]],tblPrices[Products],0), 0)* tblGoogleUnits[[#This Row],[cv_2024]]/10^6</f>
        <v>0</v>
      </c>
      <c r="T80" s="62" cm="1">
        <f t="array" ref="T80">INDEX(tblPrices[cv_2025], MATCH(tblGoogleUnits[[#This Row],[Products]],tblPrices[Products],0), 0)* tblGoogleUnits[[#This Row],[cv_2025]]/10^6</f>
        <v>0</v>
      </c>
      <c r="U80" s="62" cm="1">
        <f t="array" ref="U80">INDEX(tblPrices[cv_2026], MATCH(tblGoogleUnits[[#This Row],[Products]],tblPrices[Products],0), 0)* tblGoogleUnits[[#This Row],[cv_2026]]/10^6</f>
        <v>0</v>
      </c>
      <c r="V80" s="62" cm="1">
        <f t="array" ref="V80">INDEX(tblPrices[cv_2027], MATCH(tblGoogleUnits[[#This Row],[Products]],tblPrices[Products],0), 0)* tblGoogleUnits[[#This Row],[cv_2027]]/10^6</f>
        <v>0</v>
      </c>
      <c r="W80" s="62" cm="1">
        <f t="array" ref="W80">INDEX(tblPrices[cv_2028], MATCH(tblGoogleUnits[[#This Row],[Products]],tblPrices[Products],0), 0)* tblGoogleUnits[[#This Row],[cv_2028]]/10^6</f>
        <v>0</v>
      </c>
      <c r="X80" s="1">
        <f>VLOOKUP(A80,Products!$A$29:$F$110,6,FALSE)</f>
        <v>800</v>
      </c>
    </row>
    <row r="81" spans="1:24" s="1" customFormat="1" ht="13.15">
      <c r="A81" s="16" t="s">
        <v>37</v>
      </c>
      <c r="B81" s="8">
        <v>0</v>
      </c>
      <c r="C81" s="8">
        <v>0</v>
      </c>
      <c r="D81" s="8"/>
      <c r="E81" s="8"/>
      <c r="F81" s="8"/>
      <c r="G81" s="8"/>
      <c r="H81" s="8"/>
      <c r="I81" s="8"/>
      <c r="J81" s="8"/>
      <c r="K81" s="8"/>
      <c r="L81" s="8"/>
      <c r="M81" s="62" cm="1">
        <f t="array" ref="M81">INDEX(tblPrices[cv_2018], MATCH(tblGoogleUnits[[#This Row],[Products]],tblPrices[Products],0), 0) *tblGoogleUnits[[#This Row],[cv_2018]]/10^6</f>
        <v>0</v>
      </c>
      <c r="N81" s="62" cm="1">
        <f t="array" ref="N81">INDEX(tblPrices[cv_2019], MATCH(tblGoogleUnits[[#This Row],[Products]],tblPrices[Products],0), 0)* tblGoogleUnits[[#This Row],[cv_2019]]/10^6</f>
        <v>0</v>
      </c>
      <c r="O81" s="62" cm="1">
        <f t="array" ref="O81">INDEX(tblPrices[cv_2020], MATCH(tblGoogleUnits[[#This Row],[Products]],tblPrices[Products],0), 0)* tblGoogleUnits[[#This Row],[cv_2020]]/10^6</f>
        <v>0</v>
      </c>
      <c r="P81" s="62" cm="1">
        <f t="array" ref="P81">INDEX(tblPrices[cv_2021], MATCH(tblGoogleUnits[[#This Row],[Products]],tblPrices[Products],0), 0)* tblGoogleUnits[[#This Row],[cv_2021]]/10^6</f>
        <v>0</v>
      </c>
      <c r="Q81" s="62" cm="1">
        <f t="array" ref="Q81">INDEX(tblPrices[cv_2022], MATCH(tblGoogleUnits[[#This Row],[Products]],tblPrices[Products],0), 0)* tblGoogleUnits[[#This Row],[cv_2022]]/10^6</f>
        <v>0</v>
      </c>
      <c r="R81" s="62" cm="1">
        <f t="array" ref="R81">INDEX(tblPrices[cv_2023], MATCH(tblGoogleUnits[[#This Row],[Products]],tblPrices[Products],0), 0)* tblGoogleUnits[[#This Row],[cv_2023]]/10^6</f>
        <v>0</v>
      </c>
      <c r="S81" s="62" cm="1">
        <f t="array" ref="S81">INDEX(tblPrices[cv_2024], MATCH(tblGoogleUnits[[#This Row],[Products]],tblPrices[Products],0), 0)* tblGoogleUnits[[#This Row],[cv_2024]]/10^6</f>
        <v>0</v>
      </c>
      <c r="T81" s="62" cm="1">
        <f t="array" ref="T81">INDEX(tblPrices[cv_2025], MATCH(tblGoogleUnits[[#This Row],[Products]],tblPrices[Products],0), 0)* tblGoogleUnits[[#This Row],[cv_2025]]/10^6</f>
        <v>0</v>
      </c>
      <c r="U81" s="62" cm="1">
        <f t="array" ref="U81">INDEX(tblPrices[cv_2026], MATCH(tblGoogleUnits[[#This Row],[Products]],tblPrices[Products],0), 0)* tblGoogleUnits[[#This Row],[cv_2026]]/10^6</f>
        <v>0</v>
      </c>
      <c r="V81" s="62" cm="1">
        <f t="array" ref="V81">INDEX(tblPrices[cv_2027], MATCH(tblGoogleUnits[[#This Row],[Products]],tblPrices[Products],0), 0)* tblGoogleUnits[[#This Row],[cv_2027]]/10^6</f>
        <v>0</v>
      </c>
      <c r="W81" s="62" cm="1">
        <f t="array" ref="W81">INDEX(tblPrices[cv_2028], MATCH(tblGoogleUnits[[#This Row],[Products]],tblPrices[Products],0), 0)* tblGoogleUnits[[#This Row],[cv_2028]]/10^6</f>
        <v>0</v>
      </c>
      <c r="X81" s="1">
        <f>VLOOKUP(A81,Products!$A$29:$F$110,6,FALSE)</f>
        <v>800</v>
      </c>
    </row>
    <row r="82" spans="1:24" s="1" customFormat="1" ht="13.15">
      <c r="A82" s="16" t="s">
        <v>38</v>
      </c>
      <c r="B82" s="8">
        <v>0</v>
      </c>
      <c r="C82" s="8">
        <v>0</v>
      </c>
      <c r="D82" s="8"/>
      <c r="E82" s="8"/>
      <c r="F82" s="8"/>
      <c r="G82" s="8"/>
      <c r="H82" s="8"/>
      <c r="I82" s="8"/>
      <c r="J82" s="8"/>
      <c r="K82" s="8"/>
      <c r="L82" s="8"/>
      <c r="M82" s="62" cm="1">
        <f t="array" ref="M82">INDEX(tblPrices[cv_2018], MATCH(tblGoogleUnits[[#This Row],[Products]],tblPrices[Products],0), 0) *tblGoogleUnits[[#This Row],[cv_2018]]/10^6</f>
        <v>0</v>
      </c>
      <c r="N82" s="62" cm="1">
        <f t="array" ref="N82">INDEX(tblPrices[cv_2019], MATCH(tblGoogleUnits[[#This Row],[Products]],tblPrices[Products],0), 0)* tblGoogleUnits[[#This Row],[cv_2019]]/10^6</f>
        <v>0</v>
      </c>
      <c r="O82" s="62" cm="1">
        <f t="array" ref="O82">INDEX(tblPrices[cv_2020], MATCH(tblGoogleUnits[[#This Row],[Products]],tblPrices[Products],0), 0)* tblGoogleUnits[[#This Row],[cv_2020]]/10^6</f>
        <v>0</v>
      </c>
      <c r="P82" s="62" cm="1">
        <f t="array" ref="P82">INDEX(tblPrices[cv_2021], MATCH(tblGoogleUnits[[#This Row],[Products]],tblPrices[Products],0), 0)* tblGoogleUnits[[#This Row],[cv_2021]]/10^6</f>
        <v>0</v>
      </c>
      <c r="Q82" s="62" cm="1">
        <f t="array" ref="Q82">INDEX(tblPrices[cv_2022], MATCH(tblGoogleUnits[[#This Row],[Products]],tblPrices[Products],0), 0)* tblGoogleUnits[[#This Row],[cv_2022]]/10^6</f>
        <v>0</v>
      </c>
      <c r="R82" s="62" cm="1">
        <f t="array" ref="R82">INDEX(tblPrices[cv_2023], MATCH(tblGoogleUnits[[#This Row],[Products]],tblPrices[Products],0), 0)* tblGoogleUnits[[#This Row],[cv_2023]]/10^6</f>
        <v>0</v>
      </c>
      <c r="S82" s="62" cm="1">
        <f t="array" ref="S82">INDEX(tblPrices[cv_2024], MATCH(tblGoogleUnits[[#This Row],[Products]],tblPrices[Products],0), 0)* tblGoogleUnits[[#This Row],[cv_2024]]/10^6</f>
        <v>0</v>
      </c>
      <c r="T82" s="62" cm="1">
        <f t="array" ref="T82">INDEX(tblPrices[cv_2025], MATCH(tblGoogleUnits[[#This Row],[Products]],tblPrices[Products],0), 0)* tblGoogleUnits[[#This Row],[cv_2025]]/10^6</f>
        <v>0</v>
      </c>
      <c r="U82" s="62" cm="1">
        <f t="array" ref="U82">INDEX(tblPrices[cv_2026], MATCH(tblGoogleUnits[[#This Row],[Products]],tblPrices[Products],0), 0)* tblGoogleUnits[[#This Row],[cv_2026]]/10^6</f>
        <v>0</v>
      </c>
      <c r="V82" s="62" cm="1">
        <f t="array" ref="V82">INDEX(tblPrices[cv_2027], MATCH(tblGoogleUnits[[#This Row],[Products]],tblPrices[Products],0), 0)* tblGoogleUnits[[#This Row],[cv_2027]]/10^6</f>
        <v>0</v>
      </c>
      <c r="W82" s="62" cm="1">
        <f t="array" ref="W82">INDEX(tblPrices[cv_2028], MATCH(tblGoogleUnits[[#This Row],[Products]],tblPrices[Products],0), 0)* tblGoogleUnits[[#This Row],[cv_2028]]/10^6</f>
        <v>0</v>
      </c>
      <c r="X82" s="1">
        <f>VLOOKUP(A82,Products!$A$29:$F$110,6,FALSE)</f>
        <v>1200</v>
      </c>
    </row>
    <row r="83" spans="1:24" s="1" customFormat="1" ht="13.15">
      <c r="A83" s="16" t="s">
        <v>39</v>
      </c>
      <c r="B83" s="8">
        <v>0</v>
      </c>
      <c r="C83" s="8">
        <v>0</v>
      </c>
      <c r="D83" s="8"/>
      <c r="E83" s="8"/>
      <c r="F83" s="8"/>
      <c r="G83" s="8"/>
      <c r="H83" s="8"/>
      <c r="I83" s="8"/>
      <c r="J83" s="8"/>
      <c r="K83" s="8"/>
      <c r="L83" s="8"/>
      <c r="M83" s="62" cm="1">
        <f t="array" ref="M83">INDEX(tblPrices[cv_2018], MATCH(tblGoogleUnits[[#This Row],[Products]],tblPrices[Products],0), 0) *tblGoogleUnits[[#This Row],[cv_2018]]/10^6</f>
        <v>0</v>
      </c>
      <c r="N83" s="62" cm="1">
        <f t="array" ref="N83">INDEX(tblPrices[cv_2019], MATCH(tblGoogleUnits[[#This Row],[Products]],tblPrices[Products],0), 0)* tblGoogleUnits[[#This Row],[cv_2019]]/10^6</f>
        <v>0</v>
      </c>
      <c r="O83" s="62" cm="1">
        <f t="array" ref="O83">INDEX(tblPrices[cv_2020], MATCH(tblGoogleUnits[[#This Row],[Products]],tblPrices[Products],0), 0)* tblGoogleUnits[[#This Row],[cv_2020]]/10^6</f>
        <v>0</v>
      </c>
      <c r="P83" s="62" cm="1">
        <f t="array" ref="P83">INDEX(tblPrices[cv_2021], MATCH(tblGoogleUnits[[#This Row],[Products]],tblPrices[Products],0), 0)* tblGoogleUnits[[#This Row],[cv_2021]]/10^6</f>
        <v>0</v>
      </c>
      <c r="Q83" s="62" cm="1">
        <f t="array" ref="Q83">INDEX(tblPrices[cv_2022], MATCH(tblGoogleUnits[[#This Row],[Products]],tblPrices[Products],0), 0)* tblGoogleUnits[[#This Row],[cv_2022]]/10^6</f>
        <v>0</v>
      </c>
      <c r="R83" s="62" cm="1">
        <f t="array" ref="R83">INDEX(tblPrices[cv_2023], MATCH(tblGoogleUnits[[#This Row],[Products]],tblPrices[Products],0), 0)* tblGoogleUnits[[#This Row],[cv_2023]]/10^6</f>
        <v>0</v>
      </c>
      <c r="S83" s="62" cm="1">
        <f t="array" ref="S83">INDEX(tblPrices[cv_2024], MATCH(tblGoogleUnits[[#This Row],[Products]],tblPrices[Products],0), 0)* tblGoogleUnits[[#This Row],[cv_2024]]/10^6</f>
        <v>0</v>
      </c>
      <c r="T83" s="62" cm="1">
        <f t="array" ref="T83">INDEX(tblPrices[cv_2025], MATCH(tblGoogleUnits[[#This Row],[Products]],tblPrices[Products],0), 0)* tblGoogleUnits[[#This Row],[cv_2025]]/10^6</f>
        <v>0</v>
      </c>
      <c r="U83" s="62" cm="1">
        <f t="array" ref="U83">INDEX(tblPrices[cv_2026], MATCH(tblGoogleUnits[[#This Row],[Products]],tblPrices[Products],0), 0)* tblGoogleUnits[[#This Row],[cv_2026]]/10^6</f>
        <v>0</v>
      </c>
      <c r="V83" s="62" cm="1">
        <f t="array" ref="V83">INDEX(tblPrices[cv_2027], MATCH(tblGoogleUnits[[#This Row],[Products]],tblPrices[Products],0), 0)* tblGoogleUnits[[#This Row],[cv_2027]]/10^6</f>
        <v>0</v>
      </c>
      <c r="W83" s="62" cm="1">
        <f t="array" ref="W83">INDEX(tblPrices[cv_2028], MATCH(tblGoogleUnits[[#This Row],[Products]],tblPrices[Products],0), 0)* tblGoogleUnits[[#This Row],[cv_2028]]/10^6</f>
        <v>0</v>
      </c>
      <c r="X83" s="1">
        <f>VLOOKUP(A83,Products!$A$29:$F$110,6,FALSE)</f>
        <v>1600</v>
      </c>
    </row>
    <row r="84" spans="1:24" s="1" customFormat="1" ht="13.15">
      <c r="A84" s="65" t="s">
        <v>46</v>
      </c>
      <c r="B84" s="2">
        <v>2363870.2242940669</v>
      </c>
      <c r="C84" s="2">
        <v>1725031.7202790666</v>
      </c>
      <c r="D84" s="2">
        <v>2405146.4837337011</v>
      </c>
      <c r="E84" s="2">
        <v>2515065.0286459457</v>
      </c>
      <c r="F84" s="2">
        <v>1965296.9840000002</v>
      </c>
      <c r="G84" s="2">
        <v>1896390.5272224999</v>
      </c>
      <c r="H84" s="2">
        <v>2602015.6481422768</v>
      </c>
      <c r="I84" s="2">
        <v>3630562.3840065934</v>
      </c>
      <c r="J84" s="2">
        <v>4334363.7759843059</v>
      </c>
      <c r="K84" s="2">
        <v>4855603.9150673887</v>
      </c>
      <c r="L84" s="2">
        <v>5894831.5452635586</v>
      </c>
      <c r="M84" s="63">
        <f t="shared" ref="M84:W84" si="0">SUM(M41:M83)</f>
        <v>896.59042523968174</v>
      </c>
      <c r="N84" s="63">
        <f t="shared" si="0"/>
        <v>515.61359459104119</v>
      </c>
      <c r="O84" s="63">
        <f t="shared" si="0"/>
        <v>0</v>
      </c>
      <c r="P84" s="63">
        <f t="shared" si="0"/>
        <v>0</v>
      </c>
      <c r="Q84" s="63">
        <f t="shared" si="0"/>
        <v>0</v>
      </c>
      <c r="R84" s="63">
        <f t="shared" si="0"/>
        <v>0</v>
      </c>
      <c r="S84" s="63">
        <f t="shared" si="0"/>
        <v>0</v>
      </c>
      <c r="T84" s="63">
        <f t="shared" si="0"/>
        <v>0</v>
      </c>
      <c r="U84" s="63">
        <f t="shared" si="0"/>
        <v>0</v>
      </c>
      <c r="V84" s="63">
        <f t="shared" si="0"/>
        <v>0</v>
      </c>
      <c r="W84" s="63">
        <f t="shared" si="0"/>
        <v>0</v>
      </c>
    </row>
    <row r="85" spans="1:24" s="1" customFormat="1" ht="13.15">
      <c r="A85" s="65"/>
      <c r="B85" s="2"/>
      <c r="C85" s="2"/>
      <c r="D85" s="2"/>
      <c r="E85" s="2"/>
      <c r="F85" s="2"/>
      <c r="G85" s="2"/>
      <c r="H85" s="2"/>
      <c r="I85" s="2"/>
      <c r="J85" s="2"/>
      <c r="K85" s="2"/>
      <c r="L85" s="2"/>
      <c r="M85" s="63"/>
      <c r="N85" s="63"/>
      <c r="O85" s="63"/>
      <c r="P85" s="63"/>
      <c r="Q85" s="63"/>
      <c r="R85" s="63"/>
      <c r="S85" s="63"/>
      <c r="T85" s="63"/>
      <c r="U85" s="63"/>
      <c r="V85" s="63"/>
      <c r="W85" s="63"/>
    </row>
    <row r="86" spans="1:24" s="1" customFormat="1">
      <c r="A86" s="40" t="s">
        <v>431</v>
      </c>
      <c r="B86" s="68">
        <v>2018</v>
      </c>
      <c r="C86" s="50">
        <v>2019</v>
      </c>
      <c r="D86" s="50">
        <v>2020</v>
      </c>
      <c r="E86" s="50">
        <v>2021</v>
      </c>
      <c r="F86" s="50">
        <v>2022</v>
      </c>
      <c r="G86" s="50">
        <v>2023</v>
      </c>
      <c r="H86" s="50">
        <v>2024</v>
      </c>
      <c r="I86" s="50">
        <v>2025</v>
      </c>
      <c r="J86" s="50">
        <v>2026</v>
      </c>
      <c r="K86" s="50">
        <v>2027</v>
      </c>
      <c r="L86" s="50">
        <v>2028</v>
      </c>
      <c r="M86" s="68">
        <v>2018</v>
      </c>
      <c r="N86" s="50">
        <v>2019</v>
      </c>
      <c r="O86" s="50">
        <v>2020</v>
      </c>
      <c r="P86" s="50">
        <v>2021</v>
      </c>
      <c r="Q86" s="50">
        <v>2022</v>
      </c>
      <c r="R86" s="50">
        <v>2023</v>
      </c>
      <c r="S86" s="50">
        <v>2024</v>
      </c>
      <c r="T86" s="50">
        <v>2025</v>
      </c>
      <c r="U86" s="50">
        <v>2026</v>
      </c>
      <c r="V86" s="50">
        <v>2027</v>
      </c>
      <c r="W86" s="50">
        <v>2028</v>
      </c>
    </row>
    <row r="87" spans="1:24">
      <c r="A87" s="65" t="s">
        <v>80</v>
      </c>
      <c r="B87" s="2">
        <f t="shared" ref="B87:W87" si="1">SUMIF($X$41:$X$64,40,B$41:B$64)</f>
        <v>197216.96350000001</v>
      </c>
      <c r="C87" s="2">
        <f t="shared" si="1"/>
        <v>61493.396999999997</v>
      </c>
      <c r="D87" s="2">
        <f t="shared" si="1"/>
        <v>0</v>
      </c>
      <c r="E87" s="2">
        <f t="shared" si="1"/>
        <v>0</v>
      </c>
      <c r="F87" s="2">
        <f t="shared" si="1"/>
        <v>0</v>
      </c>
      <c r="G87" s="2">
        <f t="shared" si="1"/>
        <v>0</v>
      </c>
      <c r="H87" s="2">
        <f t="shared" si="1"/>
        <v>0</v>
      </c>
      <c r="I87" s="2">
        <f t="shared" si="1"/>
        <v>0</v>
      </c>
      <c r="J87" s="2">
        <f t="shared" si="1"/>
        <v>0</v>
      </c>
      <c r="K87" s="2">
        <f t="shared" si="1"/>
        <v>0</v>
      </c>
      <c r="L87" s="2">
        <f t="shared" si="1"/>
        <v>0</v>
      </c>
      <c r="M87" s="63">
        <f t="shared" si="1"/>
        <v>17.866412438974741</v>
      </c>
      <c r="N87" s="63">
        <f t="shared" si="1"/>
        <v>5.7538671345050698</v>
      </c>
      <c r="O87" s="63">
        <f t="shared" si="1"/>
        <v>0</v>
      </c>
      <c r="P87" s="63">
        <f t="shared" si="1"/>
        <v>0</v>
      </c>
      <c r="Q87" s="63">
        <f t="shared" si="1"/>
        <v>0</v>
      </c>
      <c r="R87" s="63">
        <f t="shared" si="1"/>
        <v>0</v>
      </c>
      <c r="S87" s="63">
        <f t="shared" si="1"/>
        <v>0</v>
      </c>
      <c r="T87" s="63">
        <f t="shared" si="1"/>
        <v>0</v>
      </c>
      <c r="U87" s="63">
        <f t="shared" si="1"/>
        <v>0</v>
      </c>
      <c r="V87" s="63">
        <f t="shared" si="1"/>
        <v>0</v>
      </c>
      <c r="W87" s="63">
        <f t="shared" si="1"/>
        <v>0</v>
      </c>
    </row>
    <row r="88" spans="1:24">
      <c r="A88" s="65" t="s">
        <v>205</v>
      </c>
      <c r="B88" s="2">
        <f t="shared" ref="B88:W88" si="2">SUMIF($X$41:$X$64,100,B$41:B$64)</f>
        <v>2005046.3303186274</v>
      </c>
      <c r="C88" s="2">
        <f t="shared" si="2"/>
        <v>1524483.6441500001</v>
      </c>
      <c r="D88" s="2">
        <f t="shared" si="2"/>
        <v>0</v>
      </c>
      <c r="E88" s="2">
        <f t="shared" si="2"/>
        <v>0</v>
      </c>
      <c r="F88" s="2">
        <f t="shared" si="2"/>
        <v>0</v>
      </c>
      <c r="G88" s="2">
        <f t="shared" si="2"/>
        <v>0</v>
      </c>
      <c r="H88" s="2">
        <f t="shared" si="2"/>
        <v>0</v>
      </c>
      <c r="I88" s="2">
        <f t="shared" si="2"/>
        <v>0</v>
      </c>
      <c r="J88" s="2">
        <f t="shared" si="2"/>
        <v>0</v>
      </c>
      <c r="K88" s="2">
        <f t="shared" si="2"/>
        <v>0</v>
      </c>
      <c r="L88" s="2">
        <f t="shared" si="2"/>
        <v>0</v>
      </c>
      <c r="M88" s="63">
        <f t="shared" si="2"/>
        <v>699.57975999866846</v>
      </c>
      <c r="N88" s="63">
        <f t="shared" si="2"/>
        <v>282.50898070558628</v>
      </c>
      <c r="O88" s="63">
        <f t="shared" si="2"/>
        <v>0</v>
      </c>
      <c r="P88" s="63">
        <f t="shared" si="2"/>
        <v>0</v>
      </c>
      <c r="Q88" s="63">
        <f t="shared" si="2"/>
        <v>0</v>
      </c>
      <c r="R88" s="63">
        <f t="shared" si="2"/>
        <v>0</v>
      </c>
      <c r="S88" s="63">
        <f t="shared" si="2"/>
        <v>0</v>
      </c>
      <c r="T88" s="63">
        <f t="shared" si="2"/>
        <v>0</v>
      </c>
      <c r="U88" s="63">
        <f t="shared" si="2"/>
        <v>0</v>
      </c>
      <c r="V88" s="63">
        <f t="shared" si="2"/>
        <v>0</v>
      </c>
      <c r="W88" s="63">
        <f t="shared" si="2"/>
        <v>0</v>
      </c>
    </row>
    <row r="89" spans="1:24">
      <c r="A89" s="65" t="s">
        <v>206</v>
      </c>
      <c r="B89" s="2">
        <f t="shared" ref="B89:W89" si="3">SUMIF($X$41:$X$64,200,B$41:B$64)</f>
        <v>0</v>
      </c>
      <c r="C89" s="2">
        <f t="shared" si="3"/>
        <v>0</v>
      </c>
      <c r="D89" s="2">
        <f t="shared" si="3"/>
        <v>0</v>
      </c>
      <c r="E89" s="2">
        <f t="shared" si="3"/>
        <v>0</v>
      </c>
      <c r="F89" s="2">
        <f t="shared" si="3"/>
        <v>0</v>
      </c>
      <c r="G89" s="2">
        <f t="shared" si="3"/>
        <v>0</v>
      </c>
      <c r="H89" s="2">
        <f t="shared" si="3"/>
        <v>0</v>
      </c>
      <c r="I89" s="2">
        <f t="shared" si="3"/>
        <v>0</v>
      </c>
      <c r="J89" s="2">
        <f t="shared" si="3"/>
        <v>0</v>
      </c>
      <c r="K89" s="2">
        <f t="shared" si="3"/>
        <v>0</v>
      </c>
      <c r="L89" s="2">
        <f t="shared" si="3"/>
        <v>0</v>
      </c>
      <c r="M89" s="63">
        <f t="shared" si="3"/>
        <v>0</v>
      </c>
      <c r="N89" s="63">
        <f t="shared" si="3"/>
        <v>0</v>
      </c>
      <c r="O89" s="63">
        <f t="shared" si="3"/>
        <v>0</v>
      </c>
      <c r="P89" s="63">
        <f t="shared" si="3"/>
        <v>0</v>
      </c>
      <c r="Q89" s="63">
        <f t="shared" si="3"/>
        <v>0</v>
      </c>
      <c r="R89" s="63">
        <f t="shared" si="3"/>
        <v>0</v>
      </c>
      <c r="S89" s="63">
        <f t="shared" si="3"/>
        <v>0</v>
      </c>
      <c r="T89" s="63">
        <f t="shared" si="3"/>
        <v>0</v>
      </c>
      <c r="U89" s="63">
        <f t="shared" si="3"/>
        <v>0</v>
      </c>
      <c r="V89" s="63">
        <f t="shared" si="3"/>
        <v>0</v>
      </c>
      <c r="W89" s="63">
        <f t="shared" si="3"/>
        <v>0</v>
      </c>
    </row>
    <row r="90" spans="1:24">
      <c r="A90" s="65" t="s">
        <v>207</v>
      </c>
      <c r="B90" s="2">
        <f t="shared" ref="B90:W90" si="4">SUMIF($X$41:$X$64,400,B$41:B$64)</f>
        <v>35000</v>
      </c>
      <c r="C90" s="2">
        <f t="shared" si="4"/>
        <v>113000</v>
      </c>
      <c r="D90" s="2">
        <f t="shared" si="4"/>
        <v>0</v>
      </c>
      <c r="E90" s="2">
        <f t="shared" si="4"/>
        <v>0</v>
      </c>
      <c r="F90" s="2">
        <f t="shared" si="4"/>
        <v>0</v>
      </c>
      <c r="G90" s="2">
        <f t="shared" si="4"/>
        <v>0</v>
      </c>
      <c r="H90" s="2">
        <f t="shared" si="4"/>
        <v>0</v>
      </c>
      <c r="I90" s="2">
        <f t="shared" si="4"/>
        <v>0</v>
      </c>
      <c r="J90" s="2">
        <f t="shared" si="4"/>
        <v>0</v>
      </c>
      <c r="K90" s="2">
        <f t="shared" si="4"/>
        <v>0</v>
      </c>
      <c r="L90" s="2">
        <f t="shared" si="4"/>
        <v>0</v>
      </c>
      <c r="M90" s="63">
        <f t="shared" si="4"/>
        <v>37.012</v>
      </c>
      <c r="N90" s="63">
        <f t="shared" si="4"/>
        <v>84.2</v>
      </c>
      <c r="O90" s="63">
        <f t="shared" si="4"/>
        <v>0</v>
      </c>
      <c r="P90" s="63">
        <f t="shared" si="4"/>
        <v>0</v>
      </c>
      <c r="Q90" s="63">
        <f t="shared" si="4"/>
        <v>0</v>
      </c>
      <c r="R90" s="63">
        <f t="shared" si="4"/>
        <v>0</v>
      </c>
      <c r="S90" s="63">
        <f t="shared" si="4"/>
        <v>0</v>
      </c>
      <c r="T90" s="63">
        <f t="shared" si="4"/>
        <v>0</v>
      </c>
      <c r="U90" s="63">
        <f t="shared" si="4"/>
        <v>0</v>
      </c>
      <c r="V90" s="63">
        <f t="shared" si="4"/>
        <v>0</v>
      </c>
      <c r="W90" s="63">
        <f t="shared" si="4"/>
        <v>0</v>
      </c>
    </row>
    <row r="91" spans="1:24">
      <c r="A91" s="65" t="s">
        <v>209</v>
      </c>
      <c r="B91" s="2">
        <f t="shared" ref="B91:W91" si="5">SUMIF($X$41:$X$64,800,B$41:B$64)</f>
        <v>0</v>
      </c>
      <c r="C91" s="2">
        <f t="shared" si="5"/>
        <v>0</v>
      </c>
      <c r="D91" s="2">
        <f t="shared" si="5"/>
        <v>0</v>
      </c>
      <c r="E91" s="2">
        <f t="shared" si="5"/>
        <v>0</v>
      </c>
      <c r="F91" s="2">
        <f t="shared" si="5"/>
        <v>0</v>
      </c>
      <c r="G91" s="2">
        <f t="shared" si="5"/>
        <v>0</v>
      </c>
      <c r="H91" s="2">
        <f t="shared" si="5"/>
        <v>0</v>
      </c>
      <c r="I91" s="2">
        <f t="shared" si="5"/>
        <v>0</v>
      </c>
      <c r="J91" s="2">
        <f t="shared" si="5"/>
        <v>0</v>
      </c>
      <c r="K91" s="2">
        <f t="shared" si="5"/>
        <v>0</v>
      </c>
      <c r="L91" s="2">
        <f t="shared" si="5"/>
        <v>0</v>
      </c>
      <c r="M91" s="63">
        <f t="shared" si="5"/>
        <v>0</v>
      </c>
      <c r="N91" s="63">
        <f t="shared" si="5"/>
        <v>0</v>
      </c>
      <c r="O91" s="63">
        <f t="shared" si="5"/>
        <v>0</v>
      </c>
      <c r="P91" s="63">
        <f t="shared" si="5"/>
        <v>0</v>
      </c>
      <c r="Q91" s="63">
        <f t="shared" si="5"/>
        <v>0</v>
      </c>
      <c r="R91" s="63">
        <f t="shared" si="5"/>
        <v>0</v>
      </c>
      <c r="S91" s="63">
        <f t="shared" si="5"/>
        <v>0</v>
      </c>
      <c r="T91" s="63">
        <f t="shared" si="5"/>
        <v>0</v>
      </c>
      <c r="U91" s="63">
        <f t="shared" si="5"/>
        <v>0</v>
      </c>
      <c r="V91" s="63">
        <f t="shared" si="5"/>
        <v>0</v>
      </c>
      <c r="W91" s="63">
        <f t="shared" si="5"/>
        <v>0</v>
      </c>
    </row>
    <row r="92" spans="1:24">
      <c r="A92" s="65" t="s">
        <v>211</v>
      </c>
      <c r="B92" s="2">
        <f t="shared" ref="B92:W92" si="6">SUMIF($X$41:$X$64,1600,B$41:B$64)</f>
        <v>0</v>
      </c>
      <c r="C92" s="2">
        <f t="shared" si="6"/>
        <v>0</v>
      </c>
      <c r="D92" s="2">
        <f t="shared" si="6"/>
        <v>0</v>
      </c>
      <c r="E92" s="2">
        <f t="shared" si="6"/>
        <v>0</v>
      </c>
      <c r="F92" s="2">
        <f t="shared" si="6"/>
        <v>0</v>
      </c>
      <c r="G92" s="2">
        <f t="shared" si="6"/>
        <v>0</v>
      </c>
      <c r="H92" s="2">
        <f t="shared" si="6"/>
        <v>0</v>
      </c>
      <c r="I92" s="2">
        <f t="shared" si="6"/>
        <v>0</v>
      </c>
      <c r="J92" s="2">
        <f t="shared" si="6"/>
        <v>0</v>
      </c>
      <c r="K92" s="2">
        <f t="shared" si="6"/>
        <v>0</v>
      </c>
      <c r="L92" s="2">
        <f t="shared" si="6"/>
        <v>0</v>
      </c>
      <c r="M92" s="63">
        <f t="shared" si="6"/>
        <v>0</v>
      </c>
      <c r="N92" s="63">
        <f t="shared" si="6"/>
        <v>0</v>
      </c>
      <c r="O92" s="63">
        <f t="shared" si="6"/>
        <v>0</v>
      </c>
      <c r="P92" s="63">
        <f t="shared" si="6"/>
        <v>0</v>
      </c>
      <c r="Q92" s="63">
        <f t="shared" si="6"/>
        <v>0</v>
      </c>
      <c r="R92" s="63">
        <f t="shared" si="6"/>
        <v>0</v>
      </c>
      <c r="S92" s="63">
        <f t="shared" si="6"/>
        <v>0</v>
      </c>
      <c r="T92" s="63">
        <f t="shared" si="6"/>
        <v>0</v>
      </c>
      <c r="U92" s="63">
        <f t="shared" si="6"/>
        <v>0</v>
      </c>
      <c r="V92" s="63">
        <f t="shared" si="6"/>
        <v>0</v>
      </c>
      <c r="W92" s="63">
        <f t="shared" si="6"/>
        <v>0</v>
      </c>
    </row>
    <row r="93" spans="1:24">
      <c r="A93" s="65" t="s">
        <v>276</v>
      </c>
      <c r="B93" s="61">
        <f t="shared" ref="B93:W93" si="7">SUM(B41:B64)</f>
        <v>2338529.2390559027</v>
      </c>
      <c r="C93" s="61">
        <f t="shared" si="7"/>
        <v>1698977.0411499999</v>
      </c>
      <c r="D93" s="61">
        <f t="shared" si="7"/>
        <v>0</v>
      </c>
      <c r="E93" s="61">
        <f t="shared" si="7"/>
        <v>0</v>
      </c>
      <c r="F93" s="61">
        <f t="shared" si="7"/>
        <v>0</v>
      </c>
      <c r="G93" s="61">
        <f t="shared" si="7"/>
        <v>0</v>
      </c>
      <c r="H93" s="61">
        <f t="shared" si="7"/>
        <v>0</v>
      </c>
      <c r="I93" s="61">
        <f t="shared" si="7"/>
        <v>0</v>
      </c>
      <c r="J93" s="61">
        <f t="shared" si="7"/>
        <v>0</v>
      </c>
      <c r="K93" s="61">
        <f t="shared" si="7"/>
        <v>0</v>
      </c>
      <c r="L93" s="61">
        <f t="shared" si="7"/>
        <v>0</v>
      </c>
      <c r="M93" s="64">
        <f t="shared" si="7"/>
        <v>755.95800924265814</v>
      </c>
      <c r="N93" s="64">
        <f t="shared" si="7"/>
        <v>372.46284784009134</v>
      </c>
      <c r="O93" s="64">
        <f t="shared" si="7"/>
        <v>0</v>
      </c>
      <c r="P93" s="64">
        <f t="shared" si="7"/>
        <v>0</v>
      </c>
      <c r="Q93" s="64">
        <f t="shared" si="7"/>
        <v>0</v>
      </c>
      <c r="R93" s="64">
        <f t="shared" si="7"/>
        <v>0</v>
      </c>
      <c r="S93" s="64">
        <f t="shared" si="7"/>
        <v>0</v>
      </c>
      <c r="T93" s="64">
        <f t="shared" si="7"/>
        <v>0</v>
      </c>
      <c r="U93" s="64">
        <f t="shared" si="7"/>
        <v>0</v>
      </c>
      <c r="V93" s="64">
        <f t="shared" si="7"/>
        <v>0</v>
      </c>
      <c r="W93" s="64">
        <f t="shared" si="7"/>
        <v>0</v>
      </c>
    </row>
    <row r="94" spans="1:24">
      <c r="A94" s="65"/>
    </row>
    <row r="95" spans="1:24">
      <c r="A95" s="40" t="s">
        <v>428</v>
      </c>
      <c r="B95" s="68">
        <v>2018</v>
      </c>
      <c r="C95" s="50">
        <v>2019</v>
      </c>
      <c r="D95" s="50">
        <v>2020</v>
      </c>
      <c r="E95" s="50">
        <v>2021</v>
      </c>
      <c r="F95" s="50">
        <v>2022</v>
      </c>
      <c r="G95" s="50">
        <v>2023</v>
      </c>
      <c r="H95" s="50">
        <v>2024</v>
      </c>
      <c r="I95" s="50">
        <v>2025</v>
      </c>
      <c r="J95" s="50">
        <v>2026</v>
      </c>
      <c r="K95" s="50">
        <v>2027</v>
      </c>
      <c r="L95" s="50">
        <v>2028</v>
      </c>
      <c r="M95" s="68">
        <v>2018</v>
      </c>
      <c r="N95" s="50">
        <v>2019</v>
      </c>
      <c r="O95" s="50">
        <v>2020</v>
      </c>
      <c r="P95" s="50">
        <v>2021</v>
      </c>
      <c r="Q95" s="50">
        <v>2022</v>
      </c>
      <c r="R95" s="50">
        <v>2023</v>
      </c>
      <c r="S95" s="50">
        <v>2024</v>
      </c>
      <c r="T95" s="50">
        <v>2025</v>
      </c>
      <c r="U95" s="50">
        <v>2026</v>
      </c>
      <c r="V95" s="50">
        <v>2027</v>
      </c>
      <c r="W95" s="50">
        <v>2028</v>
      </c>
    </row>
    <row r="96" spans="1:24">
      <c r="A96" s="65" t="s">
        <v>205</v>
      </c>
      <c r="B96" s="2">
        <f t="shared" ref="B96:W96" si="8">SUMIF($X$65:$X$83,100,B$65:B$83)</f>
        <v>10928.631674229695</v>
      </c>
      <c r="C96" s="2">
        <f t="shared" si="8"/>
        <v>5826.4980000000023</v>
      </c>
      <c r="D96" s="2">
        <f t="shared" si="8"/>
        <v>0</v>
      </c>
      <c r="E96" s="2">
        <f t="shared" si="8"/>
        <v>0</v>
      </c>
      <c r="F96" s="2">
        <f t="shared" si="8"/>
        <v>0</v>
      </c>
      <c r="G96" s="2">
        <f t="shared" si="8"/>
        <v>0</v>
      </c>
      <c r="H96" s="2">
        <f t="shared" si="8"/>
        <v>0</v>
      </c>
      <c r="I96" s="2">
        <f t="shared" si="8"/>
        <v>0</v>
      </c>
      <c r="J96" s="2">
        <f t="shared" si="8"/>
        <v>0</v>
      </c>
      <c r="K96" s="2">
        <f t="shared" si="8"/>
        <v>0</v>
      </c>
      <c r="L96" s="2">
        <f t="shared" si="8"/>
        <v>0</v>
      </c>
      <c r="M96" s="63">
        <f t="shared" si="8"/>
        <v>83.29133262002803</v>
      </c>
      <c r="N96" s="63">
        <f t="shared" si="8"/>
        <v>33.586118400000018</v>
      </c>
      <c r="O96" s="63">
        <f t="shared" si="8"/>
        <v>0</v>
      </c>
      <c r="P96" s="63">
        <f t="shared" si="8"/>
        <v>0</v>
      </c>
      <c r="Q96" s="63">
        <f t="shared" si="8"/>
        <v>0</v>
      </c>
      <c r="R96" s="63">
        <f t="shared" si="8"/>
        <v>0</v>
      </c>
      <c r="S96" s="63">
        <f t="shared" si="8"/>
        <v>0</v>
      </c>
      <c r="T96" s="63">
        <f t="shared" si="8"/>
        <v>0</v>
      </c>
      <c r="U96" s="63">
        <f t="shared" si="8"/>
        <v>0</v>
      </c>
      <c r="V96" s="63">
        <f t="shared" si="8"/>
        <v>0</v>
      </c>
      <c r="W96" s="63">
        <f t="shared" si="8"/>
        <v>0</v>
      </c>
    </row>
    <row r="97" spans="1:23">
      <c r="A97" s="65" t="s">
        <v>206</v>
      </c>
      <c r="B97" s="2">
        <f t="shared" ref="B97:W97" si="9">SUMIF($X$65:$X$83,200,B$65:B$83)</f>
        <v>6891.440163934426</v>
      </c>
      <c r="C97" s="2">
        <f t="shared" si="9"/>
        <v>13025.030399999996</v>
      </c>
      <c r="D97" s="2">
        <f t="shared" si="9"/>
        <v>0</v>
      </c>
      <c r="E97" s="2">
        <f t="shared" si="9"/>
        <v>0</v>
      </c>
      <c r="F97" s="2">
        <f t="shared" si="9"/>
        <v>0</v>
      </c>
      <c r="G97" s="2">
        <f t="shared" si="9"/>
        <v>0</v>
      </c>
      <c r="H97" s="2">
        <f t="shared" si="9"/>
        <v>0</v>
      </c>
      <c r="I97" s="2">
        <f t="shared" si="9"/>
        <v>0</v>
      </c>
      <c r="J97" s="2">
        <f t="shared" si="9"/>
        <v>0</v>
      </c>
      <c r="K97" s="2">
        <f t="shared" si="9"/>
        <v>0</v>
      </c>
      <c r="L97" s="2">
        <f t="shared" si="9"/>
        <v>0</v>
      </c>
      <c r="M97" s="63">
        <f t="shared" si="9"/>
        <v>54.57638763040238</v>
      </c>
      <c r="N97" s="63">
        <f t="shared" si="9"/>
        <v>77.470519156363622</v>
      </c>
      <c r="O97" s="63">
        <f t="shared" si="9"/>
        <v>0</v>
      </c>
      <c r="P97" s="63">
        <f t="shared" si="9"/>
        <v>0</v>
      </c>
      <c r="Q97" s="63">
        <f t="shared" si="9"/>
        <v>0</v>
      </c>
      <c r="R97" s="63">
        <f t="shared" si="9"/>
        <v>0</v>
      </c>
      <c r="S97" s="63">
        <f t="shared" si="9"/>
        <v>0</v>
      </c>
      <c r="T97" s="63">
        <f t="shared" si="9"/>
        <v>0</v>
      </c>
      <c r="U97" s="63">
        <f t="shared" si="9"/>
        <v>0</v>
      </c>
      <c r="V97" s="63">
        <f t="shared" si="9"/>
        <v>0</v>
      </c>
      <c r="W97" s="63">
        <f t="shared" si="9"/>
        <v>0</v>
      </c>
    </row>
    <row r="98" spans="1:23">
      <c r="A98" s="65" t="s">
        <v>207</v>
      </c>
      <c r="B98" s="2">
        <f t="shared" ref="B98:W98" si="10">SUMIF($X$65:$X$83,400,B$65:B$83)</f>
        <v>1750</v>
      </c>
      <c r="C98" s="2">
        <f t="shared" si="10"/>
        <v>3523</v>
      </c>
      <c r="D98" s="2">
        <f t="shared" si="10"/>
        <v>0</v>
      </c>
      <c r="E98" s="2">
        <f t="shared" si="10"/>
        <v>0</v>
      </c>
      <c r="F98" s="2">
        <f t="shared" si="10"/>
        <v>0</v>
      </c>
      <c r="G98" s="2">
        <f t="shared" si="10"/>
        <v>0</v>
      </c>
      <c r="H98" s="2">
        <f t="shared" si="10"/>
        <v>0</v>
      </c>
      <c r="I98" s="2">
        <f t="shared" si="10"/>
        <v>0</v>
      </c>
      <c r="J98" s="2">
        <f t="shared" si="10"/>
        <v>0</v>
      </c>
      <c r="K98" s="2">
        <f t="shared" si="10"/>
        <v>0</v>
      </c>
      <c r="L98" s="2">
        <f t="shared" si="10"/>
        <v>0</v>
      </c>
      <c r="M98" s="63">
        <f t="shared" si="10"/>
        <v>0</v>
      </c>
      <c r="N98" s="63">
        <f t="shared" si="10"/>
        <v>30.637090909090908</v>
      </c>
      <c r="O98" s="63">
        <f t="shared" si="10"/>
        <v>0</v>
      </c>
      <c r="P98" s="63">
        <f t="shared" si="10"/>
        <v>0</v>
      </c>
      <c r="Q98" s="63">
        <f t="shared" si="10"/>
        <v>0</v>
      </c>
      <c r="R98" s="63">
        <f t="shared" si="10"/>
        <v>0</v>
      </c>
      <c r="S98" s="63">
        <f t="shared" si="10"/>
        <v>0</v>
      </c>
      <c r="T98" s="63">
        <f t="shared" si="10"/>
        <v>0</v>
      </c>
      <c r="U98" s="63">
        <f t="shared" si="10"/>
        <v>0</v>
      </c>
      <c r="V98" s="63">
        <f t="shared" si="10"/>
        <v>0</v>
      </c>
      <c r="W98" s="63">
        <f t="shared" si="10"/>
        <v>0</v>
      </c>
    </row>
    <row r="99" spans="1:23">
      <c r="A99" s="65" t="s">
        <v>429</v>
      </c>
      <c r="B99" s="2">
        <f t="shared" ref="B99:W99" si="11">SUMIF($X$65:$X$83,600,B$65:B$83)+SUMIF($X$65:$X$83,800,B$65:B$83)</f>
        <v>0</v>
      </c>
      <c r="C99" s="2">
        <f t="shared" si="11"/>
        <v>1.6400000000000003</v>
      </c>
      <c r="D99" s="2">
        <f t="shared" si="11"/>
        <v>0</v>
      </c>
      <c r="E99" s="2">
        <f t="shared" si="11"/>
        <v>0</v>
      </c>
      <c r="F99" s="2">
        <f t="shared" si="11"/>
        <v>0</v>
      </c>
      <c r="G99" s="2">
        <f t="shared" si="11"/>
        <v>0</v>
      </c>
      <c r="H99" s="2">
        <f t="shared" si="11"/>
        <v>0</v>
      </c>
      <c r="I99" s="2">
        <f t="shared" si="11"/>
        <v>0</v>
      </c>
      <c r="J99" s="2">
        <f t="shared" si="11"/>
        <v>0</v>
      </c>
      <c r="K99" s="2">
        <f t="shared" si="11"/>
        <v>0</v>
      </c>
      <c r="L99" s="2">
        <f t="shared" si="11"/>
        <v>0</v>
      </c>
      <c r="M99" s="63">
        <f t="shared" si="11"/>
        <v>0</v>
      </c>
      <c r="N99" s="63">
        <f t="shared" si="11"/>
        <v>1.6400000000000005E-2</v>
      </c>
      <c r="O99" s="63">
        <f t="shared" si="11"/>
        <v>0</v>
      </c>
      <c r="P99" s="63">
        <f t="shared" si="11"/>
        <v>0</v>
      </c>
      <c r="Q99" s="63">
        <f t="shared" si="11"/>
        <v>0</v>
      </c>
      <c r="R99" s="63">
        <f t="shared" si="11"/>
        <v>0</v>
      </c>
      <c r="S99" s="63">
        <f t="shared" si="11"/>
        <v>0</v>
      </c>
      <c r="T99" s="63">
        <f t="shared" si="11"/>
        <v>0</v>
      </c>
      <c r="U99" s="63">
        <f t="shared" si="11"/>
        <v>0</v>
      </c>
      <c r="V99" s="63">
        <f t="shared" si="11"/>
        <v>0</v>
      </c>
      <c r="W99" s="63">
        <f t="shared" si="11"/>
        <v>0</v>
      </c>
    </row>
    <row r="100" spans="1:23">
      <c r="A100" s="65" t="s">
        <v>430</v>
      </c>
      <c r="B100" s="2">
        <f t="shared" ref="B100:W100" si="12">SUMIF($X$65:$X$83,1200,B$65:B$83)+SUMIF($X$65:$X$83,1600,B$65:B$83)</f>
        <v>0</v>
      </c>
      <c r="C100" s="2">
        <f t="shared" si="12"/>
        <v>0</v>
      </c>
      <c r="D100" s="2">
        <f t="shared" si="12"/>
        <v>0</v>
      </c>
      <c r="E100" s="2">
        <f t="shared" si="12"/>
        <v>0</v>
      </c>
      <c r="F100" s="2">
        <f t="shared" si="12"/>
        <v>0</v>
      </c>
      <c r="G100" s="2">
        <f t="shared" si="12"/>
        <v>0</v>
      </c>
      <c r="H100" s="2">
        <f t="shared" si="12"/>
        <v>0</v>
      </c>
      <c r="I100" s="2">
        <f t="shared" si="12"/>
        <v>0</v>
      </c>
      <c r="J100" s="2">
        <f t="shared" si="12"/>
        <v>0</v>
      </c>
      <c r="K100" s="2">
        <f t="shared" si="12"/>
        <v>0</v>
      </c>
      <c r="L100" s="2">
        <f t="shared" si="12"/>
        <v>0</v>
      </c>
      <c r="M100" s="63">
        <f t="shared" si="12"/>
        <v>0</v>
      </c>
      <c r="N100" s="63">
        <f t="shared" si="12"/>
        <v>0</v>
      </c>
      <c r="O100" s="63">
        <f t="shared" si="12"/>
        <v>0</v>
      </c>
      <c r="P100" s="63">
        <f t="shared" si="12"/>
        <v>0</v>
      </c>
      <c r="Q100" s="63">
        <f t="shared" si="12"/>
        <v>0</v>
      </c>
      <c r="R100" s="63">
        <f t="shared" si="12"/>
        <v>0</v>
      </c>
      <c r="S100" s="63">
        <f t="shared" si="12"/>
        <v>0</v>
      </c>
      <c r="T100" s="63">
        <f t="shared" si="12"/>
        <v>0</v>
      </c>
      <c r="U100" s="63">
        <f t="shared" si="12"/>
        <v>0</v>
      </c>
      <c r="V100" s="63">
        <f t="shared" si="12"/>
        <v>0</v>
      </c>
      <c r="W100" s="63">
        <f t="shared" si="12"/>
        <v>0</v>
      </c>
    </row>
    <row r="101" spans="1:23">
      <c r="A101" s="66" t="s">
        <v>277</v>
      </c>
      <c r="B101" s="61">
        <f t="shared" ref="B101:W101" si="13">SUM(B65:B83)</f>
        <v>25340.985238164125</v>
      </c>
      <c r="C101" s="61">
        <f t="shared" si="13"/>
        <v>26054.679129066753</v>
      </c>
      <c r="D101" s="61">
        <f t="shared" si="13"/>
        <v>0</v>
      </c>
      <c r="E101" s="61">
        <f t="shared" si="13"/>
        <v>0</v>
      </c>
      <c r="F101" s="61">
        <f t="shared" si="13"/>
        <v>0</v>
      </c>
      <c r="G101" s="61">
        <f t="shared" si="13"/>
        <v>0</v>
      </c>
      <c r="H101" s="61">
        <f t="shared" si="13"/>
        <v>0</v>
      </c>
      <c r="I101" s="61">
        <f t="shared" si="13"/>
        <v>0</v>
      </c>
      <c r="J101" s="61">
        <f t="shared" si="13"/>
        <v>0</v>
      </c>
      <c r="K101" s="61">
        <f t="shared" si="13"/>
        <v>0</v>
      </c>
      <c r="L101" s="61">
        <f t="shared" si="13"/>
        <v>0</v>
      </c>
      <c r="M101" s="64">
        <f t="shared" si="13"/>
        <v>140.63241599702363</v>
      </c>
      <c r="N101" s="64">
        <f t="shared" si="13"/>
        <v>143.15074675094991</v>
      </c>
      <c r="O101" s="64">
        <f t="shared" si="13"/>
        <v>0</v>
      </c>
      <c r="P101" s="64">
        <f t="shared" si="13"/>
        <v>0</v>
      </c>
      <c r="Q101" s="64">
        <f t="shared" si="13"/>
        <v>0</v>
      </c>
      <c r="R101" s="64">
        <f t="shared" si="13"/>
        <v>0</v>
      </c>
      <c r="S101" s="64">
        <f t="shared" si="13"/>
        <v>0</v>
      </c>
      <c r="T101" s="64">
        <f t="shared" si="13"/>
        <v>0</v>
      </c>
      <c r="U101" s="64">
        <f t="shared" si="13"/>
        <v>0</v>
      </c>
      <c r="V101" s="64">
        <f t="shared" si="13"/>
        <v>0</v>
      </c>
      <c r="W101" s="64">
        <f t="shared" si="13"/>
        <v>0</v>
      </c>
    </row>
    <row r="102" spans="1:23">
      <c r="A102" s="67" t="s">
        <v>340</v>
      </c>
      <c r="B102" s="59">
        <f t="shared" ref="B102:W102" si="14">B101+B93-B84</f>
        <v>0</v>
      </c>
      <c r="C102" s="59">
        <f t="shared" si="14"/>
        <v>0</v>
      </c>
      <c r="D102" s="59">
        <f t="shared" si="14"/>
        <v>-2405146.4837337011</v>
      </c>
      <c r="E102" s="59">
        <f t="shared" si="14"/>
        <v>-2515065.0286459457</v>
      </c>
      <c r="F102" s="59">
        <f t="shared" si="14"/>
        <v>-1965296.9840000002</v>
      </c>
      <c r="G102" s="59">
        <f t="shared" si="14"/>
        <v>-1896390.5272224999</v>
      </c>
      <c r="H102" s="59">
        <f t="shared" si="14"/>
        <v>-2602015.6481422768</v>
      </c>
      <c r="I102" s="59">
        <f t="shared" si="14"/>
        <v>-3630562.3840065934</v>
      </c>
      <c r="J102" s="59">
        <f t="shared" si="14"/>
        <v>-4334363.7759843059</v>
      </c>
      <c r="K102" s="59">
        <f t="shared" si="14"/>
        <v>-4855603.9150673887</v>
      </c>
      <c r="L102" s="59">
        <f t="shared" si="14"/>
        <v>-5894831.5452635586</v>
      </c>
      <c r="M102" s="59">
        <f t="shared" si="14"/>
        <v>0</v>
      </c>
      <c r="N102" s="59">
        <f t="shared" si="14"/>
        <v>0</v>
      </c>
      <c r="O102" s="59">
        <f t="shared" si="14"/>
        <v>0</v>
      </c>
      <c r="P102" s="59">
        <f t="shared" si="14"/>
        <v>0</v>
      </c>
      <c r="Q102" s="59">
        <f t="shared" si="14"/>
        <v>0</v>
      </c>
      <c r="R102" s="59">
        <f t="shared" si="14"/>
        <v>0</v>
      </c>
      <c r="S102" s="59">
        <f t="shared" si="14"/>
        <v>0</v>
      </c>
      <c r="T102" s="59">
        <f t="shared" si="14"/>
        <v>0</v>
      </c>
      <c r="U102" s="59">
        <f t="shared" si="14"/>
        <v>0</v>
      </c>
      <c r="V102" s="59">
        <f t="shared" si="14"/>
        <v>0</v>
      </c>
      <c r="W102" s="59">
        <f t="shared" si="14"/>
        <v>0</v>
      </c>
    </row>
    <row r="103" spans="1:23">
      <c r="M103" s="68">
        <v>2018</v>
      </c>
      <c r="N103" s="50">
        <v>2019</v>
      </c>
      <c r="O103" s="50">
        <v>2020</v>
      </c>
      <c r="P103" s="50">
        <v>2021</v>
      </c>
      <c r="Q103" s="50">
        <v>2022</v>
      </c>
      <c r="R103" s="112">
        <v>2023</v>
      </c>
      <c r="S103" s="50">
        <v>2024</v>
      </c>
      <c r="T103" s="50">
        <v>2025</v>
      </c>
      <c r="U103" s="50">
        <v>2026</v>
      </c>
      <c r="V103" s="50">
        <v>2027</v>
      </c>
      <c r="W103" s="50">
        <v>2028</v>
      </c>
    </row>
    <row r="104" spans="1:23">
      <c r="A104" s="25" t="s">
        <v>341</v>
      </c>
      <c r="M104" s="76">
        <v>25322</v>
      </c>
      <c r="N104" s="76">
        <v>25362</v>
      </c>
      <c r="O104" s="76">
        <v>21785</v>
      </c>
      <c r="P104" s="76">
        <v>24640</v>
      </c>
      <c r="Q104" s="76">
        <v>27485</v>
      </c>
      <c r="R104" s="76">
        <f t="shared" ref="R104:W104" si="15">Q104*$R$105</f>
        <v>30233.500000000004</v>
      </c>
      <c r="S104" s="76">
        <f t="shared" si="15"/>
        <v>33256.850000000006</v>
      </c>
      <c r="T104" s="76">
        <f t="shared" si="15"/>
        <v>36582.535000000011</v>
      </c>
      <c r="U104" s="76">
        <f t="shared" si="15"/>
        <v>40240.788500000017</v>
      </c>
      <c r="V104" s="76">
        <f t="shared" si="15"/>
        <v>44264.867350000022</v>
      </c>
      <c r="W104" s="76">
        <f t="shared" si="15"/>
        <v>48691.354085000028</v>
      </c>
    </row>
    <row r="105" spans="1:23">
      <c r="A105" s="25" t="s">
        <v>350</v>
      </c>
      <c r="N105" s="119">
        <f>N104/M104</f>
        <v>1.0015796540557618</v>
      </c>
      <c r="O105" s="119">
        <f>O104/N104</f>
        <v>0.85896222695371027</v>
      </c>
      <c r="P105" s="119">
        <f>P104/O104</f>
        <v>1.1310534771631857</v>
      </c>
      <c r="Q105" s="119">
        <f>Q104/P104</f>
        <v>1.1154626623376624</v>
      </c>
      <c r="R105" s="120">
        <v>1.1000000000000001</v>
      </c>
    </row>
    <row r="106" spans="1:23">
      <c r="A106" s="25" t="str">
        <f>"Ethernet transceivers % of total capex: "&amp;$A$39</f>
        <v>Ethernet transceivers % of total capex: Google</v>
      </c>
      <c r="M106" s="111">
        <f t="shared" ref="M106:W106" si="16">M93/M104</f>
        <v>2.9853803382144307E-2</v>
      </c>
      <c r="N106" s="111">
        <f t="shared" si="16"/>
        <v>1.4685862622825145E-2</v>
      </c>
      <c r="O106" s="111">
        <f t="shared" si="16"/>
        <v>0</v>
      </c>
      <c r="P106" s="111">
        <f t="shared" si="16"/>
        <v>0</v>
      </c>
      <c r="Q106" s="111">
        <f t="shared" si="16"/>
        <v>0</v>
      </c>
      <c r="R106" s="111">
        <f t="shared" si="16"/>
        <v>0</v>
      </c>
      <c r="S106" s="111">
        <f t="shared" si="16"/>
        <v>0</v>
      </c>
      <c r="T106" s="111">
        <f t="shared" si="16"/>
        <v>0</v>
      </c>
      <c r="U106" s="111">
        <f t="shared" si="16"/>
        <v>0</v>
      </c>
      <c r="V106" s="111">
        <f t="shared" si="16"/>
        <v>0</v>
      </c>
      <c r="W106" s="111">
        <f t="shared" si="16"/>
        <v>0</v>
      </c>
    </row>
    <row r="107" spans="1:23">
      <c r="A107" s="25" t="str">
        <f>"DWDM transceivers % of total capex: "&amp;$A$39</f>
        <v>DWDM transceivers % of total capex: Google</v>
      </c>
      <c r="M107" s="111">
        <f>M101/M104</f>
        <v>5.5537641575319338E-3</v>
      </c>
      <c r="N107" s="111">
        <f t="shared" ref="N107:W107" si="17">N101/N104</f>
        <v>5.6443004002424847E-3</v>
      </c>
      <c r="O107" s="111">
        <f t="shared" si="17"/>
        <v>0</v>
      </c>
      <c r="P107" s="111">
        <f t="shared" si="17"/>
        <v>0</v>
      </c>
      <c r="Q107" s="111">
        <f t="shared" si="17"/>
        <v>0</v>
      </c>
      <c r="R107" s="111">
        <f t="shared" si="17"/>
        <v>0</v>
      </c>
      <c r="S107" s="111">
        <f t="shared" si="17"/>
        <v>0</v>
      </c>
      <c r="T107" s="111">
        <f t="shared" si="17"/>
        <v>0</v>
      </c>
      <c r="U107" s="111">
        <f t="shared" si="17"/>
        <v>0</v>
      </c>
      <c r="V107" s="111">
        <f t="shared" si="17"/>
        <v>0</v>
      </c>
      <c r="W107" s="111">
        <f t="shared" si="17"/>
        <v>0</v>
      </c>
    </row>
    <row r="108" spans="1:23">
      <c r="A108" s="25" t="str">
        <f>"Ethernet&amp;DWDM transceivers % of total capex: "&amp;$A$39</f>
        <v>Ethernet&amp;DWDM transceivers % of total capex: Google</v>
      </c>
      <c r="M108" s="111">
        <f>M107+M106</f>
        <v>3.5407567539676242E-2</v>
      </c>
      <c r="N108" s="111">
        <f t="shared" ref="N108:W108" si="18">N107+N106</f>
        <v>2.0330163023067629E-2</v>
      </c>
      <c r="O108" s="111">
        <f t="shared" si="18"/>
        <v>0</v>
      </c>
      <c r="P108" s="111">
        <f t="shared" si="18"/>
        <v>0</v>
      </c>
      <c r="Q108" s="111">
        <f t="shared" si="18"/>
        <v>0</v>
      </c>
      <c r="R108" s="111">
        <f t="shared" si="18"/>
        <v>0</v>
      </c>
      <c r="S108" s="111">
        <f t="shared" si="18"/>
        <v>0</v>
      </c>
      <c r="T108" s="111">
        <f t="shared" si="18"/>
        <v>0</v>
      </c>
      <c r="U108" s="111">
        <f t="shared" si="18"/>
        <v>0</v>
      </c>
      <c r="V108" s="111">
        <f t="shared" si="18"/>
        <v>0</v>
      </c>
      <c r="W108" s="111">
        <f t="shared" si="18"/>
        <v>0</v>
      </c>
    </row>
    <row r="110" spans="1:23">
      <c r="A110" t="s">
        <v>275</v>
      </c>
    </row>
    <row r="111" spans="1:23">
      <c r="A111" s="40" t="s">
        <v>213</v>
      </c>
      <c r="B111" s="17">
        <v>2018</v>
      </c>
      <c r="C111" s="17">
        <v>2019</v>
      </c>
      <c r="D111" s="17">
        <v>2020</v>
      </c>
      <c r="E111" s="17">
        <v>2021</v>
      </c>
      <c r="F111" s="17">
        <v>2022</v>
      </c>
      <c r="G111" s="17">
        <v>2023</v>
      </c>
      <c r="H111" s="17">
        <v>2024</v>
      </c>
      <c r="I111" s="17">
        <v>2025</v>
      </c>
      <c r="J111" s="17">
        <v>2026</v>
      </c>
      <c r="K111" s="17">
        <v>2027</v>
      </c>
      <c r="L111" s="17">
        <v>2028</v>
      </c>
    </row>
    <row r="112" spans="1:23">
      <c r="A112" s="25" t="s">
        <v>250</v>
      </c>
      <c r="B112" s="32">
        <f t="shared" ref="B112:L112" si="19">SUMPRODUCT(B41:B64,$X$41:$X$64)/10^6</f>
        <v>223.40597102423547</v>
      </c>
      <c r="C112" s="32">
        <f t="shared" si="19"/>
        <v>200.10810029499999</v>
      </c>
      <c r="D112" s="32">
        <f t="shared" si="19"/>
        <v>0</v>
      </c>
      <c r="E112" s="32">
        <f t="shared" si="19"/>
        <v>0</v>
      </c>
      <c r="F112" s="32">
        <f t="shared" si="19"/>
        <v>0</v>
      </c>
      <c r="G112" s="32">
        <f t="shared" si="19"/>
        <v>0</v>
      </c>
      <c r="H112" s="32">
        <f t="shared" si="19"/>
        <v>0</v>
      </c>
      <c r="I112" s="32">
        <f t="shared" si="19"/>
        <v>0</v>
      </c>
      <c r="J112" s="32">
        <f t="shared" si="19"/>
        <v>0</v>
      </c>
      <c r="K112" s="32">
        <f t="shared" si="19"/>
        <v>0</v>
      </c>
      <c r="L112" s="32">
        <f t="shared" si="19"/>
        <v>0</v>
      </c>
    </row>
    <row r="113" spans="1:12">
      <c r="A113" s="25" t="s">
        <v>251</v>
      </c>
      <c r="B113" s="54">
        <f>B112+153</f>
        <v>376.40597102423544</v>
      </c>
      <c r="C113" s="29">
        <f t="shared" ref="C113:L113" si="20">B113+C112</f>
        <v>576.51407131923543</v>
      </c>
      <c r="D113" s="29">
        <f t="shared" si="20"/>
        <v>576.51407131923543</v>
      </c>
      <c r="E113" s="29">
        <f t="shared" si="20"/>
        <v>576.51407131923543</v>
      </c>
      <c r="F113" s="29">
        <f t="shared" si="20"/>
        <v>576.51407131923543</v>
      </c>
      <c r="G113" s="29">
        <f t="shared" si="20"/>
        <v>576.51407131923543</v>
      </c>
      <c r="H113" s="29">
        <f t="shared" si="20"/>
        <v>576.51407131923543</v>
      </c>
      <c r="I113" s="29">
        <f t="shared" si="20"/>
        <v>576.51407131923543</v>
      </c>
      <c r="J113" s="29">
        <f t="shared" si="20"/>
        <v>576.51407131923543</v>
      </c>
      <c r="K113" s="29">
        <f t="shared" si="20"/>
        <v>576.51407131923543</v>
      </c>
      <c r="L113" s="29">
        <f t="shared" si="20"/>
        <v>576.51407131923543</v>
      </c>
    </row>
    <row r="114" spans="1:12">
      <c r="A114" s="25" t="s">
        <v>252</v>
      </c>
      <c r="B114" s="26"/>
      <c r="C114" s="31">
        <f t="shared" ref="C114:L114" si="21">C113/B113-1</f>
        <v>0.53162838982199823</v>
      </c>
      <c r="D114" s="31">
        <f t="shared" si="21"/>
        <v>0</v>
      </c>
      <c r="E114" s="31">
        <f t="shared" si="21"/>
        <v>0</v>
      </c>
      <c r="F114" s="31">
        <f t="shared" si="21"/>
        <v>0</v>
      </c>
      <c r="G114" s="31">
        <f t="shared" si="21"/>
        <v>0</v>
      </c>
      <c r="H114" s="31">
        <f t="shared" si="21"/>
        <v>0</v>
      </c>
      <c r="I114" s="31">
        <f t="shared" si="21"/>
        <v>0</v>
      </c>
      <c r="J114" s="31">
        <f t="shared" si="21"/>
        <v>0</v>
      </c>
      <c r="K114" s="31">
        <f t="shared" si="21"/>
        <v>0</v>
      </c>
      <c r="L114" s="31">
        <f t="shared" si="21"/>
        <v>0</v>
      </c>
    </row>
    <row r="116" spans="1:12">
      <c r="A116" s="40" t="s">
        <v>214</v>
      </c>
      <c r="B116" s="17">
        <v>2018</v>
      </c>
      <c r="C116" s="17">
        <v>2019</v>
      </c>
      <c r="D116" s="17">
        <v>2020</v>
      </c>
      <c r="E116" s="17">
        <v>2021</v>
      </c>
      <c r="F116" s="17">
        <v>2022</v>
      </c>
      <c r="G116" s="17">
        <v>2023</v>
      </c>
      <c r="H116" s="17">
        <v>2024</v>
      </c>
      <c r="I116" s="17">
        <v>2025</v>
      </c>
      <c r="J116" s="17">
        <v>2026</v>
      </c>
      <c r="K116" s="17">
        <v>2027</v>
      </c>
      <c r="L116" s="17">
        <v>2028</v>
      </c>
    </row>
    <row r="117" spans="1:12">
      <c r="A117" s="25" t="s">
        <v>250</v>
      </c>
      <c r="B117" s="39">
        <f t="shared" ref="B117:L117" si="22">SUMPRODUCT(B$65:B$83,$X$65:$X$83)/10^6</f>
        <v>3.2288603342098541</v>
      </c>
      <c r="C117" s="39">
        <f t="shared" si="22"/>
        <v>4.6346249872906675</v>
      </c>
      <c r="D117" s="39">
        <f t="shared" si="22"/>
        <v>0</v>
      </c>
      <c r="E117" s="32">
        <f t="shared" si="22"/>
        <v>0</v>
      </c>
      <c r="F117" s="32">
        <f t="shared" si="22"/>
        <v>0</v>
      </c>
      <c r="G117" s="32">
        <f t="shared" si="22"/>
        <v>0</v>
      </c>
      <c r="H117" s="32">
        <f t="shared" si="22"/>
        <v>0</v>
      </c>
      <c r="I117" s="32">
        <f t="shared" si="22"/>
        <v>0</v>
      </c>
      <c r="J117" s="32">
        <f t="shared" si="22"/>
        <v>0</v>
      </c>
      <c r="K117" s="32">
        <f t="shared" si="22"/>
        <v>0</v>
      </c>
      <c r="L117" s="32">
        <f t="shared" si="22"/>
        <v>0</v>
      </c>
    </row>
    <row r="118" spans="1:12">
      <c r="A118" s="25" t="s">
        <v>251</v>
      </c>
      <c r="B118" s="54">
        <f>B117+6.8</f>
        <v>10.028860334209854</v>
      </c>
      <c r="C118" s="29">
        <f>B118+C117</f>
        <v>14.663485321500522</v>
      </c>
      <c r="D118" s="29">
        <f>C118+D117</f>
        <v>14.663485321500522</v>
      </c>
      <c r="E118" s="29">
        <f t="shared" ref="E118" si="23">D118+E117</f>
        <v>14.663485321500522</v>
      </c>
      <c r="F118" s="29">
        <f t="shared" ref="F118" si="24">E118+F117</f>
        <v>14.663485321500522</v>
      </c>
      <c r="G118" s="29">
        <f t="shared" ref="G118" si="25">F118+G117</f>
        <v>14.663485321500522</v>
      </c>
      <c r="H118" s="29">
        <f t="shared" ref="H118" si="26">G118+H117</f>
        <v>14.663485321500522</v>
      </c>
      <c r="I118" s="29">
        <f t="shared" ref="I118" si="27">H118+I117</f>
        <v>14.663485321500522</v>
      </c>
      <c r="J118" s="29">
        <f t="shared" ref="J118" si="28">I118+J117</f>
        <v>14.663485321500522</v>
      </c>
      <c r="K118" s="29">
        <f t="shared" ref="K118" si="29">J118+K117</f>
        <v>14.663485321500522</v>
      </c>
      <c r="L118" s="29">
        <f t="shared" ref="L118" si="30">K118+L117</f>
        <v>14.663485321500522</v>
      </c>
    </row>
    <row r="119" spans="1:12">
      <c r="A119" s="25" t="s">
        <v>252</v>
      </c>
      <c r="B119" s="26"/>
      <c r="C119" s="31">
        <f>C118/B118-1</f>
        <v>0.46212877962626608</v>
      </c>
      <c r="D119" s="31">
        <f t="shared" ref="D119" si="31">D118/C118-1</f>
        <v>0</v>
      </c>
      <c r="E119" s="31">
        <f t="shared" ref="E119" si="32">E118/D118-1</f>
        <v>0</v>
      </c>
      <c r="F119" s="31">
        <f t="shared" ref="F119" si="33">F118/E118-1</f>
        <v>0</v>
      </c>
      <c r="G119" s="31">
        <f t="shared" ref="G119" si="34">G118/F118-1</f>
        <v>0</v>
      </c>
      <c r="H119" s="31">
        <f t="shared" ref="H119" si="35">H118/G118-1</f>
        <v>0</v>
      </c>
      <c r="I119" s="31">
        <f t="shared" ref="I119" si="36">I118/H118-1</f>
        <v>0</v>
      </c>
      <c r="J119" s="31">
        <f t="shared" ref="J119" si="37">J118/I118-1</f>
        <v>0</v>
      </c>
      <c r="K119" s="31">
        <f t="shared" ref="K119" si="38">K118/J118-1</f>
        <v>0</v>
      </c>
      <c r="L119" s="31">
        <f t="shared" ref="L119" si="39">L118/K118-1</f>
        <v>0</v>
      </c>
    </row>
  </sheetData>
  <mergeCells count="2">
    <mergeCell ref="B39:L39"/>
    <mergeCell ref="M39:W39"/>
  </mergeCells>
  <dataValidations disablePrompts="1" count="1">
    <dataValidation type="list" allowBlank="1" showInputMessage="1" showErrorMessage="1" sqref="A41:A83" xr:uid="{00000000-0002-0000-0400-000000000000}">
      <formula1>INDIRECT("Products[LookupCodes]")</formula1>
    </dataValidation>
  </dataValidations>
  <pageMargins left="0.7" right="0.7" top="0.75" bottom="0.75" header="0.3" footer="0.3"/>
  <pageSetup paperSize="9" orientation="portrait" r:id="rId1"/>
  <ignoredErrors>
    <ignoredError sqref="N41 N42:W83 O41:W41" calculatedColumn="1"/>
  </ignoredError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J115"/>
  <sheetViews>
    <sheetView zoomScale="50" zoomScaleNormal="50" workbookViewId="0">
      <pane xSplit="1" topLeftCell="B1" activePane="topRight" state="frozen"/>
      <selection activeCell="V12" sqref="V12"/>
      <selection pane="topRight" activeCell="A5" sqref="A5"/>
    </sheetView>
  </sheetViews>
  <sheetFormatPr defaultColWidth="8.5" defaultRowHeight="15.75"/>
  <cols>
    <col min="1" max="1" width="35.5" bestFit="1" customWidth="1"/>
    <col min="2" max="7" width="11.5" bestFit="1" customWidth="1"/>
    <col min="9" max="12" width="9.5"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Meta</v>
      </c>
    </row>
    <row r="5" spans="1:36" s="1" customFormat="1" ht="14.25">
      <c r="A5" s="19"/>
    </row>
    <row r="8" spans="1:36">
      <c r="B8" s="163" t="str">
        <f>"Ethernet transceivers consumed annually by "&amp;A39</f>
        <v>Ethernet transceivers consumed annually by Meta</v>
      </c>
      <c r="C8" s="163"/>
      <c r="D8" s="163"/>
      <c r="E8" s="163"/>
      <c r="F8" s="163"/>
      <c r="G8" s="163"/>
      <c r="H8" s="163" t="str">
        <f>"DWDM transceivers consumed annually by "&amp;A39</f>
        <v>DWDM transceivers consumed annually by Meta</v>
      </c>
      <c r="I8" s="163"/>
      <c r="J8" s="163"/>
      <c r="K8" s="163"/>
      <c r="L8" s="163"/>
      <c r="M8" s="163"/>
      <c r="P8" s="163" t="str">
        <f>"Annual spending on Ethernet transceivers by "&amp;A39</f>
        <v>Annual spending on Ethernet transceivers by Meta</v>
      </c>
      <c r="Q8" s="163"/>
      <c r="R8" s="163"/>
      <c r="S8" s="163"/>
      <c r="T8" s="163"/>
      <c r="U8" s="163"/>
      <c r="V8" s="163"/>
      <c r="W8" s="163"/>
      <c r="X8" s="163" t="str">
        <f>"Annual spending on DWDM transceivers by "&amp;A39</f>
        <v>Annual spending on DWDM transceivers by Meta</v>
      </c>
      <c r="Y8" s="163"/>
      <c r="Z8" s="163"/>
      <c r="AA8" s="163"/>
      <c r="AB8" s="163"/>
      <c r="AC8" s="163"/>
      <c r="AD8" s="163"/>
      <c r="AE8" s="163"/>
      <c r="AF8" s="163"/>
      <c r="AG8" s="163"/>
      <c r="AH8" s="163"/>
      <c r="AI8" s="163"/>
      <c r="AJ8" s="163"/>
    </row>
    <row r="39" spans="1:24">
      <c r="A39" s="12" t="s">
        <v>145</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116424.55171616812</v>
      </c>
      <c r="C41" s="8">
        <v>0</v>
      </c>
      <c r="D41" s="8"/>
      <c r="E41" s="8"/>
      <c r="F41" s="8"/>
      <c r="G41" s="8"/>
      <c r="H41" s="8"/>
      <c r="I41" s="8"/>
      <c r="J41" s="8"/>
      <c r="K41" s="8"/>
      <c r="L41" s="8"/>
      <c r="M41" s="62" cm="1">
        <f t="array" ref="M41">INDEX(tblPrices[cv_2018], MATCH(tblMetaUnits[[#This Row],[Products]],tblPrices[Products],0), 0)* tblMetaUnits[[#This Row],[cv_2018]]/10^6</f>
        <v>1.498747164900087</v>
      </c>
      <c r="N41" s="62" cm="1">
        <f t="array" ref="N41">INDEX(tblPrices[cv_2019], MATCH(tblMetaUnits[[#This Row],[Products]],tblPrices[Products],0), 0)* tblMetaUnits[[#This Row],[cv_2019]]/10^6</f>
        <v>0</v>
      </c>
      <c r="O41" s="62" cm="1">
        <f t="array" ref="O41">INDEX(tblPrices[cv_2020], MATCH(tblMetaUnits[[#This Row],[Products]],tblPrices[Products],0), 0)* tblMetaUnits[[#This Row],[cv_2020]]/10^6</f>
        <v>0</v>
      </c>
      <c r="P41" s="62" cm="1">
        <f t="array" ref="P41">INDEX(tblPrices[cv_2021], MATCH(tblMetaUnits[[#This Row],[Products]],tblPrices[Products],0), 0)* tblMetaUnits[[#This Row],[cv_2021]]/10^6</f>
        <v>0</v>
      </c>
      <c r="Q41" s="62" cm="1">
        <f t="array" ref="Q41">INDEX(tblPrices[cv_2022], MATCH(tblMetaUnits[[#This Row],[Products]],tblPrices[Products],0), 0)* tblMetaUnits[[#This Row],[cv_2022]]/10^6</f>
        <v>0</v>
      </c>
      <c r="R41" s="62" cm="1">
        <f t="array" ref="R41">INDEX(tblPrices[cv_2023], MATCH(tblMetaUnits[[#This Row],[Products]],tblPrices[Products],0), 0)* tblMetaUnits[[#This Row],[cv_2023]]/10^6</f>
        <v>0</v>
      </c>
      <c r="S41" s="62" cm="1">
        <f t="array" ref="S41">INDEX(tblPrices[cv_2024], MATCH(tblMetaUnits[[#This Row],[Products]],tblPrices[Products],0), 0)* tblMetaUnits[[#This Row],[cv_2024]]/10^6</f>
        <v>0</v>
      </c>
      <c r="T41" s="62" cm="1">
        <f t="array" ref="T41">INDEX(tblPrices[cv_2025], MATCH(tblMetaUnits[[#This Row],[Products]],tblPrices[Products],0), 0)* tblMetaUnits[[#This Row],[cv_2025]]/10^6</f>
        <v>0</v>
      </c>
      <c r="U41" s="62" cm="1">
        <f t="array" ref="U41">INDEX(tblPrices[cv_2026], MATCH(tblMetaUnits[[#This Row],[Products]],tblPrices[Products],0), 0)* tblMetaUnits[[#This Row],[cv_2026]]/10^6</f>
        <v>0</v>
      </c>
      <c r="V41" s="62" cm="1">
        <f t="array" ref="V41">INDEX(tblPrices[cv_2027], MATCH(tblMetaUnits[[#This Row],[Products]],tblPrices[Products],0), 0)* tblMetaUnits[[#This Row],[cv_2027]]/10^6</f>
        <v>0</v>
      </c>
      <c r="W41" s="62" cm="1">
        <f t="array" ref="W41">INDEX(tblPrices[cv_2028], MATCH(tblMetaUnits[[#This Row],[Products]],tblPrices[Products],0), 0)* tblMetaUnits[[#This Row],[cv_2028]]/10^6</f>
        <v>0</v>
      </c>
      <c r="X41" s="1">
        <f>VLOOKUP(A41,Products!$A$11:$F$110,6,FALSE)</f>
        <v>10</v>
      </c>
    </row>
    <row r="42" spans="1:24" s="1" customFormat="1" ht="13.15">
      <c r="A42" s="16" t="s">
        <v>158</v>
      </c>
      <c r="B42" s="36">
        <v>18057.725384385292</v>
      </c>
      <c r="C42" s="36">
        <v>0</v>
      </c>
      <c r="D42" s="36"/>
      <c r="E42" s="36"/>
      <c r="F42" s="36"/>
      <c r="G42" s="36"/>
      <c r="H42" s="36"/>
      <c r="I42" s="36"/>
      <c r="J42" s="36"/>
      <c r="K42" s="36"/>
      <c r="L42" s="36"/>
      <c r="M42" s="62" cm="1">
        <f t="array" ref="M42">INDEX(tblPrices[cv_2018], MATCH(tblMetaUnits[[#This Row],[Products]],tblPrices[Products],0), 0)* tblMetaUnits[[#This Row],[cv_2018]]/10^6</f>
        <v>0.43653679023881053</v>
      </c>
      <c r="N42" s="62" cm="1">
        <f t="array" ref="N42">INDEX(tblPrices[cv_2019], MATCH(tblMetaUnits[[#This Row],[Products]],tblPrices[Products],0), 0)* tblMetaUnits[[#This Row],[cv_2019]]/10^6</f>
        <v>0</v>
      </c>
      <c r="O42" s="62" cm="1">
        <f t="array" ref="O42">INDEX(tblPrices[cv_2020], MATCH(tblMetaUnits[[#This Row],[Products]],tblPrices[Products],0), 0)* tblMetaUnits[[#This Row],[cv_2020]]/10^6</f>
        <v>0</v>
      </c>
      <c r="P42" s="62" cm="1">
        <f t="array" ref="P42">INDEX(tblPrices[cv_2021], MATCH(tblMetaUnits[[#This Row],[Products]],tblPrices[Products],0), 0)* tblMetaUnits[[#This Row],[cv_2021]]/10^6</f>
        <v>0</v>
      </c>
      <c r="Q42" s="62" cm="1">
        <f t="array" ref="Q42">INDEX(tblPrices[cv_2022], MATCH(tblMetaUnits[[#This Row],[Products]],tblPrices[Products],0), 0)* tblMetaUnits[[#This Row],[cv_2022]]/10^6</f>
        <v>0</v>
      </c>
      <c r="R42" s="62" cm="1">
        <f t="array" ref="R42">INDEX(tblPrices[cv_2023], MATCH(tblMetaUnits[[#This Row],[Products]],tblPrices[Products],0), 0)* tblMetaUnits[[#This Row],[cv_2023]]/10^6</f>
        <v>0</v>
      </c>
      <c r="S42" s="62" cm="1">
        <f t="array" ref="S42">INDEX(tblPrices[cv_2024], MATCH(tblMetaUnits[[#This Row],[Products]],tblPrices[Products],0), 0)* tblMetaUnits[[#This Row],[cv_2024]]/10^6</f>
        <v>0</v>
      </c>
      <c r="T42" s="62" cm="1">
        <f t="array" ref="T42">INDEX(tblPrices[cv_2025], MATCH(tblMetaUnits[[#This Row],[Products]],tblPrices[Products],0), 0)* tblMetaUnits[[#This Row],[cv_2025]]/10^6</f>
        <v>0</v>
      </c>
      <c r="U42" s="62" cm="1">
        <f t="array" ref="U42">INDEX(tblPrices[cv_2026], MATCH(tblMetaUnits[[#This Row],[Products]],tblPrices[Products],0), 0)* tblMetaUnits[[#This Row],[cv_2026]]/10^6</f>
        <v>0</v>
      </c>
      <c r="V42" s="62" cm="1">
        <f t="array" ref="V42">INDEX(tblPrices[cv_2027], MATCH(tblMetaUnits[[#This Row],[Products]],tblPrices[Products],0), 0)* tblMetaUnits[[#This Row],[cv_2027]]/10^6</f>
        <v>0</v>
      </c>
      <c r="W42" s="62" cm="1">
        <f t="array" ref="W42">INDEX(tblPrices[cv_2028], MATCH(tblMetaUnits[[#This Row],[Products]],tblPrices[Products],0), 0)* tblMetaUnits[[#This Row],[cv_2028]]/10^6</f>
        <v>0</v>
      </c>
      <c r="X42" s="1">
        <f>VLOOKUP(A42,Products!$A$11:$F$110,6,FALSE)</f>
        <v>10</v>
      </c>
    </row>
    <row r="43" spans="1:24" s="1" customFormat="1" ht="13.15">
      <c r="A43" s="16" t="s">
        <v>159</v>
      </c>
      <c r="B43" s="36">
        <v>538.98321581370942</v>
      </c>
      <c r="C43" s="36">
        <v>0</v>
      </c>
      <c r="D43" s="36"/>
      <c r="E43" s="36"/>
      <c r="F43" s="36"/>
      <c r="G43" s="36"/>
      <c r="H43" s="36"/>
      <c r="I43" s="36"/>
      <c r="J43" s="36"/>
      <c r="K43" s="36"/>
      <c r="L43" s="36"/>
      <c r="M43" s="62" cm="1">
        <f t="array" ref="M43">INDEX(tblPrices[cv_2018], MATCH(tblMetaUnits[[#This Row],[Products]],tblPrices[Products],0), 0)* tblMetaUnits[[#This Row],[cv_2018]]/10^6</f>
        <v>6.449845154763599E-2</v>
      </c>
      <c r="N43" s="62" cm="1">
        <f t="array" ref="N43">INDEX(tblPrices[cv_2019], MATCH(tblMetaUnits[[#This Row],[Products]],tblPrices[Products],0), 0)* tblMetaUnits[[#This Row],[cv_2019]]/10^6</f>
        <v>0</v>
      </c>
      <c r="O43" s="62" cm="1">
        <f t="array" ref="O43">INDEX(tblPrices[cv_2020], MATCH(tblMetaUnits[[#This Row],[Products]],tblPrices[Products],0), 0)* tblMetaUnits[[#This Row],[cv_2020]]/10^6</f>
        <v>0</v>
      </c>
      <c r="P43" s="62" cm="1">
        <f t="array" ref="P43">INDEX(tblPrices[cv_2021], MATCH(tblMetaUnits[[#This Row],[Products]],tblPrices[Products],0), 0)* tblMetaUnits[[#This Row],[cv_2021]]/10^6</f>
        <v>0</v>
      </c>
      <c r="Q43" s="62" cm="1">
        <f t="array" ref="Q43">INDEX(tblPrices[cv_2022], MATCH(tblMetaUnits[[#This Row],[Products]],tblPrices[Products],0), 0)* tblMetaUnits[[#This Row],[cv_2022]]/10^6</f>
        <v>0</v>
      </c>
      <c r="R43" s="62" cm="1">
        <f t="array" ref="R43">INDEX(tblPrices[cv_2023], MATCH(tblMetaUnits[[#This Row],[Products]],tblPrices[Products],0), 0)* tblMetaUnits[[#This Row],[cv_2023]]/10^6</f>
        <v>0</v>
      </c>
      <c r="S43" s="62" cm="1">
        <f t="array" ref="S43">INDEX(tblPrices[cv_2024], MATCH(tblMetaUnits[[#This Row],[Products]],tblPrices[Products],0), 0)* tblMetaUnits[[#This Row],[cv_2024]]/10^6</f>
        <v>0</v>
      </c>
      <c r="T43" s="62" cm="1">
        <f t="array" ref="T43">INDEX(tblPrices[cv_2025], MATCH(tblMetaUnits[[#This Row],[Products]],tblPrices[Products],0), 0)* tblMetaUnits[[#This Row],[cv_2025]]/10^6</f>
        <v>0</v>
      </c>
      <c r="U43" s="62" cm="1">
        <f t="array" ref="U43">INDEX(tblPrices[cv_2026], MATCH(tblMetaUnits[[#This Row],[Products]],tblPrices[Products],0), 0)* tblMetaUnits[[#This Row],[cv_2026]]/10^6</f>
        <v>0</v>
      </c>
      <c r="V43" s="62" cm="1">
        <f t="array" ref="V43">INDEX(tblPrices[cv_2027], MATCH(tblMetaUnits[[#This Row],[Products]],tblPrices[Products],0), 0)* tblMetaUnits[[#This Row],[cv_2027]]/10^6</f>
        <v>0</v>
      </c>
      <c r="W43" s="62" cm="1">
        <f t="array" ref="W43">INDEX(tblPrices[cv_2028], MATCH(tblMetaUnits[[#This Row],[Products]],tblPrices[Products],0), 0)* tblMetaUnits[[#This Row],[cv_2028]]/10^6</f>
        <v>0</v>
      </c>
      <c r="X43" s="1">
        <f>VLOOKUP(A43,Products!$A$11:$F$110,6,FALSE)</f>
        <v>10</v>
      </c>
    </row>
    <row r="44" spans="1:24" s="1" customFormat="1" ht="13.15">
      <c r="A44" s="9" t="s">
        <v>2</v>
      </c>
      <c r="B44" s="8">
        <v>65237.040000000008</v>
      </c>
      <c r="C44" s="8">
        <v>51694.8</v>
      </c>
      <c r="D44" s="8"/>
      <c r="E44" s="8"/>
      <c r="F44" s="8"/>
      <c r="G44" s="8"/>
      <c r="H44" s="8"/>
      <c r="I44" s="8"/>
      <c r="J44" s="8"/>
      <c r="K44" s="8"/>
      <c r="L44" s="8"/>
      <c r="M44" s="62" cm="1">
        <f t="array" ref="M44">INDEX(tblPrices[cv_2018], MATCH(tblMetaUnits[[#This Row],[Products]],tblPrices[Products],0), 0)* tblMetaUnits[[#This Row],[cv_2018]]/10^6</f>
        <v>19.811587262400003</v>
      </c>
      <c r="N44" s="62" cm="1">
        <f t="array" ref="N44">INDEX(tblPrices[cv_2019], MATCH(tblMetaUnits[[#This Row],[Products]],tblPrices[Products],0), 0)* tblMetaUnits[[#This Row],[cv_2019]]/10^6</f>
        <v>13.101089506305994</v>
      </c>
      <c r="O44" s="62" cm="1">
        <f t="array" ref="O44">INDEX(tblPrices[cv_2020], MATCH(tblMetaUnits[[#This Row],[Products]],tblPrices[Products],0), 0)* tblMetaUnits[[#This Row],[cv_2020]]/10^6</f>
        <v>0</v>
      </c>
      <c r="P44" s="62" cm="1">
        <f t="array" ref="P44">INDEX(tblPrices[cv_2021], MATCH(tblMetaUnits[[#This Row],[Products]],tblPrices[Products],0), 0)* tblMetaUnits[[#This Row],[cv_2021]]/10^6</f>
        <v>0</v>
      </c>
      <c r="Q44" s="62" cm="1">
        <f t="array" ref="Q44">INDEX(tblPrices[cv_2022], MATCH(tblMetaUnits[[#This Row],[Products]],tblPrices[Products],0), 0)* tblMetaUnits[[#This Row],[cv_2022]]/10^6</f>
        <v>0</v>
      </c>
      <c r="R44" s="62" cm="1">
        <f t="array" ref="R44">INDEX(tblPrices[cv_2023], MATCH(tblMetaUnits[[#This Row],[Products]],tblPrices[Products],0), 0)* tblMetaUnits[[#This Row],[cv_2023]]/10^6</f>
        <v>0</v>
      </c>
      <c r="S44" s="62" cm="1">
        <f t="array" ref="S44">INDEX(tblPrices[cv_2024], MATCH(tblMetaUnits[[#This Row],[Products]],tblPrices[Products],0), 0)* tblMetaUnits[[#This Row],[cv_2024]]/10^6</f>
        <v>0</v>
      </c>
      <c r="T44" s="62" cm="1">
        <f t="array" ref="T44">INDEX(tblPrices[cv_2025], MATCH(tblMetaUnits[[#This Row],[Products]],tblPrices[Products],0), 0)* tblMetaUnits[[#This Row],[cv_2025]]/10^6</f>
        <v>0</v>
      </c>
      <c r="U44" s="62" cm="1">
        <f t="array" ref="U44">INDEX(tblPrices[cv_2026], MATCH(tblMetaUnits[[#This Row],[Products]],tblPrices[Products],0), 0)* tblMetaUnits[[#This Row],[cv_2026]]/10^6</f>
        <v>0</v>
      </c>
      <c r="V44" s="62" cm="1">
        <f t="array" ref="V44">INDEX(tblPrices[cv_2027], MATCH(tblMetaUnits[[#This Row],[Products]],tblPrices[Products],0), 0)* tblMetaUnits[[#This Row],[cv_2027]]/10^6</f>
        <v>0</v>
      </c>
      <c r="W44" s="62" cm="1">
        <f t="array" ref="W44">INDEX(tblPrices[cv_2028], MATCH(tblMetaUnits[[#This Row],[Products]],tblPrices[Products],0), 0)* tblMetaUnits[[#This Row],[cv_2028]]/10^6</f>
        <v>0</v>
      </c>
      <c r="X44" s="1">
        <f>VLOOKUP(A44,Products!$A$29:$F$110,6,FALSE)</f>
        <v>40</v>
      </c>
    </row>
    <row r="45" spans="1:24" s="1" customFormat="1" ht="13.15">
      <c r="A45" s="9" t="s">
        <v>40</v>
      </c>
      <c r="B45" s="8">
        <v>1100000</v>
      </c>
      <c r="C45" s="8">
        <v>1700000</v>
      </c>
      <c r="D45" s="8"/>
      <c r="E45" s="8"/>
      <c r="F45" s="8"/>
      <c r="G45" s="8"/>
      <c r="H45" s="8"/>
      <c r="I45" s="8"/>
      <c r="J45" s="8"/>
      <c r="K45" s="8"/>
      <c r="L45" s="8"/>
      <c r="M45" s="62" cm="1">
        <f t="array" ref="M45">INDEX(tblPrices[cv_2018], MATCH(tblMetaUnits[[#This Row],[Products]],tblPrices[Products],0), 0)* tblMetaUnits[[#This Row],[cv_2018]]/10^6</f>
        <v>308</v>
      </c>
      <c r="N45" s="62" cm="1">
        <f t="array" ref="N45">INDEX(tblPrices[cv_2019], MATCH(tblMetaUnits[[#This Row],[Products]],tblPrices[Products],0), 0)* tblMetaUnits[[#This Row],[cv_2019]]/10^6</f>
        <v>306</v>
      </c>
      <c r="O45" s="62" cm="1">
        <f t="array" ref="O45">INDEX(tblPrices[cv_2020], MATCH(tblMetaUnits[[#This Row],[Products]],tblPrices[Products],0), 0)* tblMetaUnits[[#This Row],[cv_2020]]/10^6</f>
        <v>0</v>
      </c>
      <c r="P45" s="62" cm="1">
        <f t="array" ref="P45">INDEX(tblPrices[cv_2021], MATCH(tblMetaUnits[[#This Row],[Products]],tblPrices[Products],0), 0)* tblMetaUnits[[#This Row],[cv_2021]]/10^6</f>
        <v>0</v>
      </c>
      <c r="Q45" s="62" cm="1">
        <f t="array" ref="Q45">INDEX(tblPrices[cv_2022], MATCH(tblMetaUnits[[#This Row],[Products]],tblPrices[Products],0), 0)* tblMetaUnits[[#This Row],[cv_2022]]/10^6</f>
        <v>0</v>
      </c>
      <c r="R45" s="62" cm="1">
        <f t="array" ref="R45">INDEX(tblPrices[cv_2023], MATCH(tblMetaUnits[[#This Row],[Products]],tblPrices[Products],0), 0)* tblMetaUnits[[#This Row],[cv_2023]]/10^6</f>
        <v>0</v>
      </c>
      <c r="S45" s="62" cm="1">
        <f t="array" ref="S45">INDEX(tblPrices[cv_2024], MATCH(tblMetaUnits[[#This Row],[Products]],tblPrices[Products],0), 0)* tblMetaUnits[[#This Row],[cv_2024]]/10^6</f>
        <v>0</v>
      </c>
      <c r="T45" s="62" cm="1">
        <f t="array" ref="T45">INDEX(tblPrices[cv_2025], MATCH(tblMetaUnits[[#This Row],[Products]],tblPrices[Products],0), 0)* tblMetaUnits[[#This Row],[cv_2025]]/10^6</f>
        <v>0</v>
      </c>
      <c r="U45" s="62" cm="1">
        <f t="array" ref="U45">INDEX(tblPrices[cv_2026], MATCH(tblMetaUnits[[#This Row],[Products]],tblPrices[Products],0), 0)* tblMetaUnits[[#This Row],[cv_2026]]/10^6</f>
        <v>0</v>
      </c>
      <c r="V45" s="62" cm="1">
        <f t="array" ref="V45">INDEX(tblPrices[cv_2027], MATCH(tblMetaUnits[[#This Row],[Products]],tblPrices[Products],0), 0)* tblMetaUnits[[#This Row],[cv_2027]]/10^6</f>
        <v>0</v>
      </c>
      <c r="W45" s="62" cm="1">
        <f t="array" ref="W45">INDEX(tblPrices[cv_2028], MATCH(tblMetaUnits[[#This Row],[Products]],tblPrices[Products],0), 0)* tblMetaUnits[[#This Row],[cv_2028]]/10^6</f>
        <v>0</v>
      </c>
      <c r="X45" s="1">
        <f>VLOOKUP(A45,Products!$A$29:$F$110,6,FALSE)</f>
        <v>100</v>
      </c>
    </row>
    <row r="46" spans="1:24" s="1" customFormat="1" ht="13.15">
      <c r="A46" s="9" t="s">
        <v>41</v>
      </c>
      <c r="B46" s="8">
        <v>500</v>
      </c>
      <c r="C46" s="8">
        <v>6072</v>
      </c>
      <c r="D46" s="8"/>
      <c r="E46" s="8"/>
      <c r="F46" s="8"/>
      <c r="G46" s="8"/>
      <c r="H46" s="8"/>
      <c r="I46" s="8"/>
      <c r="J46" s="8"/>
      <c r="K46" s="8"/>
      <c r="L46" s="8"/>
      <c r="M46" s="62" cm="1">
        <f t="array" ref="M46">INDEX(tblPrices[cv_2018], MATCH(tblMetaUnits[[#This Row],[Products]],tblPrices[Products],0), 0)* tblMetaUnits[[#This Row],[cv_2018]]/10^6</f>
        <v>0.75</v>
      </c>
      <c r="N46" s="62" cm="1">
        <f t="array" ref="N46">INDEX(tblPrices[cv_2019], MATCH(tblMetaUnits[[#This Row],[Products]],tblPrices[Products],0), 0)* tblMetaUnits[[#This Row],[cv_2019]]/10^6</f>
        <v>3.0945</v>
      </c>
      <c r="O46" s="62" cm="1">
        <f t="array" ref="O46">INDEX(tblPrices[cv_2020], MATCH(tblMetaUnits[[#This Row],[Products]],tblPrices[Products],0), 0)* tblMetaUnits[[#This Row],[cv_2020]]/10^6</f>
        <v>0</v>
      </c>
      <c r="P46" s="62" cm="1">
        <f t="array" ref="P46">INDEX(tblPrices[cv_2021], MATCH(tblMetaUnits[[#This Row],[Products]],tblPrices[Products],0), 0)* tblMetaUnits[[#This Row],[cv_2021]]/10^6</f>
        <v>0</v>
      </c>
      <c r="Q46" s="62" cm="1">
        <f t="array" ref="Q46">INDEX(tblPrices[cv_2022], MATCH(tblMetaUnits[[#This Row],[Products]],tblPrices[Products],0), 0)* tblMetaUnits[[#This Row],[cv_2022]]/10^6</f>
        <v>0</v>
      </c>
      <c r="R46" s="62" cm="1">
        <f t="array" ref="R46">INDEX(tblPrices[cv_2023], MATCH(tblMetaUnits[[#This Row],[Products]],tblPrices[Products],0), 0)* tblMetaUnits[[#This Row],[cv_2023]]/10^6</f>
        <v>0</v>
      </c>
      <c r="S46" s="62" cm="1">
        <f t="array" ref="S46">INDEX(tblPrices[cv_2024], MATCH(tblMetaUnits[[#This Row],[Products]],tblPrices[Products],0), 0)* tblMetaUnits[[#This Row],[cv_2024]]/10^6</f>
        <v>0</v>
      </c>
      <c r="T46" s="62" cm="1">
        <f t="array" ref="T46">INDEX(tblPrices[cv_2025], MATCH(tblMetaUnits[[#This Row],[Products]],tblPrices[Products],0), 0)* tblMetaUnits[[#This Row],[cv_2025]]/10^6</f>
        <v>0</v>
      </c>
      <c r="U46" s="62" cm="1">
        <f t="array" ref="U46">INDEX(tblPrices[cv_2026], MATCH(tblMetaUnits[[#This Row],[Products]],tblPrices[Products],0), 0)* tblMetaUnits[[#This Row],[cv_2026]]/10^6</f>
        <v>0</v>
      </c>
      <c r="V46" s="62" cm="1">
        <f t="array" ref="V46">INDEX(tblPrices[cv_2027], MATCH(tblMetaUnits[[#This Row],[Products]],tblPrices[Products],0), 0)* tblMetaUnits[[#This Row],[cv_2027]]/10^6</f>
        <v>0</v>
      </c>
      <c r="W46" s="62" cm="1">
        <f t="array" ref="W46">INDEX(tblPrices[cv_2028], MATCH(tblMetaUnits[[#This Row],[Products]],tblPrices[Products],0), 0)* tblMetaUnits[[#This Row],[cv_2028]]/10^6</f>
        <v>0</v>
      </c>
      <c r="X46" s="1">
        <f>VLOOKUP(A46,Products!$A$29:$F$110,6,FALSE)</f>
        <v>200</v>
      </c>
    </row>
    <row r="47" spans="1:24" s="1" customFormat="1" ht="13.15">
      <c r="A47" s="9" t="s">
        <v>11</v>
      </c>
      <c r="B47" s="8">
        <v>0</v>
      </c>
      <c r="C47" s="8">
        <v>0</v>
      </c>
      <c r="D47" s="8"/>
      <c r="E47" s="8"/>
      <c r="F47" s="8"/>
      <c r="G47" s="8"/>
      <c r="H47" s="8"/>
      <c r="I47" s="8"/>
      <c r="J47" s="8"/>
      <c r="K47" s="8"/>
      <c r="L47" s="8"/>
      <c r="M47" s="62" cm="1">
        <f t="array" ref="M47">INDEX(tblPrices[cv_2018], MATCH(tblMetaUnits[[#This Row],[Products]],tblPrices[Products],0), 0)* tblMetaUnits[[#This Row],[cv_2018]]/10^6</f>
        <v>0</v>
      </c>
      <c r="N47" s="62" cm="1">
        <f t="array" ref="N47">INDEX(tblPrices[cv_2019], MATCH(tblMetaUnits[[#This Row],[Products]],tblPrices[Products],0), 0)* tblMetaUnits[[#This Row],[cv_2019]]/10^6</f>
        <v>0</v>
      </c>
      <c r="O47" s="62" cm="1">
        <f t="array" ref="O47">INDEX(tblPrices[cv_2020], MATCH(tblMetaUnits[[#This Row],[Products]],tblPrices[Products],0), 0)* tblMetaUnits[[#This Row],[cv_2020]]/10^6</f>
        <v>0</v>
      </c>
      <c r="P47" s="62" cm="1">
        <f t="array" ref="P47">INDEX(tblPrices[cv_2021], MATCH(tblMetaUnits[[#This Row],[Products]],tblPrices[Products],0), 0)* tblMetaUnits[[#This Row],[cv_2021]]/10^6</f>
        <v>0</v>
      </c>
      <c r="Q47" s="62" cm="1">
        <f t="array" ref="Q47">INDEX(tblPrices[cv_2022], MATCH(tblMetaUnits[[#This Row],[Products]],tblPrices[Products],0), 0)* tblMetaUnits[[#This Row],[cv_2022]]/10^6</f>
        <v>0</v>
      </c>
      <c r="R47" s="62" cm="1">
        <f t="array" ref="R47">INDEX(tblPrices[cv_2023], MATCH(tblMetaUnits[[#This Row],[Products]],tblPrices[Products],0), 0)* tblMetaUnits[[#This Row],[cv_2023]]/10^6</f>
        <v>0</v>
      </c>
      <c r="S47" s="62" cm="1">
        <f t="array" ref="S47">INDEX(tblPrices[cv_2024], MATCH(tblMetaUnits[[#This Row],[Products]],tblPrices[Products],0), 0)* tblMetaUnits[[#This Row],[cv_2024]]/10^6</f>
        <v>0</v>
      </c>
      <c r="T47" s="62" cm="1">
        <f t="array" ref="T47">INDEX(tblPrices[cv_2025], MATCH(tblMetaUnits[[#This Row],[Products]],tblPrices[Products],0), 0)* tblMetaUnits[[#This Row],[cv_2025]]/10^6</f>
        <v>0</v>
      </c>
      <c r="U47" s="62" cm="1">
        <f t="array" ref="U47">INDEX(tblPrices[cv_2026], MATCH(tblMetaUnits[[#This Row],[Products]],tblPrices[Products],0), 0)* tblMetaUnits[[#This Row],[cv_2026]]/10^6</f>
        <v>0</v>
      </c>
      <c r="V47" s="62" cm="1">
        <f t="array" ref="V47">INDEX(tblPrices[cv_2027], MATCH(tblMetaUnits[[#This Row],[Products]],tblPrices[Products],0), 0)* tblMetaUnits[[#This Row],[cv_2027]]/10^6</f>
        <v>0</v>
      </c>
      <c r="W47" s="62" cm="1">
        <f t="array" ref="W47">INDEX(tblPrices[cv_2028], MATCH(tblMetaUnits[[#This Row],[Products]],tblPrices[Products],0), 0)* tblMetaUnits[[#This Row],[cv_2028]]/10^6</f>
        <v>0</v>
      </c>
      <c r="X47" s="1">
        <f>VLOOKUP(A47,Products!$A$29:$F$110,6,FALSE)</f>
        <v>400</v>
      </c>
    </row>
    <row r="48" spans="1:24" s="1" customFormat="1" ht="13.15">
      <c r="A48" s="9" t="s">
        <v>42</v>
      </c>
      <c r="B48" s="8">
        <v>1000</v>
      </c>
      <c r="C48" s="8">
        <v>2555</v>
      </c>
      <c r="D48" s="8"/>
      <c r="E48" s="8"/>
      <c r="F48" s="8"/>
      <c r="G48" s="8"/>
      <c r="H48" s="8"/>
      <c r="I48" s="8"/>
      <c r="J48" s="8"/>
      <c r="K48" s="8"/>
      <c r="L48" s="8"/>
      <c r="M48" s="62" cm="1">
        <f t="array" ref="M48">INDEX(tblPrices[cv_2018], MATCH(tblMetaUnits[[#This Row],[Products]],tblPrices[Products],0), 0)* tblMetaUnits[[#This Row],[cv_2018]]/10^6</f>
        <v>2</v>
      </c>
      <c r="N48" s="62" cm="1">
        <f t="array" ref="N48">INDEX(tblPrices[cv_2019], MATCH(tblMetaUnits[[#This Row],[Products]],tblPrices[Products],0), 0)* tblMetaUnits[[#This Row],[cv_2019]]/10^6</f>
        <v>3.8726706791818866</v>
      </c>
      <c r="O48" s="62" cm="1">
        <f t="array" ref="O48">INDEX(tblPrices[cv_2020], MATCH(tblMetaUnits[[#This Row],[Products]],tblPrices[Products],0), 0)* tblMetaUnits[[#This Row],[cv_2020]]/10^6</f>
        <v>0</v>
      </c>
      <c r="P48" s="62" cm="1">
        <f t="array" ref="P48">INDEX(tblPrices[cv_2021], MATCH(tblMetaUnits[[#This Row],[Products]],tblPrices[Products],0), 0)* tblMetaUnits[[#This Row],[cv_2021]]/10^6</f>
        <v>0</v>
      </c>
      <c r="Q48" s="62" cm="1">
        <f t="array" ref="Q48">INDEX(tblPrices[cv_2022], MATCH(tblMetaUnits[[#This Row],[Products]],tblPrices[Products],0), 0)* tblMetaUnits[[#This Row],[cv_2022]]/10^6</f>
        <v>0</v>
      </c>
      <c r="R48" s="62" cm="1">
        <f t="array" ref="R48">INDEX(tblPrices[cv_2023], MATCH(tblMetaUnits[[#This Row],[Products]],tblPrices[Products],0), 0)* tblMetaUnits[[#This Row],[cv_2023]]/10^6</f>
        <v>0</v>
      </c>
      <c r="S48" s="62" cm="1">
        <f t="array" ref="S48">INDEX(tblPrices[cv_2024], MATCH(tblMetaUnits[[#This Row],[Products]],tblPrices[Products],0), 0)* tblMetaUnits[[#This Row],[cv_2024]]/10^6</f>
        <v>0</v>
      </c>
      <c r="T48" s="62" cm="1">
        <f t="array" ref="T48">INDEX(tblPrices[cv_2025], MATCH(tblMetaUnits[[#This Row],[Products]],tblPrices[Products],0), 0)* tblMetaUnits[[#This Row],[cv_2025]]/10^6</f>
        <v>0</v>
      </c>
      <c r="U48" s="62" cm="1">
        <f t="array" ref="U48">INDEX(tblPrices[cv_2026], MATCH(tblMetaUnits[[#This Row],[Products]],tblPrices[Products],0), 0)* tblMetaUnits[[#This Row],[cv_2026]]/10^6</f>
        <v>0</v>
      </c>
      <c r="V48" s="62" cm="1">
        <f t="array" ref="V48">INDEX(tblPrices[cv_2027], MATCH(tblMetaUnits[[#This Row],[Products]],tblPrices[Products],0), 0)* tblMetaUnits[[#This Row],[cv_2027]]/10^6</f>
        <v>0</v>
      </c>
      <c r="W48" s="62" cm="1">
        <f t="array" ref="W48">INDEX(tblPrices[cv_2028], MATCH(tblMetaUnits[[#This Row],[Products]],tblPrices[Products],0), 0)* tblMetaUnits[[#This Row],[cv_2028]]/10^6</f>
        <v>0</v>
      </c>
      <c r="X48" s="1">
        <f>VLOOKUP(A48,Products!$A$29:$F$110,6,FALSE)</f>
        <v>400</v>
      </c>
    </row>
    <row r="49" spans="1:24" s="1" customFormat="1" ht="13.15">
      <c r="A49" s="9" t="s">
        <v>12</v>
      </c>
      <c r="B49" s="8">
        <v>0</v>
      </c>
      <c r="C49" s="8">
        <v>0</v>
      </c>
      <c r="D49" s="8"/>
      <c r="E49" s="8"/>
      <c r="F49" s="8"/>
      <c r="G49" s="8"/>
      <c r="H49" s="8"/>
      <c r="I49" s="8"/>
      <c r="J49" s="8"/>
      <c r="K49" s="8"/>
      <c r="L49" s="8"/>
      <c r="M49" s="62" cm="1">
        <f t="array" ref="M49">INDEX(tblPrices[cv_2018], MATCH(tblMetaUnits[[#This Row],[Products]],tblPrices[Products],0), 0)* tblMetaUnits[[#This Row],[cv_2018]]/10^6</f>
        <v>0</v>
      </c>
      <c r="N49" s="62" cm="1">
        <f t="array" ref="N49">INDEX(tblPrices[cv_2019], MATCH(tblMetaUnits[[#This Row],[Products]],tblPrices[Products],0), 0)* tblMetaUnits[[#This Row],[cv_2019]]/10^6</f>
        <v>0</v>
      </c>
      <c r="O49" s="62" cm="1">
        <f t="array" ref="O49">INDEX(tblPrices[cv_2020], MATCH(tblMetaUnits[[#This Row],[Products]],tblPrices[Products],0), 0)* tblMetaUnits[[#This Row],[cv_2020]]/10^6</f>
        <v>0</v>
      </c>
      <c r="P49" s="62" cm="1">
        <f t="array" ref="P49">INDEX(tblPrices[cv_2021], MATCH(tblMetaUnits[[#This Row],[Products]],tblPrices[Products],0), 0)* tblMetaUnits[[#This Row],[cv_2021]]/10^6</f>
        <v>0</v>
      </c>
      <c r="Q49" s="62" cm="1">
        <f t="array" ref="Q49">INDEX(tblPrices[cv_2022], MATCH(tblMetaUnits[[#This Row],[Products]],tblPrices[Products],0), 0)* tblMetaUnits[[#This Row],[cv_2022]]/10^6</f>
        <v>0</v>
      </c>
      <c r="R49" s="62" cm="1">
        <f t="array" ref="R49">INDEX(tblPrices[cv_2023], MATCH(tblMetaUnits[[#This Row],[Products]],tblPrices[Products],0), 0)* tblMetaUnits[[#This Row],[cv_2023]]/10^6</f>
        <v>0</v>
      </c>
      <c r="S49" s="62" cm="1">
        <f t="array" ref="S49">INDEX(tblPrices[cv_2024], MATCH(tblMetaUnits[[#This Row],[Products]],tblPrices[Products],0), 0)* tblMetaUnits[[#This Row],[cv_2024]]/10^6</f>
        <v>0</v>
      </c>
      <c r="T49" s="62" cm="1">
        <f t="array" ref="T49">INDEX(tblPrices[cv_2025], MATCH(tblMetaUnits[[#This Row],[Products]],tblPrices[Products],0), 0)* tblMetaUnits[[#This Row],[cv_2025]]/10^6</f>
        <v>0</v>
      </c>
      <c r="U49" s="62" cm="1">
        <f t="array" ref="U49">INDEX(tblPrices[cv_2026], MATCH(tblMetaUnits[[#This Row],[Products]],tblPrices[Products],0), 0)* tblMetaUnits[[#This Row],[cv_2026]]/10^6</f>
        <v>0</v>
      </c>
      <c r="V49" s="62" cm="1">
        <f t="array" ref="V49">INDEX(tblPrices[cv_2027], MATCH(tblMetaUnits[[#This Row],[Products]],tblPrices[Products],0), 0)* tblMetaUnits[[#This Row],[cv_2027]]/10^6</f>
        <v>0</v>
      </c>
      <c r="W49" s="62" cm="1">
        <f t="array" ref="W49">INDEX(tblPrices[cv_2028], MATCH(tblMetaUnits[[#This Row],[Products]],tblPrices[Products],0), 0)* tblMetaUnits[[#This Row],[cv_2028]]/10^6</f>
        <v>0</v>
      </c>
      <c r="X49" s="1">
        <f>VLOOKUP(A49,Products!$A$29:$F$110,6,FALSE)</f>
        <v>400</v>
      </c>
    </row>
    <row r="50" spans="1:24" s="1" customFormat="1" ht="13.15">
      <c r="A50" s="9" t="s">
        <v>48</v>
      </c>
      <c r="B50" s="8">
        <v>0</v>
      </c>
      <c r="C50" s="8">
        <v>0</v>
      </c>
      <c r="D50" s="8"/>
      <c r="E50" s="8"/>
      <c r="F50" s="8"/>
      <c r="G50" s="8"/>
      <c r="H50" s="8"/>
      <c r="I50" s="8"/>
      <c r="J50" s="8"/>
      <c r="K50" s="8"/>
      <c r="L50" s="8"/>
      <c r="M50" s="62" cm="1">
        <f t="array" ref="M50">INDEX(tblPrices[cv_2018], MATCH(tblMetaUnits[[#This Row],[Products]],tblPrices[Products],0), 0)* tblMetaUnits[[#This Row],[cv_2018]]/10^6</f>
        <v>0</v>
      </c>
      <c r="N50" s="62" cm="1">
        <f t="array" ref="N50">INDEX(tblPrices[cv_2019], MATCH(tblMetaUnits[[#This Row],[Products]],tblPrices[Products],0), 0)* tblMetaUnits[[#This Row],[cv_2019]]/10^6</f>
        <v>0</v>
      </c>
      <c r="O50" s="62" cm="1">
        <f t="array" ref="O50">INDEX(tblPrices[cv_2020], MATCH(tblMetaUnits[[#This Row],[Products]],tblPrices[Products],0), 0)* tblMetaUnits[[#This Row],[cv_2020]]/10^6</f>
        <v>0</v>
      </c>
      <c r="P50" s="62" cm="1">
        <f t="array" ref="P50">INDEX(tblPrices[cv_2021], MATCH(tblMetaUnits[[#This Row],[Products]],tblPrices[Products],0), 0)* tblMetaUnits[[#This Row],[cv_2021]]/10^6</f>
        <v>0</v>
      </c>
      <c r="Q50" s="62" cm="1">
        <f t="array" ref="Q50">INDEX(tblPrices[cv_2022], MATCH(tblMetaUnits[[#This Row],[Products]],tblPrices[Products],0), 0)* tblMetaUnits[[#This Row],[cv_2022]]/10^6</f>
        <v>0</v>
      </c>
      <c r="R50" s="62" cm="1">
        <f t="array" ref="R50">INDEX(tblPrices[cv_2023], MATCH(tblMetaUnits[[#This Row],[Products]],tblPrices[Products],0), 0)* tblMetaUnits[[#This Row],[cv_2023]]/10^6</f>
        <v>0</v>
      </c>
      <c r="S50" s="62" cm="1">
        <f t="array" ref="S50">INDEX(tblPrices[cv_2024], MATCH(tblMetaUnits[[#This Row],[Products]],tblPrices[Products],0), 0)* tblMetaUnits[[#This Row],[cv_2024]]/10^6</f>
        <v>0</v>
      </c>
      <c r="T50" s="62" cm="1">
        <f t="array" ref="T50">INDEX(tblPrices[cv_2025], MATCH(tblMetaUnits[[#This Row],[Products]],tblPrices[Products],0), 0)* tblMetaUnits[[#This Row],[cv_2025]]/10^6</f>
        <v>0</v>
      </c>
      <c r="U50" s="62" cm="1">
        <f t="array" ref="U50">INDEX(tblPrices[cv_2026], MATCH(tblMetaUnits[[#This Row],[Products]],tblPrices[Products],0), 0)* tblMetaUnits[[#This Row],[cv_2026]]/10^6</f>
        <v>0</v>
      </c>
      <c r="V50" s="62" cm="1">
        <f t="array" ref="V50">INDEX(tblPrices[cv_2027], MATCH(tblMetaUnits[[#This Row],[Products]],tblPrices[Products],0), 0)* tblMetaUnits[[#This Row],[cv_2027]]/10^6</f>
        <v>0</v>
      </c>
      <c r="W50" s="62" cm="1">
        <f t="array" ref="W50">INDEX(tblPrices[cv_2028], MATCH(tblMetaUnits[[#This Row],[Products]],tblPrices[Products],0), 0)* tblMetaUnits[[#This Row],[cv_2028]]/10^6</f>
        <v>0</v>
      </c>
      <c r="X50" s="1">
        <v>800</v>
      </c>
    </row>
    <row r="51" spans="1:24" s="1" customFormat="1" ht="13.15">
      <c r="A51" s="9" t="s">
        <v>14</v>
      </c>
      <c r="B51" s="8">
        <v>0</v>
      </c>
      <c r="C51" s="8">
        <v>0</v>
      </c>
      <c r="D51" s="8"/>
      <c r="E51" s="8"/>
      <c r="F51" s="8"/>
      <c r="G51" s="8"/>
      <c r="H51" s="8"/>
      <c r="I51" s="8"/>
      <c r="J51" s="8"/>
      <c r="K51" s="8"/>
      <c r="L51" s="8"/>
      <c r="M51" s="62" cm="1">
        <f t="array" ref="M51">INDEX(tblPrices[cv_2018], MATCH(tblMetaUnits[[#This Row],[Products]],tblPrices[Products],0), 0)* tblMetaUnits[[#This Row],[cv_2018]]/10^6</f>
        <v>0</v>
      </c>
      <c r="N51" s="62" cm="1">
        <f t="array" ref="N51">INDEX(tblPrices[cv_2019], MATCH(tblMetaUnits[[#This Row],[Products]],tblPrices[Products],0), 0)* tblMetaUnits[[#This Row],[cv_2019]]/10^6</f>
        <v>0</v>
      </c>
      <c r="O51" s="62" cm="1">
        <f t="array" ref="O51">INDEX(tblPrices[cv_2020], MATCH(tblMetaUnits[[#This Row],[Products]],tblPrices[Products],0), 0)* tblMetaUnits[[#This Row],[cv_2020]]/10^6</f>
        <v>0</v>
      </c>
      <c r="P51" s="62" cm="1">
        <f t="array" ref="P51">INDEX(tblPrices[cv_2021], MATCH(tblMetaUnits[[#This Row],[Products]],tblPrices[Products],0), 0)* tblMetaUnits[[#This Row],[cv_2021]]/10^6</f>
        <v>0</v>
      </c>
      <c r="Q51" s="62" cm="1">
        <f t="array" ref="Q51">INDEX(tblPrices[cv_2022], MATCH(tblMetaUnits[[#This Row],[Products]],tblPrices[Products],0), 0)* tblMetaUnits[[#This Row],[cv_2022]]/10^6</f>
        <v>0</v>
      </c>
      <c r="R51" s="62" cm="1">
        <f t="array" ref="R51">INDEX(tblPrices[cv_2023], MATCH(tblMetaUnits[[#This Row],[Products]],tblPrices[Products],0), 0)* tblMetaUnits[[#This Row],[cv_2023]]/10^6</f>
        <v>0</v>
      </c>
      <c r="S51" s="62" cm="1">
        <f t="array" ref="S51">INDEX(tblPrices[cv_2024], MATCH(tblMetaUnits[[#This Row],[Products]],tblPrices[Products],0), 0)* tblMetaUnits[[#This Row],[cv_2024]]/10^6</f>
        <v>0</v>
      </c>
      <c r="T51" s="62" cm="1">
        <f t="array" ref="T51">INDEX(tblPrices[cv_2025], MATCH(tblMetaUnits[[#This Row],[Products]],tblPrices[Products],0), 0)* tblMetaUnits[[#This Row],[cv_2025]]/10^6</f>
        <v>0</v>
      </c>
      <c r="U51" s="62" cm="1">
        <f t="array" ref="U51">INDEX(tblPrices[cv_2026], MATCH(tblMetaUnits[[#This Row],[Products]],tblPrices[Products],0), 0)* tblMetaUnits[[#This Row],[cv_2026]]/10^6</f>
        <v>0</v>
      </c>
      <c r="V51" s="62" cm="1">
        <f t="array" ref="V51">INDEX(tblPrices[cv_2027], MATCH(tblMetaUnits[[#This Row],[Products]],tblPrices[Products],0), 0)* tblMetaUnits[[#This Row],[cv_2027]]/10^6</f>
        <v>0</v>
      </c>
      <c r="W51" s="62" cm="1">
        <f t="array" ref="W51">INDEX(tblPrices[cv_2028], MATCH(tblMetaUnits[[#This Row],[Products]],tblPrices[Products],0), 0)* tblMetaUnits[[#This Row],[cv_2028]]/10^6</f>
        <v>0</v>
      </c>
      <c r="X51" s="1">
        <f>VLOOKUP(A51,Products!$A$29:$F$110,6,FALSE)</f>
        <v>800</v>
      </c>
    </row>
    <row r="52" spans="1:24" s="1" customFormat="1" ht="13.15">
      <c r="A52" s="9" t="s">
        <v>15</v>
      </c>
      <c r="B52" s="8">
        <v>0</v>
      </c>
      <c r="C52" s="8">
        <v>0</v>
      </c>
      <c r="D52" s="8"/>
      <c r="E52" s="8"/>
      <c r="F52" s="8"/>
      <c r="G52" s="8"/>
      <c r="H52" s="8"/>
      <c r="I52" s="8"/>
      <c r="J52" s="8"/>
      <c r="K52" s="8"/>
      <c r="L52" s="8"/>
      <c r="M52" s="62" cm="1">
        <f t="array" ref="M52">INDEX(tblPrices[cv_2018], MATCH(tblMetaUnits[[#This Row],[Products]],tblPrices[Products],0), 0)* tblMetaUnits[[#This Row],[cv_2018]]/10^6</f>
        <v>0</v>
      </c>
      <c r="N52" s="62" cm="1">
        <f t="array" ref="N52">INDEX(tblPrices[cv_2019], MATCH(tblMetaUnits[[#This Row],[Products]],tblPrices[Products],0), 0)* tblMetaUnits[[#This Row],[cv_2019]]/10^6</f>
        <v>0</v>
      </c>
      <c r="O52" s="62" cm="1">
        <f t="array" ref="O52">INDEX(tblPrices[cv_2020], MATCH(tblMetaUnits[[#This Row],[Products]],tblPrices[Products],0), 0)* tblMetaUnits[[#This Row],[cv_2020]]/10^6</f>
        <v>0</v>
      </c>
      <c r="P52" s="62" cm="1">
        <f t="array" ref="P52">INDEX(tblPrices[cv_2021], MATCH(tblMetaUnits[[#This Row],[Products]],tblPrices[Products],0), 0)* tblMetaUnits[[#This Row],[cv_2021]]/10^6</f>
        <v>0</v>
      </c>
      <c r="Q52" s="62" cm="1">
        <f t="array" ref="Q52">INDEX(tblPrices[cv_2022], MATCH(tblMetaUnits[[#This Row],[Products]],tblPrices[Products],0), 0)* tblMetaUnits[[#This Row],[cv_2022]]/10^6</f>
        <v>0</v>
      </c>
      <c r="R52" s="62" cm="1">
        <f t="array" ref="R52">INDEX(tblPrices[cv_2023], MATCH(tblMetaUnits[[#This Row],[Products]],tblPrices[Products],0), 0)* tblMetaUnits[[#This Row],[cv_2023]]/10^6</f>
        <v>0</v>
      </c>
      <c r="S52" s="62" cm="1">
        <f t="array" ref="S52">INDEX(tblPrices[cv_2024], MATCH(tblMetaUnits[[#This Row],[Products]],tblPrices[Products],0), 0)* tblMetaUnits[[#This Row],[cv_2024]]/10^6</f>
        <v>0</v>
      </c>
      <c r="T52" s="62" cm="1">
        <f t="array" ref="T52">INDEX(tblPrices[cv_2025], MATCH(tblMetaUnits[[#This Row],[Products]],tblPrices[Products],0), 0)* tblMetaUnits[[#This Row],[cv_2025]]/10^6</f>
        <v>0</v>
      </c>
      <c r="U52" s="62" cm="1">
        <f t="array" ref="U52">INDEX(tblPrices[cv_2026], MATCH(tblMetaUnits[[#This Row],[Products]],tblPrices[Products],0), 0)* tblMetaUnits[[#This Row],[cv_2026]]/10^6</f>
        <v>0</v>
      </c>
      <c r="V52" s="62" cm="1">
        <f t="array" ref="V52">INDEX(tblPrices[cv_2027], MATCH(tblMetaUnits[[#This Row],[Products]],tblPrices[Products],0), 0)* tblMetaUnits[[#This Row],[cv_2027]]/10^6</f>
        <v>0</v>
      </c>
      <c r="W52" s="62" cm="1">
        <f t="array" ref="W52">INDEX(tblPrices[cv_2028], MATCH(tblMetaUnits[[#This Row],[Products]],tblPrices[Products],0), 0)* tblMetaUnits[[#This Row],[cv_2028]]/10^6</f>
        <v>0</v>
      </c>
      <c r="X52" s="1">
        <f>VLOOKUP(A52,Products!$A$29:$F$110,6,FALSE)</f>
        <v>800</v>
      </c>
    </row>
    <row r="53" spans="1:24" s="1" customFormat="1" ht="13.15">
      <c r="A53" s="9" t="s">
        <v>16</v>
      </c>
      <c r="B53" s="8">
        <v>0</v>
      </c>
      <c r="C53" s="8">
        <v>0</v>
      </c>
      <c r="D53" s="8"/>
      <c r="E53" s="8"/>
      <c r="F53" s="8"/>
      <c r="G53" s="8"/>
      <c r="H53" s="8"/>
      <c r="I53" s="8"/>
      <c r="J53" s="8"/>
      <c r="K53" s="8"/>
      <c r="L53" s="8"/>
      <c r="M53" s="62" cm="1">
        <f t="array" ref="M53">INDEX(tblPrices[cv_2018], MATCH(tblMetaUnits[[#This Row],[Products]],tblPrices[Products],0), 0)* tblMetaUnits[[#This Row],[cv_2018]]/10^6</f>
        <v>0</v>
      </c>
      <c r="N53" s="62" cm="1">
        <f t="array" ref="N53">INDEX(tblPrices[cv_2019], MATCH(tblMetaUnits[[#This Row],[Products]],tblPrices[Products],0), 0)* tblMetaUnits[[#This Row],[cv_2019]]/10^6</f>
        <v>0</v>
      </c>
      <c r="O53" s="62" cm="1">
        <f t="array" ref="O53">INDEX(tblPrices[cv_2020], MATCH(tblMetaUnits[[#This Row],[Products]],tblPrices[Products],0), 0)* tblMetaUnits[[#This Row],[cv_2020]]/10^6</f>
        <v>0</v>
      </c>
      <c r="P53" s="62" cm="1">
        <f t="array" ref="P53">INDEX(tblPrices[cv_2021], MATCH(tblMetaUnits[[#This Row],[Products]],tblPrices[Products],0), 0)* tblMetaUnits[[#This Row],[cv_2021]]/10^6</f>
        <v>0</v>
      </c>
      <c r="Q53" s="62" cm="1">
        <f t="array" ref="Q53">INDEX(tblPrices[cv_2022], MATCH(tblMetaUnits[[#This Row],[Products]],tblPrices[Products],0), 0)* tblMetaUnits[[#This Row],[cv_2022]]/10^6</f>
        <v>0</v>
      </c>
      <c r="R53" s="62" cm="1">
        <f t="array" ref="R53">INDEX(tblPrices[cv_2023], MATCH(tblMetaUnits[[#This Row],[Products]],tblPrices[Products],0), 0)* tblMetaUnits[[#This Row],[cv_2023]]/10^6</f>
        <v>0</v>
      </c>
      <c r="S53" s="62" cm="1">
        <f t="array" ref="S53">INDEX(tblPrices[cv_2024], MATCH(tblMetaUnits[[#This Row],[Products]],tblPrices[Products],0), 0)* tblMetaUnits[[#This Row],[cv_2024]]/10^6</f>
        <v>0</v>
      </c>
      <c r="T53" s="62" cm="1">
        <f t="array" ref="T53">INDEX(tblPrices[cv_2025], MATCH(tblMetaUnits[[#This Row],[Products]],tblPrices[Products],0), 0)* tblMetaUnits[[#This Row],[cv_2025]]/10^6</f>
        <v>0</v>
      </c>
      <c r="U53" s="62" cm="1">
        <f t="array" ref="U53">INDEX(tblPrices[cv_2026], MATCH(tblMetaUnits[[#This Row],[Products]],tblPrices[Products],0), 0)* tblMetaUnits[[#This Row],[cv_2026]]/10^6</f>
        <v>0</v>
      </c>
      <c r="V53" s="62" cm="1">
        <f t="array" ref="V53">INDEX(tblPrices[cv_2027], MATCH(tblMetaUnits[[#This Row],[Products]],tblPrices[Products],0), 0)* tblMetaUnits[[#This Row],[cv_2027]]/10^6</f>
        <v>0</v>
      </c>
      <c r="W53" s="62" cm="1">
        <f t="array" ref="W53">INDEX(tblPrices[cv_2028], MATCH(tblMetaUnits[[#This Row],[Products]],tblPrices[Products],0), 0)* tblMetaUnits[[#This Row],[cv_2028]]/10^6</f>
        <v>0</v>
      </c>
      <c r="X53" s="1">
        <f>VLOOKUP(A53,Products!$A$29:$F$110,6,FALSE)</f>
        <v>800</v>
      </c>
    </row>
    <row r="54" spans="1:24" s="1" customFormat="1" ht="13.15">
      <c r="A54" s="9" t="s">
        <v>17</v>
      </c>
      <c r="B54" s="8">
        <v>0</v>
      </c>
      <c r="C54" s="8">
        <v>0</v>
      </c>
      <c r="D54" s="8"/>
      <c r="E54" s="8"/>
      <c r="F54" s="8"/>
      <c r="G54" s="8"/>
      <c r="H54" s="8"/>
      <c r="I54" s="8"/>
      <c r="J54" s="8"/>
      <c r="K54" s="8"/>
      <c r="L54" s="8"/>
      <c r="M54" s="62" cm="1">
        <f t="array" ref="M54">INDEX(tblPrices[cv_2018], MATCH(tblMetaUnits[[#This Row],[Products]],tblPrices[Products],0), 0)* tblMetaUnits[[#This Row],[cv_2018]]/10^6</f>
        <v>0</v>
      </c>
      <c r="N54" s="62" cm="1">
        <f t="array" ref="N54">INDEX(tblPrices[cv_2019], MATCH(tblMetaUnits[[#This Row],[Products]],tblPrices[Products],0), 0)* tblMetaUnits[[#This Row],[cv_2019]]/10^6</f>
        <v>0</v>
      </c>
      <c r="O54" s="62" cm="1">
        <f t="array" ref="O54">INDEX(tblPrices[cv_2020], MATCH(tblMetaUnits[[#This Row],[Products]],tblPrices[Products],0), 0)* tblMetaUnits[[#This Row],[cv_2020]]/10^6</f>
        <v>0</v>
      </c>
      <c r="P54" s="62" cm="1">
        <f t="array" ref="P54">INDEX(tblPrices[cv_2021], MATCH(tblMetaUnits[[#This Row],[Products]],tblPrices[Products],0), 0)* tblMetaUnits[[#This Row],[cv_2021]]/10^6</f>
        <v>0</v>
      </c>
      <c r="Q54" s="62" cm="1">
        <f t="array" ref="Q54">INDEX(tblPrices[cv_2022], MATCH(tblMetaUnits[[#This Row],[Products]],tblPrices[Products],0), 0)* tblMetaUnits[[#This Row],[cv_2022]]/10^6</f>
        <v>0</v>
      </c>
      <c r="R54" s="62" cm="1">
        <f t="array" ref="R54">INDEX(tblPrices[cv_2023], MATCH(tblMetaUnits[[#This Row],[Products]],tblPrices[Products],0), 0)* tblMetaUnits[[#This Row],[cv_2023]]/10^6</f>
        <v>0</v>
      </c>
      <c r="S54" s="62" cm="1">
        <f t="array" ref="S54">INDEX(tblPrices[cv_2024], MATCH(tblMetaUnits[[#This Row],[Products]],tblPrices[Products],0), 0)* tblMetaUnits[[#This Row],[cv_2024]]/10^6</f>
        <v>0</v>
      </c>
      <c r="T54" s="62" cm="1">
        <f t="array" ref="T54">INDEX(tblPrices[cv_2025], MATCH(tblMetaUnits[[#This Row],[Products]],tblPrices[Products],0), 0)* tblMetaUnits[[#This Row],[cv_2025]]/10^6</f>
        <v>0</v>
      </c>
      <c r="U54" s="62" cm="1">
        <f t="array" ref="U54">INDEX(tblPrices[cv_2026], MATCH(tblMetaUnits[[#This Row],[Products]],tblPrices[Products],0), 0)* tblMetaUnits[[#This Row],[cv_2026]]/10^6</f>
        <v>0</v>
      </c>
      <c r="V54" s="62" cm="1">
        <f t="array" ref="V54">INDEX(tblPrices[cv_2027], MATCH(tblMetaUnits[[#This Row],[Products]],tblPrices[Products],0), 0)* tblMetaUnits[[#This Row],[cv_2027]]/10^6</f>
        <v>0</v>
      </c>
      <c r="W54" s="62" cm="1">
        <f t="array" ref="W54">INDEX(tblPrices[cv_2028], MATCH(tblMetaUnits[[#This Row],[Products]],tblPrices[Products],0), 0)* tblMetaUnits[[#This Row],[cv_2028]]/10^6</f>
        <v>0</v>
      </c>
      <c r="X54" s="1">
        <f>VLOOKUP(A54,Products!$A$29:$F$110,6,FALSE)</f>
        <v>800</v>
      </c>
    </row>
    <row r="55" spans="1:24" s="1" customFormat="1" ht="13.15">
      <c r="A55" s="9" t="s">
        <v>18</v>
      </c>
      <c r="B55" s="8">
        <v>0</v>
      </c>
      <c r="C55" s="8">
        <v>0</v>
      </c>
      <c r="D55" s="8"/>
      <c r="E55" s="8"/>
      <c r="F55" s="8"/>
      <c r="G55" s="8"/>
      <c r="H55" s="8"/>
      <c r="I55" s="8"/>
      <c r="J55" s="8"/>
      <c r="K55" s="8"/>
      <c r="L55" s="8"/>
      <c r="M55" s="62" cm="1">
        <f t="array" ref="M55">INDEX(tblPrices[cv_2018], MATCH(tblMetaUnits[[#This Row],[Products]],tblPrices[Products],0), 0)* tblMetaUnits[[#This Row],[cv_2018]]/10^6</f>
        <v>0</v>
      </c>
      <c r="N55" s="62" cm="1">
        <f t="array" ref="N55">INDEX(tblPrices[cv_2019], MATCH(tblMetaUnits[[#This Row],[Products]],tblPrices[Products],0), 0)* tblMetaUnits[[#This Row],[cv_2019]]/10^6</f>
        <v>0</v>
      </c>
      <c r="O55" s="62" cm="1">
        <f t="array" ref="O55">INDEX(tblPrices[cv_2020], MATCH(tblMetaUnits[[#This Row],[Products]],tblPrices[Products],0), 0)* tblMetaUnits[[#This Row],[cv_2020]]/10^6</f>
        <v>0</v>
      </c>
      <c r="P55" s="62" cm="1">
        <f t="array" ref="P55">INDEX(tblPrices[cv_2021], MATCH(tblMetaUnits[[#This Row],[Products]],tblPrices[Products],0), 0)* tblMetaUnits[[#This Row],[cv_2021]]/10^6</f>
        <v>0</v>
      </c>
      <c r="Q55" s="62" cm="1">
        <f t="array" ref="Q55">INDEX(tblPrices[cv_2022], MATCH(tblMetaUnits[[#This Row],[Products]],tblPrices[Products],0), 0)* tblMetaUnits[[#This Row],[cv_2022]]/10^6</f>
        <v>0</v>
      </c>
      <c r="R55" s="62" cm="1">
        <f t="array" ref="R55">INDEX(tblPrices[cv_2023], MATCH(tblMetaUnits[[#This Row],[Products]],tblPrices[Products],0), 0)* tblMetaUnits[[#This Row],[cv_2023]]/10^6</f>
        <v>0</v>
      </c>
      <c r="S55" s="62" cm="1">
        <f t="array" ref="S55">INDEX(tblPrices[cv_2024], MATCH(tblMetaUnits[[#This Row],[Products]],tblPrices[Products],0), 0)* tblMetaUnits[[#This Row],[cv_2024]]/10^6</f>
        <v>0</v>
      </c>
      <c r="T55" s="62" cm="1">
        <f t="array" ref="T55">INDEX(tblPrices[cv_2025], MATCH(tblMetaUnits[[#This Row],[Products]],tblPrices[Products],0), 0)* tblMetaUnits[[#This Row],[cv_2025]]/10^6</f>
        <v>0</v>
      </c>
      <c r="U55" s="62" cm="1">
        <f t="array" ref="U55">INDEX(tblPrices[cv_2026], MATCH(tblMetaUnits[[#This Row],[Products]],tblPrices[Products],0), 0)* tblMetaUnits[[#This Row],[cv_2026]]/10^6</f>
        <v>0</v>
      </c>
      <c r="V55" s="62" cm="1">
        <f t="array" ref="V55">INDEX(tblPrices[cv_2027], MATCH(tblMetaUnits[[#This Row],[Products]],tblPrices[Products],0), 0)* tblMetaUnits[[#This Row],[cv_2027]]/10^6</f>
        <v>0</v>
      </c>
      <c r="W55" s="62" cm="1">
        <f t="array" ref="W55">INDEX(tblPrices[cv_2028], MATCH(tblMetaUnits[[#This Row],[Products]],tblPrices[Products],0), 0)* tblMetaUnits[[#This Row],[cv_2028]]/10^6</f>
        <v>0</v>
      </c>
      <c r="X55" s="1">
        <f>VLOOKUP(A55,Products!$A$29:$F$110,6,FALSE)</f>
        <v>1600</v>
      </c>
    </row>
    <row r="56" spans="1:24" s="1" customFormat="1" ht="13.15">
      <c r="A56" s="9" t="s">
        <v>19</v>
      </c>
      <c r="B56" s="8">
        <v>0</v>
      </c>
      <c r="C56" s="8">
        <v>0</v>
      </c>
      <c r="D56" s="8"/>
      <c r="E56" s="8"/>
      <c r="F56" s="8"/>
      <c r="G56" s="8"/>
      <c r="H56" s="8"/>
      <c r="I56" s="8"/>
      <c r="J56" s="8"/>
      <c r="K56" s="8"/>
      <c r="L56" s="8"/>
      <c r="M56" s="62" cm="1">
        <f t="array" ref="M56">INDEX(tblPrices[cv_2018], MATCH(tblMetaUnits[[#This Row],[Products]],tblPrices[Products],0), 0)* tblMetaUnits[[#This Row],[cv_2018]]/10^6</f>
        <v>0</v>
      </c>
      <c r="N56" s="62" cm="1">
        <f t="array" ref="N56">INDEX(tblPrices[cv_2019], MATCH(tblMetaUnits[[#This Row],[Products]],tblPrices[Products],0), 0)* tblMetaUnits[[#This Row],[cv_2019]]/10^6</f>
        <v>0</v>
      </c>
      <c r="O56" s="62" cm="1">
        <f t="array" ref="O56">INDEX(tblPrices[cv_2020], MATCH(tblMetaUnits[[#This Row],[Products]],tblPrices[Products],0), 0)* tblMetaUnits[[#This Row],[cv_2020]]/10^6</f>
        <v>0</v>
      </c>
      <c r="P56" s="62" cm="1">
        <f t="array" ref="P56">INDEX(tblPrices[cv_2021], MATCH(tblMetaUnits[[#This Row],[Products]],tblPrices[Products],0), 0)* tblMetaUnits[[#This Row],[cv_2021]]/10^6</f>
        <v>0</v>
      </c>
      <c r="Q56" s="62" cm="1">
        <f t="array" ref="Q56">INDEX(tblPrices[cv_2022], MATCH(tblMetaUnits[[#This Row],[Products]],tblPrices[Products],0), 0)* tblMetaUnits[[#This Row],[cv_2022]]/10^6</f>
        <v>0</v>
      </c>
      <c r="R56" s="62" cm="1">
        <f t="array" ref="R56">INDEX(tblPrices[cv_2023], MATCH(tblMetaUnits[[#This Row],[Products]],tblPrices[Products],0), 0)* tblMetaUnits[[#This Row],[cv_2023]]/10^6</f>
        <v>0</v>
      </c>
      <c r="S56" s="62" cm="1">
        <f t="array" ref="S56">INDEX(tblPrices[cv_2024], MATCH(tblMetaUnits[[#This Row],[Products]],tblPrices[Products],0), 0)* tblMetaUnits[[#This Row],[cv_2024]]/10^6</f>
        <v>0</v>
      </c>
      <c r="T56" s="62" cm="1">
        <f t="array" ref="T56">INDEX(tblPrices[cv_2025], MATCH(tblMetaUnits[[#This Row],[Products]],tblPrices[Products],0), 0)* tblMetaUnits[[#This Row],[cv_2025]]/10^6</f>
        <v>0</v>
      </c>
      <c r="U56" s="62" cm="1">
        <f t="array" ref="U56">INDEX(tblPrices[cv_2026], MATCH(tblMetaUnits[[#This Row],[Products]],tblPrices[Products],0), 0)* tblMetaUnits[[#This Row],[cv_2026]]/10^6</f>
        <v>0</v>
      </c>
      <c r="V56" s="62" cm="1">
        <f t="array" ref="V56">INDEX(tblPrices[cv_2027], MATCH(tblMetaUnits[[#This Row],[Products]],tblPrices[Products],0), 0)* tblMetaUnits[[#This Row],[cv_2027]]/10^6</f>
        <v>0</v>
      </c>
      <c r="W56" s="62" cm="1">
        <f t="array" ref="W56">INDEX(tblPrices[cv_2028], MATCH(tblMetaUnits[[#This Row],[Products]],tblPrices[Products],0), 0)* tblMetaUnits[[#This Row],[cv_2028]]/10^6</f>
        <v>0</v>
      </c>
      <c r="X56" s="1">
        <f>VLOOKUP(A56,Products!$A$29:$F$110,6,FALSE)</f>
        <v>1600</v>
      </c>
    </row>
    <row r="57" spans="1:24" s="1" customFormat="1" ht="13.15">
      <c r="A57" s="72" t="s">
        <v>20</v>
      </c>
      <c r="B57" s="73">
        <v>0</v>
      </c>
      <c r="C57" s="73">
        <v>0</v>
      </c>
      <c r="D57" s="73"/>
      <c r="E57" s="73"/>
      <c r="F57" s="73"/>
      <c r="G57" s="73"/>
      <c r="H57" s="73"/>
      <c r="I57" s="73"/>
      <c r="J57" s="73"/>
      <c r="K57" s="73"/>
      <c r="L57" s="73"/>
      <c r="M57" s="115" cm="1">
        <f t="array" ref="M57">INDEX(tblPrices[cv_2018], MATCH(tblMetaUnits[[#This Row],[Products]],tblPrices[Products],0), 0)* tblMetaUnits[[#This Row],[cv_2018]]/10^6</f>
        <v>0</v>
      </c>
      <c r="N57" s="115" cm="1">
        <f t="array" ref="N57">INDEX(tblPrices[cv_2019], MATCH(tblMetaUnits[[#This Row],[Products]],tblPrices[Products],0), 0)* tblMetaUnits[[#This Row],[cv_2019]]/10^6</f>
        <v>0</v>
      </c>
      <c r="O57" s="115" cm="1">
        <f t="array" ref="O57">INDEX(tblPrices[cv_2020], MATCH(tblMetaUnits[[#This Row],[Products]],tblPrices[Products],0), 0)* tblMetaUnits[[#This Row],[cv_2020]]/10^6</f>
        <v>0</v>
      </c>
      <c r="P57" s="115" cm="1">
        <f t="array" ref="P57">INDEX(tblPrices[cv_2021], MATCH(tblMetaUnits[[#This Row],[Products]],tblPrices[Products],0), 0)* tblMetaUnits[[#This Row],[cv_2021]]/10^6</f>
        <v>0</v>
      </c>
      <c r="Q57" s="115" cm="1">
        <f t="array" ref="Q57">INDEX(tblPrices[cv_2022], MATCH(tblMetaUnits[[#This Row],[Products]],tblPrices[Products],0), 0)* tblMetaUnits[[#This Row],[cv_2022]]/10^6</f>
        <v>0</v>
      </c>
      <c r="R57" s="115" cm="1">
        <f t="array" ref="R57">INDEX(tblPrices[cv_2023], MATCH(tblMetaUnits[[#This Row],[Products]],tblPrices[Products],0), 0)* tblMetaUnits[[#This Row],[cv_2023]]/10^6</f>
        <v>0</v>
      </c>
      <c r="S57" s="115" cm="1">
        <f t="array" ref="S57">INDEX(tblPrices[cv_2024], MATCH(tblMetaUnits[[#This Row],[Products]],tblPrices[Products],0), 0)* tblMetaUnits[[#This Row],[cv_2024]]/10^6</f>
        <v>0</v>
      </c>
      <c r="T57" s="115" cm="1">
        <f t="array" ref="T57">INDEX(tblPrices[cv_2025], MATCH(tblMetaUnits[[#This Row],[Products]],tblPrices[Products],0), 0)* tblMetaUnits[[#This Row],[cv_2025]]/10^6</f>
        <v>0</v>
      </c>
      <c r="U57" s="115" cm="1">
        <f t="array" ref="U57">INDEX(tblPrices[cv_2026], MATCH(tblMetaUnits[[#This Row],[Products]],tblPrices[Products],0), 0)* tblMetaUnits[[#This Row],[cv_2026]]/10^6</f>
        <v>0</v>
      </c>
      <c r="V57" s="115" cm="1">
        <f t="array" ref="V57">INDEX(tblPrices[cv_2027], MATCH(tblMetaUnits[[#This Row],[Products]],tblPrices[Products],0), 0)* tblMetaUnits[[#This Row],[cv_2027]]/10^6</f>
        <v>0</v>
      </c>
      <c r="W57" s="115" cm="1">
        <f t="array" ref="W57">INDEX(tblPrices[cv_2028], MATCH(tblMetaUnits[[#This Row],[Products]],tblPrices[Products],0), 0)* tblMetaUnits[[#This Row],[cv_2028]]/10^6</f>
        <v>0</v>
      </c>
      <c r="X57" s="4">
        <f>VLOOKUP(A57,Products!$A$29:$F$110,6,FALSE)</f>
        <v>1600</v>
      </c>
    </row>
    <row r="58" spans="1:24" s="1" customFormat="1" ht="13.15">
      <c r="A58" s="9" t="s">
        <v>21</v>
      </c>
      <c r="B58" s="8">
        <v>5770.9134000000013</v>
      </c>
      <c r="C58" s="8">
        <v>3678.5107290667543</v>
      </c>
      <c r="D58" s="8"/>
      <c r="E58" s="8"/>
      <c r="F58" s="8"/>
      <c r="G58" s="8"/>
      <c r="H58" s="8"/>
      <c r="I58" s="8"/>
      <c r="J58" s="8"/>
      <c r="K58" s="8"/>
      <c r="L58" s="8"/>
      <c r="M58" s="62" cm="1">
        <f t="array" ref="M58">INDEX(tblPrices[cv_2018], MATCH(tblMetaUnits[[#This Row],[Products]],tblPrices[Products],0), 0)* tblMetaUnits[[#This Row],[cv_2018]]/10^6</f>
        <v>2.7646957465932185</v>
      </c>
      <c r="N58" s="62" cm="1">
        <f t="array" ref="N58">INDEX(tblPrices[cv_2019], MATCH(tblMetaUnits[[#This Row],[Products]],tblPrices[Products],0), 0)* tblMetaUnits[[#This Row],[cv_2019]]/10^6</f>
        <v>1.4406182854953333</v>
      </c>
      <c r="O58" s="62" cm="1">
        <f t="array" ref="O58">INDEX(tblPrices[cv_2020], MATCH(tblMetaUnits[[#This Row],[Products]],tblPrices[Products],0), 0)* tblMetaUnits[[#This Row],[cv_2020]]/10^6</f>
        <v>0</v>
      </c>
      <c r="P58" s="62" cm="1">
        <f t="array" ref="P58">INDEX(tblPrices[cv_2021], MATCH(tblMetaUnits[[#This Row],[Products]],tblPrices[Products],0), 0)* tblMetaUnits[[#This Row],[cv_2021]]/10^6</f>
        <v>0</v>
      </c>
      <c r="Q58" s="62" cm="1">
        <f t="array" ref="Q58">INDEX(tblPrices[cv_2022], MATCH(tblMetaUnits[[#This Row],[Products]],tblPrices[Products],0), 0)* tblMetaUnits[[#This Row],[cv_2022]]/10^6</f>
        <v>0</v>
      </c>
      <c r="R58" s="62" cm="1">
        <f t="array" ref="R58">INDEX(tblPrices[cv_2023], MATCH(tblMetaUnits[[#This Row],[Products]],tblPrices[Products],0), 0)* tblMetaUnits[[#This Row],[cv_2023]]/10^6</f>
        <v>0</v>
      </c>
      <c r="S58" s="62" cm="1">
        <f t="array" ref="S58">INDEX(tblPrices[cv_2024], MATCH(tblMetaUnits[[#This Row],[Products]],tblPrices[Products],0), 0)* tblMetaUnits[[#This Row],[cv_2024]]/10^6</f>
        <v>0</v>
      </c>
      <c r="T58" s="62" cm="1">
        <f t="array" ref="T58">INDEX(tblPrices[cv_2025], MATCH(tblMetaUnits[[#This Row],[Products]],tblPrices[Products],0), 0)* tblMetaUnits[[#This Row],[cv_2025]]/10^6</f>
        <v>0</v>
      </c>
      <c r="U58" s="62" cm="1">
        <f t="array" ref="U58">INDEX(tblPrices[cv_2026], MATCH(tblMetaUnits[[#This Row],[Products]],tblPrices[Products],0), 0)* tblMetaUnits[[#This Row],[cv_2026]]/10^6</f>
        <v>0</v>
      </c>
      <c r="V58" s="62" cm="1">
        <f t="array" ref="V58">INDEX(tblPrices[cv_2027], MATCH(tblMetaUnits[[#This Row],[Products]],tblPrices[Products],0), 0)* tblMetaUnits[[#This Row],[cv_2027]]/10^6</f>
        <v>0</v>
      </c>
      <c r="W58" s="62" cm="1">
        <f t="array" ref="W58">INDEX(tblPrices[cv_2028], MATCH(tblMetaUnits[[#This Row],[Products]],tblPrices[Products],0), 0)* tblMetaUnits[[#This Row],[cv_2028]]/10^6</f>
        <v>0</v>
      </c>
      <c r="X58" s="1">
        <f>VLOOKUP(A58,Products!$A$29:$F$110,6,FALSE)</f>
        <v>10</v>
      </c>
    </row>
    <row r="59" spans="1:24" s="1" customFormat="1" ht="13.15">
      <c r="A59" s="9" t="s">
        <v>22</v>
      </c>
      <c r="B59" s="8">
        <v>0</v>
      </c>
      <c r="C59" s="8">
        <v>0</v>
      </c>
      <c r="D59" s="8"/>
      <c r="E59" s="8"/>
      <c r="F59" s="8"/>
      <c r="G59" s="8"/>
      <c r="H59" s="8"/>
      <c r="I59" s="8"/>
      <c r="J59" s="8"/>
      <c r="K59" s="8"/>
      <c r="L59" s="8"/>
      <c r="M59" s="62" cm="1">
        <f t="array" ref="M59">INDEX(tblPrices[cv_2018], MATCH(tblMetaUnits[[#This Row],[Products]],tblPrices[Products],0), 0)* tblMetaUnits[[#This Row],[cv_2018]]/10^6</f>
        <v>0</v>
      </c>
      <c r="N59" s="62" cm="1">
        <f t="array" ref="N59">INDEX(tblPrices[cv_2019], MATCH(tblMetaUnits[[#This Row],[Products]],tblPrices[Products],0), 0)* tblMetaUnits[[#This Row],[cv_2019]]/10^6</f>
        <v>0</v>
      </c>
      <c r="O59" s="62" cm="1">
        <f t="array" ref="O59">INDEX(tblPrices[cv_2020], MATCH(tblMetaUnits[[#This Row],[Products]],tblPrices[Products],0), 0)* tblMetaUnits[[#This Row],[cv_2020]]/10^6</f>
        <v>0</v>
      </c>
      <c r="P59" s="62" cm="1">
        <f t="array" ref="P59">INDEX(tblPrices[cv_2021], MATCH(tblMetaUnits[[#This Row],[Products]],tblPrices[Products],0), 0)* tblMetaUnits[[#This Row],[cv_2021]]/10^6</f>
        <v>0</v>
      </c>
      <c r="Q59" s="62" cm="1">
        <f t="array" ref="Q59">INDEX(tblPrices[cv_2022], MATCH(tblMetaUnits[[#This Row],[Products]],tblPrices[Products],0), 0)* tblMetaUnits[[#This Row],[cv_2022]]/10^6</f>
        <v>0</v>
      </c>
      <c r="R59" s="62" cm="1">
        <f t="array" ref="R59">INDEX(tblPrices[cv_2023], MATCH(tblMetaUnits[[#This Row],[Products]],tblPrices[Products],0), 0)* tblMetaUnits[[#This Row],[cv_2023]]/10^6</f>
        <v>0</v>
      </c>
      <c r="S59" s="62" cm="1">
        <f t="array" ref="S59">INDEX(tblPrices[cv_2024], MATCH(tblMetaUnits[[#This Row],[Products]],tblPrices[Products],0), 0)* tblMetaUnits[[#This Row],[cv_2024]]/10^6</f>
        <v>0</v>
      </c>
      <c r="T59" s="62" cm="1">
        <f t="array" ref="T59">INDEX(tblPrices[cv_2025], MATCH(tblMetaUnits[[#This Row],[Products]],tblPrices[Products],0), 0)* tblMetaUnits[[#This Row],[cv_2025]]/10^6</f>
        <v>0</v>
      </c>
      <c r="U59" s="62" cm="1">
        <f t="array" ref="U59">INDEX(tblPrices[cv_2026], MATCH(tblMetaUnits[[#This Row],[Products]],tblPrices[Products],0), 0)* tblMetaUnits[[#This Row],[cv_2026]]/10^6</f>
        <v>0</v>
      </c>
      <c r="V59" s="62" cm="1">
        <f t="array" ref="V59">INDEX(tblPrices[cv_2027], MATCH(tblMetaUnits[[#This Row],[Products]],tblPrices[Products],0), 0)* tblMetaUnits[[#This Row],[cv_2027]]/10^6</f>
        <v>0</v>
      </c>
      <c r="W59" s="62" cm="1">
        <f t="array" ref="W59">INDEX(tblPrices[cv_2028], MATCH(tblMetaUnits[[#This Row],[Products]],tblPrices[Products],0), 0)* tblMetaUnits[[#This Row],[cv_2028]]/10^6</f>
        <v>0</v>
      </c>
      <c r="X59" s="1">
        <f>VLOOKUP(A59,Products!$A$29:$F$110,6,FALSE)</f>
        <v>40</v>
      </c>
    </row>
    <row r="60" spans="1:24" s="1" customFormat="1" ht="13.15">
      <c r="A60" s="9" t="s">
        <v>23</v>
      </c>
      <c r="B60" s="8">
        <v>13910.315047058826</v>
      </c>
      <c r="C60" s="8">
        <v>6624.6060000000025</v>
      </c>
      <c r="D60" s="8"/>
      <c r="E60" s="8"/>
      <c r="F60" s="8"/>
      <c r="G60" s="8"/>
      <c r="H60" s="8"/>
      <c r="I60" s="8"/>
      <c r="J60" s="8"/>
      <c r="K60" s="8"/>
      <c r="L60" s="8"/>
      <c r="M60" s="62" cm="1">
        <f t="array" ref="M60">INDEX(tblPrices[cv_2018], MATCH(tblMetaUnits[[#This Row],[Products]],tblPrices[Products],0), 0)* tblMetaUnits[[#This Row],[cv_2018]]/10^6</f>
        <v>111.28252037647061</v>
      </c>
      <c r="N60" s="62" cm="1">
        <f t="array" ref="N60">INDEX(tblPrices[cv_2019], MATCH(tblMetaUnits[[#This Row],[Products]],tblPrices[Products],0), 0)* tblMetaUnits[[#This Row],[cv_2019]]/10^6</f>
        <v>42.397478400000011</v>
      </c>
      <c r="O60" s="62" cm="1">
        <f t="array" ref="O60">INDEX(tblPrices[cv_2020], MATCH(tblMetaUnits[[#This Row],[Products]],tblPrices[Products],0), 0)* tblMetaUnits[[#This Row],[cv_2020]]/10^6</f>
        <v>0</v>
      </c>
      <c r="P60" s="62" cm="1">
        <f t="array" ref="P60">INDEX(tblPrices[cv_2021], MATCH(tblMetaUnits[[#This Row],[Products]],tblPrices[Products],0), 0)* tblMetaUnits[[#This Row],[cv_2021]]/10^6</f>
        <v>0</v>
      </c>
      <c r="Q60" s="62" cm="1">
        <f t="array" ref="Q60">INDEX(tblPrices[cv_2022], MATCH(tblMetaUnits[[#This Row],[Products]],tblPrices[Products],0), 0)* tblMetaUnits[[#This Row],[cv_2022]]/10^6</f>
        <v>0</v>
      </c>
      <c r="R60" s="62" cm="1">
        <f t="array" ref="R60">INDEX(tblPrices[cv_2023], MATCH(tblMetaUnits[[#This Row],[Products]],tblPrices[Products],0), 0)* tblMetaUnits[[#This Row],[cv_2023]]/10^6</f>
        <v>0</v>
      </c>
      <c r="S60" s="62" cm="1">
        <f t="array" ref="S60">INDEX(tblPrices[cv_2024], MATCH(tblMetaUnits[[#This Row],[Products]],tblPrices[Products],0), 0)* tblMetaUnits[[#This Row],[cv_2024]]/10^6</f>
        <v>0</v>
      </c>
      <c r="T60" s="62" cm="1">
        <f t="array" ref="T60">INDEX(tblPrices[cv_2025], MATCH(tblMetaUnits[[#This Row],[Products]],tblPrices[Products],0), 0)* tblMetaUnits[[#This Row],[cv_2025]]/10^6</f>
        <v>0</v>
      </c>
      <c r="U60" s="62" cm="1">
        <f t="array" ref="U60">INDEX(tblPrices[cv_2026], MATCH(tblMetaUnits[[#This Row],[Products]],tblPrices[Products],0), 0)* tblMetaUnits[[#This Row],[cv_2026]]/10^6</f>
        <v>0</v>
      </c>
      <c r="V60" s="62" cm="1">
        <f t="array" ref="V60">INDEX(tblPrices[cv_2027], MATCH(tblMetaUnits[[#This Row],[Products]],tblPrices[Products],0), 0)* tblMetaUnits[[#This Row],[cv_2027]]/10^6</f>
        <v>0</v>
      </c>
      <c r="W60" s="62" cm="1">
        <f t="array" ref="W60">INDEX(tblPrices[cv_2028], MATCH(tblMetaUnits[[#This Row],[Products]],tblPrices[Products],0), 0)* tblMetaUnits[[#This Row],[cv_2028]]/10^6</f>
        <v>0</v>
      </c>
      <c r="X60" s="1">
        <f>VLOOKUP(A60,Products!$A$29:$F$110,6,FALSE)</f>
        <v>100</v>
      </c>
    </row>
    <row r="61" spans="1:24" s="1" customFormat="1" ht="13.15">
      <c r="A61" s="9" t="s">
        <v>24</v>
      </c>
      <c r="B61" s="8">
        <v>0</v>
      </c>
      <c r="C61" s="8">
        <v>0</v>
      </c>
      <c r="D61" s="8"/>
      <c r="E61" s="8"/>
      <c r="F61" s="8"/>
      <c r="G61" s="8"/>
      <c r="H61" s="8"/>
      <c r="I61" s="8"/>
      <c r="J61" s="8"/>
      <c r="K61" s="8"/>
      <c r="L61" s="8"/>
      <c r="M61" s="62" cm="1">
        <f t="array" ref="M61">INDEX(tblPrices[cv_2018], MATCH(tblMetaUnits[[#This Row],[Products]],tblPrices[Products],0), 0)* tblMetaUnits[[#This Row],[cv_2018]]/10^6</f>
        <v>0</v>
      </c>
      <c r="N61" s="62" cm="1">
        <f t="array" ref="N61">INDEX(tblPrices[cv_2019], MATCH(tblMetaUnits[[#This Row],[Products]],tblPrices[Products],0), 0)* tblMetaUnits[[#This Row],[cv_2019]]/10^6</f>
        <v>0</v>
      </c>
      <c r="O61" s="62" cm="1">
        <f t="array" ref="O61">INDEX(tblPrices[cv_2020], MATCH(tblMetaUnits[[#This Row],[Products]],tblPrices[Products],0), 0)* tblMetaUnits[[#This Row],[cv_2020]]/10^6</f>
        <v>0</v>
      </c>
      <c r="P61" s="62" cm="1">
        <f t="array" ref="P61">INDEX(tblPrices[cv_2021], MATCH(tblMetaUnits[[#This Row],[Products]],tblPrices[Products],0), 0)* tblMetaUnits[[#This Row],[cv_2021]]/10^6</f>
        <v>0</v>
      </c>
      <c r="Q61" s="62" cm="1">
        <f t="array" ref="Q61">INDEX(tblPrices[cv_2022], MATCH(tblMetaUnits[[#This Row],[Products]],tblPrices[Products],0), 0)* tblMetaUnits[[#This Row],[cv_2022]]/10^6</f>
        <v>0</v>
      </c>
      <c r="R61" s="62" cm="1">
        <f t="array" ref="R61">INDEX(tblPrices[cv_2023], MATCH(tblMetaUnits[[#This Row],[Products]],tblPrices[Products],0), 0)* tblMetaUnits[[#This Row],[cv_2023]]/10^6</f>
        <v>0</v>
      </c>
      <c r="S61" s="62" cm="1">
        <f t="array" ref="S61">INDEX(tblPrices[cv_2024], MATCH(tblMetaUnits[[#This Row],[Products]],tblPrices[Products],0), 0)* tblMetaUnits[[#This Row],[cv_2024]]/10^6</f>
        <v>0</v>
      </c>
      <c r="T61" s="62" cm="1">
        <f t="array" ref="T61">INDEX(tblPrices[cv_2025], MATCH(tblMetaUnits[[#This Row],[Products]],tblPrices[Products],0), 0)* tblMetaUnits[[#This Row],[cv_2025]]/10^6</f>
        <v>0</v>
      </c>
      <c r="U61" s="62" cm="1">
        <f t="array" ref="U61">INDEX(tblPrices[cv_2026], MATCH(tblMetaUnits[[#This Row],[Products]],tblPrices[Products],0), 0)* tblMetaUnits[[#This Row],[cv_2026]]/10^6</f>
        <v>0</v>
      </c>
      <c r="V61" s="62" cm="1">
        <f t="array" ref="V61">INDEX(tblPrices[cv_2027], MATCH(tblMetaUnits[[#This Row],[Products]],tblPrices[Products],0), 0)* tblMetaUnits[[#This Row],[cv_2027]]/10^6</f>
        <v>0</v>
      </c>
      <c r="W61" s="62" cm="1">
        <f t="array" ref="W61">INDEX(tblPrices[cv_2028], MATCH(tblMetaUnits[[#This Row],[Products]],tblPrices[Products],0), 0)* tblMetaUnits[[#This Row],[cv_2028]]/10^6</f>
        <v>0</v>
      </c>
      <c r="X61" s="1">
        <f>VLOOKUP(A61,Products!$A$29:$F$110,6,FALSE)</f>
        <v>100</v>
      </c>
    </row>
    <row r="62" spans="1:24" s="1" customFormat="1" ht="13.15">
      <c r="A62" s="9" t="s">
        <v>25</v>
      </c>
      <c r="B62" s="8">
        <v>1655.0883095238096</v>
      </c>
      <c r="C62" s="8">
        <v>1851.7344000000003</v>
      </c>
      <c r="D62" s="8"/>
      <c r="E62" s="8"/>
      <c r="F62" s="8"/>
      <c r="G62" s="8"/>
      <c r="H62" s="8"/>
      <c r="I62" s="8"/>
      <c r="J62" s="8"/>
      <c r="K62" s="8"/>
      <c r="L62" s="8"/>
      <c r="M62" s="62" cm="1">
        <f t="array" ref="M62">INDEX(tblPrices[cv_2018], MATCH(tblMetaUnits[[#This Row],[Products]],tblPrices[Products],0), 0)* tblMetaUnits[[#This Row],[cv_2018]]/10^6</f>
        <v>9.1029857023809537</v>
      </c>
      <c r="N62" s="62" cm="1">
        <f t="array" ref="N62">INDEX(tblPrices[cv_2019], MATCH(tblMetaUnits[[#This Row],[Products]],tblPrices[Products],0), 0)* tblMetaUnits[[#This Row],[cv_2019]]/10^6</f>
        <v>8.1476313600000019</v>
      </c>
      <c r="O62" s="62" cm="1">
        <f t="array" ref="O62">INDEX(tblPrices[cv_2020], MATCH(tblMetaUnits[[#This Row],[Products]],tblPrices[Products],0), 0)* tblMetaUnits[[#This Row],[cv_2020]]/10^6</f>
        <v>0</v>
      </c>
      <c r="P62" s="62" cm="1">
        <f t="array" ref="P62">INDEX(tblPrices[cv_2021], MATCH(tblMetaUnits[[#This Row],[Products]],tblPrices[Products],0), 0)* tblMetaUnits[[#This Row],[cv_2021]]/10^6</f>
        <v>0</v>
      </c>
      <c r="Q62" s="62" cm="1">
        <f t="array" ref="Q62">INDEX(tblPrices[cv_2022], MATCH(tblMetaUnits[[#This Row],[Products]],tblPrices[Products],0), 0)* tblMetaUnits[[#This Row],[cv_2022]]/10^6</f>
        <v>0</v>
      </c>
      <c r="R62" s="62" cm="1">
        <f t="array" ref="R62">INDEX(tblPrices[cv_2023], MATCH(tblMetaUnits[[#This Row],[Products]],tblPrices[Products],0), 0)* tblMetaUnits[[#This Row],[cv_2023]]/10^6</f>
        <v>0</v>
      </c>
      <c r="S62" s="62" cm="1">
        <f t="array" ref="S62">INDEX(tblPrices[cv_2024], MATCH(tblMetaUnits[[#This Row],[Products]],tblPrices[Products],0), 0)* tblMetaUnits[[#This Row],[cv_2024]]/10^6</f>
        <v>0</v>
      </c>
      <c r="T62" s="62" cm="1">
        <f t="array" ref="T62">INDEX(tblPrices[cv_2025], MATCH(tblMetaUnits[[#This Row],[Products]],tblPrices[Products],0), 0)* tblMetaUnits[[#This Row],[cv_2025]]/10^6</f>
        <v>0</v>
      </c>
      <c r="U62" s="62" cm="1">
        <f t="array" ref="U62">INDEX(tblPrices[cv_2026], MATCH(tblMetaUnits[[#This Row],[Products]],tblPrices[Products],0), 0)* tblMetaUnits[[#This Row],[cv_2026]]/10^6</f>
        <v>0</v>
      </c>
      <c r="V62" s="62" cm="1">
        <f t="array" ref="V62">INDEX(tblPrices[cv_2027], MATCH(tblMetaUnits[[#This Row],[Products]],tblPrices[Products],0), 0)* tblMetaUnits[[#This Row],[cv_2027]]/10^6</f>
        <v>0</v>
      </c>
      <c r="W62" s="62" cm="1">
        <f t="array" ref="W62">INDEX(tblPrices[cv_2028], MATCH(tblMetaUnits[[#This Row],[Products]],tblPrices[Products],0), 0)* tblMetaUnits[[#This Row],[cv_2028]]/10^6</f>
        <v>0</v>
      </c>
      <c r="X62" s="1">
        <f>VLOOKUP(A62,Products!$A$29:$F$110,6,FALSE)</f>
        <v>100</v>
      </c>
    </row>
    <row r="63" spans="1:24" s="1" customFormat="1" ht="13.15">
      <c r="A63" s="16" t="s">
        <v>26</v>
      </c>
      <c r="B63" s="8">
        <v>0</v>
      </c>
      <c r="C63" s="8">
        <v>0</v>
      </c>
      <c r="D63" s="8"/>
      <c r="E63" s="8"/>
      <c r="F63" s="8"/>
      <c r="G63" s="8"/>
      <c r="H63" s="8"/>
      <c r="I63" s="8"/>
      <c r="J63" s="8"/>
      <c r="K63" s="8"/>
      <c r="L63" s="8"/>
      <c r="M63" s="62" cm="1">
        <f t="array" ref="M63">INDEX(tblPrices[cv_2018], MATCH(tblMetaUnits[[#This Row],[Products]],tblPrices[Products],0), 0)* tblMetaUnits[[#This Row],[cv_2018]]/10^6</f>
        <v>0</v>
      </c>
      <c r="N63" s="62" cm="1">
        <f t="array" ref="N63">INDEX(tblPrices[cv_2019], MATCH(tblMetaUnits[[#This Row],[Products]],tblPrices[Products],0), 0)* tblMetaUnits[[#This Row],[cv_2019]]/10^6</f>
        <v>0</v>
      </c>
      <c r="O63" s="62" cm="1">
        <f t="array" ref="O63">INDEX(tblPrices[cv_2020], MATCH(tblMetaUnits[[#This Row],[Products]],tblPrices[Products],0), 0)* tblMetaUnits[[#This Row],[cv_2020]]/10^6</f>
        <v>0</v>
      </c>
      <c r="P63" s="62" cm="1">
        <f t="array" ref="P63">INDEX(tblPrices[cv_2021], MATCH(tblMetaUnits[[#This Row],[Products]],tblPrices[Products],0), 0)* tblMetaUnits[[#This Row],[cv_2021]]/10^6</f>
        <v>0</v>
      </c>
      <c r="Q63" s="62" cm="1">
        <f t="array" ref="Q63">INDEX(tblPrices[cv_2022], MATCH(tblMetaUnits[[#This Row],[Products]],tblPrices[Products],0), 0)* tblMetaUnits[[#This Row],[cv_2022]]/10^6</f>
        <v>0</v>
      </c>
      <c r="R63" s="62" cm="1">
        <f t="array" ref="R63">INDEX(tblPrices[cv_2023], MATCH(tblMetaUnits[[#This Row],[Products]],tblPrices[Products],0), 0)* tblMetaUnits[[#This Row],[cv_2023]]/10^6</f>
        <v>0</v>
      </c>
      <c r="S63" s="62" cm="1">
        <f t="array" ref="S63">INDEX(tblPrices[cv_2024], MATCH(tblMetaUnits[[#This Row],[Products]],tblPrices[Products],0), 0)* tblMetaUnits[[#This Row],[cv_2024]]/10^6</f>
        <v>0</v>
      </c>
      <c r="T63" s="62" cm="1">
        <f t="array" ref="T63">INDEX(tblPrices[cv_2025], MATCH(tblMetaUnits[[#This Row],[Products]],tblPrices[Products],0), 0)* tblMetaUnits[[#This Row],[cv_2025]]/10^6</f>
        <v>0</v>
      </c>
      <c r="U63" s="62" cm="1">
        <f t="array" ref="U63">INDEX(tblPrices[cv_2026], MATCH(tblMetaUnits[[#This Row],[Products]],tblPrices[Products],0), 0)* tblMetaUnits[[#This Row],[cv_2026]]/10^6</f>
        <v>0</v>
      </c>
      <c r="V63" s="62" cm="1">
        <f t="array" ref="V63">INDEX(tblPrices[cv_2027], MATCH(tblMetaUnits[[#This Row],[Products]],tblPrices[Products],0), 0)* tblMetaUnits[[#This Row],[cv_2027]]/10^6</f>
        <v>0</v>
      </c>
      <c r="W63" s="62" cm="1">
        <f t="array" ref="W63">INDEX(tblPrices[cv_2028], MATCH(tblMetaUnits[[#This Row],[Products]],tblPrices[Products],0), 0)* tblMetaUnits[[#This Row],[cv_2028]]/10^6</f>
        <v>0</v>
      </c>
      <c r="X63" s="1">
        <f>VLOOKUP(A63,Products!$A$29:$F$110,6,FALSE)</f>
        <v>100</v>
      </c>
    </row>
    <row r="64" spans="1:24" s="1" customFormat="1" ht="13.15">
      <c r="A64" s="16" t="s">
        <v>27</v>
      </c>
      <c r="B64" s="8">
        <v>0</v>
      </c>
      <c r="C64" s="8">
        <v>0</v>
      </c>
      <c r="D64" s="8"/>
      <c r="E64" s="8"/>
      <c r="F64" s="8"/>
      <c r="G64" s="8"/>
      <c r="H64" s="8"/>
      <c r="I64" s="8"/>
      <c r="J64" s="8"/>
      <c r="K64" s="8"/>
      <c r="L64" s="8"/>
      <c r="M64" s="62" cm="1">
        <f t="array" ref="M64">INDEX(tblPrices[cv_2018], MATCH(tblMetaUnits[[#This Row],[Products]],tblPrices[Products],0), 0)* tblMetaUnits[[#This Row],[cv_2018]]/10^6</f>
        <v>0</v>
      </c>
      <c r="N64" s="62" cm="1">
        <f t="array" ref="N64">INDEX(tblPrices[cv_2019], MATCH(tblMetaUnits[[#This Row],[Products]],tblPrices[Products],0), 0)* tblMetaUnits[[#This Row],[cv_2019]]/10^6</f>
        <v>0</v>
      </c>
      <c r="O64" s="62" cm="1">
        <f t="array" ref="O64">INDEX(tblPrices[cv_2020], MATCH(tblMetaUnits[[#This Row],[Products]],tblPrices[Products],0), 0)* tblMetaUnits[[#This Row],[cv_2020]]/10^6</f>
        <v>0</v>
      </c>
      <c r="P64" s="62" cm="1">
        <f t="array" ref="P64">INDEX(tblPrices[cv_2021], MATCH(tblMetaUnits[[#This Row],[Products]],tblPrices[Products],0), 0)* tblMetaUnits[[#This Row],[cv_2021]]/10^6</f>
        <v>0</v>
      </c>
      <c r="Q64" s="62" cm="1">
        <f t="array" ref="Q64">INDEX(tblPrices[cv_2022], MATCH(tblMetaUnits[[#This Row],[Products]],tblPrices[Products],0), 0)* tblMetaUnits[[#This Row],[cv_2022]]/10^6</f>
        <v>0</v>
      </c>
      <c r="R64" s="62" cm="1">
        <f t="array" ref="R64">INDEX(tblPrices[cv_2023], MATCH(tblMetaUnits[[#This Row],[Products]],tblPrices[Products],0), 0)* tblMetaUnits[[#This Row],[cv_2023]]/10^6</f>
        <v>0</v>
      </c>
      <c r="S64" s="62" cm="1">
        <f t="array" ref="S64">INDEX(tblPrices[cv_2024], MATCH(tblMetaUnits[[#This Row],[Products]],tblPrices[Products],0), 0)* tblMetaUnits[[#This Row],[cv_2024]]/10^6</f>
        <v>0</v>
      </c>
      <c r="T64" s="62" cm="1">
        <f t="array" ref="T64">INDEX(tblPrices[cv_2025], MATCH(tblMetaUnits[[#This Row],[Products]],tblPrices[Products],0), 0)* tblMetaUnits[[#This Row],[cv_2025]]/10^6</f>
        <v>0</v>
      </c>
      <c r="U64" s="62" cm="1">
        <f t="array" ref="U64">INDEX(tblPrices[cv_2026], MATCH(tblMetaUnits[[#This Row],[Products]],tblPrices[Products],0), 0)* tblMetaUnits[[#This Row],[cv_2026]]/10^6</f>
        <v>0</v>
      </c>
      <c r="V64" s="62" cm="1">
        <f t="array" ref="V64">INDEX(tblPrices[cv_2027], MATCH(tblMetaUnits[[#This Row],[Products]],tblPrices[Products],0), 0)* tblMetaUnits[[#This Row],[cv_2027]]/10^6</f>
        <v>0</v>
      </c>
      <c r="W64" s="62" cm="1">
        <f t="array" ref="W64">INDEX(tblPrices[cv_2028], MATCH(tblMetaUnits[[#This Row],[Products]],tblPrices[Products],0), 0)* tblMetaUnits[[#This Row],[cv_2028]]/10^6</f>
        <v>0</v>
      </c>
      <c r="X64" s="1">
        <f>VLOOKUP(A64,Products!$A$29:$F$110,6,FALSE)</f>
        <v>100</v>
      </c>
    </row>
    <row r="65" spans="1:24" s="1" customFormat="1" ht="13.15">
      <c r="A65" s="16" t="s">
        <v>28</v>
      </c>
      <c r="B65" s="8">
        <v>4850.1737704918032</v>
      </c>
      <c r="C65" s="8">
        <v>6852.254399999998</v>
      </c>
      <c r="D65" s="8"/>
      <c r="E65" s="8"/>
      <c r="F65" s="8"/>
      <c r="G65" s="8"/>
      <c r="H65" s="8"/>
      <c r="I65" s="8"/>
      <c r="J65" s="8"/>
      <c r="K65" s="8"/>
      <c r="L65" s="8"/>
      <c r="M65" s="62" cm="1">
        <f t="array" ref="M65">INDEX(tblPrices[cv_2018], MATCH(tblMetaUnits[[#This Row],[Products]],tblPrices[Products],0), 0)* tblMetaUnits[[#This Row],[cv_2018]]/10^6</f>
        <v>42.328789269746643</v>
      </c>
      <c r="N65" s="62" cm="1">
        <f t="array" ref="N65">INDEX(tblPrices[cv_2019], MATCH(tblMetaUnits[[#This Row],[Products]],tblPrices[Products],0), 0)* tblMetaUnits[[#This Row],[cv_2019]]/10^6</f>
        <v>47.841194356363623</v>
      </c>
      <c r="O65" s="62" cm="1">
        <f t="array" ref="O65">INDEX(tblPrices[cv_2020], MATCH(tblMetaUnits[[#This Row],[Products]],tblPrices[Products],0), 0)* tblMetaUnits[[#This Row],[cv_2020]]/10^6</f>
        <v>0</v>
      </c>
      <c r="P65" s="62" cm="1">
        <f t="array" ref="P65">INDEX(tblPrices[cv_2021], MATCH(tblMetaUnits[[#This Row],[Products]],tblPrices[Products],0), 0)* tblMetaUnits[[#This Row],[cv_2021]]/10^6</f>
        <v>0</v>
      </c>
      <c r="Q65" s="62" cm="1">
        <f t="array" ref="Q65">INDEX(tblPrices[cv_2022], MATCH(tblMetaUnits[[#This Row],[Products]],tblPrices[Products],0), 0)* tblMetaUnits[[#This Row],[cv_2022]]/10^6</f>
        <v>0</v>
      </c>
      <c r="R65" s="62" cm="1">
        <f t="array" ref="R65">INDEX(tblPrices[cv_2023], MATCH(tblMetaUnits[[#This Row],[Products]],tblPrices[Products],0), 0)* tblMetaUnits[[#This Row],[cv_2023]]/10^6</f>
        <v>0</v>
      </c>
      <c r="S65" s="62" cm="1">
        <f t="array" ref="S65">INDEX(tblPrices[cv_2024], MATCH(tblMetaUnits[[#This Row],[Products]],tblPrices[Products],0), 0)* tblMetaUnits[[#This Row],[cv_2024]]/10^6</f>
        <v>0</v>
      </c>
      <c r="T65" s="62" cm="1">
        <f t="array" ref="T65">INDEX(tblPrices[cv_2025], MATCH(tblMetaUnits[[#This Row],[Products]],tblPrices[Products],0), 0)* tblMetaUnits[[#This Row],[cv_2025]]/10^6</f>
        <v>0</v>
      </c>
      <c r="U65" s="62" cm="1">
        <f t="array" ref="U65">INDEX(tblPrices[cv_2026], MATCH(tblMetaUnits[[#This Row],[Products]],tblPrices[Products],0), 0)* tblMetaUnits[[#This Row],[cv_2026]]/10^6</f>
        <v>0</v>
      </c>
      <c r="V65" s="62" cm="1">
        <f t="array" ref="V65">INDEX(tblPrices[cv_2027], MATCH(tblMetaUnits[[#This Row],[Products]],tblPrices[Products],0), 0)* tblMetaUnits[[#This Row],[cv_2027]]/10^6</f>
        <v>0</v>
      </c>
      <c r="W65" s="62" cm="1">
        <f t="array" ref="W65">INDEX(tblPrices[cv_2028], MATCH(tblMetaUnits[[#This Row],[Products]],tblPrices[Products],0), 0)* tblMetaUnits[[#This Row],[cv_2028]]/10^6</f>
        <v>0</v>
      </c>
      <c r="X65" s="1">
        <f>VLOOKUP(A65,Products!$A$29:$F$110,6,FALSE)</f>
        <v>200</v>
      </c>
    </row>
    <row r="66" spans="1:24" s="1" customFormat="1" ht="13.15">
      <c r="A66" s="16" t="s">
        <v>29</v>
      </c>
      <c r="B66" s="8">
        <v>2041.2663934426228</v>
      </c>
      <c r="C66" s="8">
        <v>6172.7759999999989</v>
      </c>
      <c r="D66" s="8"/>
      <c r="E66" s="8"/>
      <c r="F66" s="8"/>
      <c r="G66" s="8"/>
      <c r="H66" s="8"/>
      <c r="I66" s="8"/>
      <c r="J66" s="8"/>
      <c r="K66" s="8"/>
      <c r="L66" s="8"/>
      <c r="M66" s="62" cm="1">
        <f t="array" ref="M66">INDEX(tblPrices[cv_2018], MATCH(tblMetaUnits[[#This Row],[Products]],tblPrices[Products],0), 0)* tblMetaUnits[[#This Row],[cv_2018]]/10^6</f>
        <v>12.247598360655736</v>
      </c>
      <c r="N66" s="62" cm="1">
        <f t="array" ref="N66">INDEX(tblPrices[cv_2019], MATCH(tblMetaUnits[[#This Row],[Products]],tblPrices[Products],0), 0)* tblMetaUnits[[#This Row],[cv_2019]]/10^6</f>
        <v>29.629324799999992</v>
      </c>
      <c r="O66" s="62" cm="1">
        <f t="array" ref="O66">INDEX(tblPrices[cv_2020], MATCH(tblMetaUnits[[#This Row],[Products]],tblPrices[Products],0), 0)* tblMetaUnits[[#This Row],[cv_2020]]/10^6</f>
        <v>0</v>
      </c>
      <c r="P66" s="62" cm="1">
        <f t="array" ref="P66">INDEX(tblPrices[cv_2021], MATCH(tblMetaUnits[[#This Row],[Products]],tblPrices[Products],0), 0)* tblMetaUnits[[#This Row],[cv_2021]]/10^6</f>
        <v>0</v>
      </c>
      <c r="Q66" s="62" cm="1">
        <f t="array" ref="Q66">INDEX(tblPrices[cv_2022], MATCH(tblMetaUnits[[#This Row],[Products]],tblPrices[Products],0), 0)* tblMetaUnits[[#This Row],[cv_2022]]/10^6</f>
        <v>0</v>
      </c>
      <c r="R66" s="62" cm="1">
        <f t="array" ref="R66">INDEX(tblPrices[cv_2023], MATCH(tblMetaUnits[[#This Row],[Products]],tblPrices[Products],0), 0)* tblMetaUnits[[#This Row],[cv_2023]]/10^6</f>
        <v>0</v>
      </c>
      <c r="S66" s="62" cm="1">
        <f t="array" ref="S66">INDEX(tblPrices[cv_2024], MATCH(tblMetaUnits[[#This Row],[Products]],tblPrices[Products],0), 0)* tblMetaUnits[[#This Row],[cv_2024]]/10^6</f>
        <v>0</v>
      </c>
      <c r="T66" s="62" cm="1">
        <f t="array" ref="T66">INDEX(tblPrices[cv_2025], MATCH(tblMetaUnits[[#This Row],[Products]],tblPrices[Products],0), 0)* tblMetaUnits[[#This Row],[cv_2025]]/10^6</f>
        <v>0</v>
      </c>
      <c r="U66" s="62" cm="1">
        <f t="array" ref="U66">INDEX(tblPrices[cv_2026], MATCH(tblMetaUnits[[#This Row],[Products]],tblPrices[Products],0), 0)* tblMetaUnits[[#This Row],[cv_2026]]/10^6</f>
        <v>0</v>
      </c>
      <c r="V66" s="62" cm="1">
        <f t="array" ref="V66">INDEX(tblPrices[cv_2027], MATCH(tblMetaUnits[[#This Row],[Products]],tblPrices[Products],0), 0)* tblMetaUnits[[#This Row],[cv_2027]]/10^6</f>
        <v>0</v>
      </c>
      <c r="W66" s="62" cm="1">
        <f t="array" ref="W66">INDEX(tblPrices[cv_2028], MATCH(tblMetaUnits[[#This Row],[Products]],tblPrices[Products],0), 0)* tblMetaUnits[[#This Row],[cv_2028]]/10^6</f>
        <v>0</v>
      </c>
      <c r="X66" s="1">
        <f>VLOOKUP(A66,Products!$A$29:$F$110,6,FALSE)</f>
        <v>200</v>
      </c>
    </row>
    <row r="67" spans="1:24" s="1" customFormat="1" ht="13.15">
      <c r="A67" s="16" t="s">
        <v>30</v>
      </c>
      <c r="B67" s="8">
        <v>0</v>
      </c>
      <c r="C67" s="8">
        <v>0</v>
      </c>
      <c r="D67" s="8"/>
      <c r="E67" s="8"/>
      <c r="F67" s="8"/>
      <c r="G67" s="8"/>
      <c r="H67" s="8"/>
      <c r="I67" s="8"/>
      <c r="J67" s="8"/>
      <c r="K67" s="8"/>
      <c r="L67" s="8"/>
      <c r="M67" s="62" cm="1">
        <f t="array" ref="M67">INDEX(tblPrices[cv_2018], MATCH(tblMetaUnits[[#This Row],[Products]],tblPrices[Products],0), 0)* tblMetaUnits[[#This Row],[cv_2018]]/10^6</f>
        <v>0</v>
      </c>
      <c r="N67" s="62" cm="1">
        <f t="array" ref="N67">INDEX(tblPrices[cv_2019], MATCH(tblMetaUnits[[#This Row],[Products]],tblPrices[Products],0), 0)* tblMetaUnits[[#This Row],[cv_2019]]/10^6</f>
        <v>0</v>
      </c>
      <c r="O67" s="62" cm="1">
        <f t="array" ref="O67">INDEX(tblPrices[cv_2020], MATCH(tblMetaUnits[[#This Row],[Products]],tblPrices[Products],0), 0)* tblMetaUnits[[#This Row],[cv_2020]]/10^6</f>
        <v>0</v>
      </c>
      <c r="P67" s="62" cm="1">
        <f t="array" ref="P67">INDEX(tblPrices[cv_2021], MATCH(tblMetaUnits[[#This Row],[Products]],tblPrices[Products],0), 0)* tblMetaUnits[[#This Row],[cv_2021]]/10^6</f>
        <v>0</v>
      </c>
      <c r="Q67" s="62" cm="1">
        <f t="array" ref="Q67">INDEX(tblPrices[cv_2022], MATCH(tblMetaUnits[[#This Row],[Products]],tblPrices[Products],0), 0)* tblMetaUnits[[#This Row],[cv_2022]]/10^6</f>
        <v>0</v>
      </c>
      <c r="R67" s="62" cm="1">
        <f t="array" ref="R67">INDEX(tblPrices[cv_2023], MATCH(tblMetaUnits[[#This Row],[Products]],tblPrices[Products],0), 0)* tblMetaUnits[[#This Row],[cv_2023]]/10^6</f>
        <v>0</v>
      </c>
      <c r="S67" s="62" cm="1">
        <f t="array" ref="S67">INDEX(tblPrices[cv_2024], MATCH(tblMetaUnits[[#This Row],[Products]],tblPrices[Products],0), 0)* tblMetaUnits[[#This Row],[cv_2024]]/10^6</f>
        <v>0</v>
      </c>
      <c r="T67" s="62" cm="1">
        <f t="array" ref="T67">INDEX(tblPrices[cv_2025], MATCH(tblMetaUnits[[#This Row],[Products]],tblPrices[Products],0), 0)* tblMetaUnits[[#This Row],[cv_2025]]/10^6</f>
        <v>0</v>
      </c>
      <c r="U67" s="62" cm="1">
        <f t="array" ref="U67">INDEX(tblPrices[cv_2026], MATCH(tblMetaUnits[[#This Row],[Products]],tblPrices[Products],0), 0)* tblMetaUnits[[#This Row],[cv_2026]]/10^6</f>
        <v>0</v>
      </c>
      <c r="V67" s="62" cm="1">
        <f t="array" ref="V67">INDEX(tblPrices[cv_2027], MATCH(tblMetaUnits[[#This Row],[Products]],tblPrices[Products],0), 0)* tblMetaUnits[[#This Row],[cv_2027]]/10^6</f>
        <v>0</v>
      </c>
      <c r="W67" s="62" cm="1">
        <f t="array" ref="W67">INDEX(tblPrices[cv_2028], MATCH(tblMetaUnits[[#This Row],[Products]],tblPrices[Products],0), 0)* tblMetaUnits[[#This Row],[cv_2028]]/10^6</f>
        <v>0</v>
      </c>
      <c r="X67" s="1">
        <f>VLOOKUP(A67,Products!$A$29:$F$110,6,FALSE)</f>
        <v>200</v>
      </c>
    </row>
    <row r="68" spans="1:24" s="1" customFormat="1" ht="13.15">
      <c r="A68" s="16" t="s">
        <v>31</v>
      </c>
      <c r="B68" s="8">
        <v>1750</v>
      </c>
      <c r="C68" s="8">
        <v>3483</v>
      </c>
      <c r="D68" s="8"/>
      <c r="E68" s="8"/>
      <c r="F68" s="8"/>
      <c r="G68" s="8"/>
      <c r="H68" s="8"/>
      <c r="I68" s="8"/>
      <c r="J68" s="8"/>
      <c r="K68" s="8"/>
      <c r="L68" s="8"/>
      <c r="M68" s="62" cm="1">
        <f t="array" ref="M68">INDEX(tblPrices[cv_2018], MATCH(tblMetaUnits[[#This Row],[Products]],tblPrices[Products],0), 0)* tblMetaUnits[[#This Row],[cv_2018]]/10^6</f>
        <v>0</v>
      </c>
      <c r="N68" s="62" cm="1">
        <f t="array" ref="N68">INDEX(tblPrices[cv_2019], MATCH(tblMetaUnits[[#This Row],[Products]],tblPrices[Products],0), 0)* tblMetaUnits[[#This Row],[cv_2019]]/10^6</f>
        <v>30.39709090909091</v>
      </c>
      <c r="O68" s="62" cm="1">
        <f t="array" ref="O68">INDEX(tblPrices[cv_2020], MATCH(tblMetaUnits[[#This Row],[Products]],tblPrices[Products],0), 0)* tblMetaUnits[[#This Row],[cv_2020]]/10^6</f>
        <v>0</v>
      </c>
      <c r="P68" s="62" cm="1">
        <f t="array" ref="P68">INDEX(tblPrices[cv_2021], MATCH(tblMetaUnits[[#This Row],[Products]],tblPrices[Products],0), 0)* tblMetaUnits[[#This Row],[cv_2021]]/10^6</f>
        <v>0</v>
      </c>
      <c r="Q68" s="62" cm="1">
        <f t="array" ref="Q68">INDEX(tblPrices[cv_2022], MATCH(tblMetaUnits[[#This Row],[Products]],tblPrices[Products],0), 0)* tblMetaUnits[[#This Row],[cv_2022]]/10^6</f>
        <v>0</v>
      </c>
      <c r="R68" s="62" cm="1">
        <f t="array" ref="R68">INDEX(tblPrices[cv_2023], MATCH(tblMetaUnits[[#This Row],[Products]],tblPrices[Products],0), 0)* tblMetaUnits[[#This Row],[cv_2023]]/10^6</f>
        <v>0</v>
      </c>
      <c r="S68" s="62" cm="1">
        <f t="array" ref="S68">INDEX(tblPrices[cv_2024], MATCH(tblMetaUnits[[#This Row],[Products]],tblPrices[Products],0), 0)* tblMetaUnits[[#This Row],[cv_2024]]/10^6</f>
        <v>0</v>
      </c>
      <c r="T68" s="62" cm="1">
        <f t="array" ref="T68">INDEX(tblPrices[cv_2025], MATCH(tblMetaUnits[[#This Row],[Products]],tblPrices[Products],0), 0)* tblMetaUnits[[#This Row],[cv_2025]]/10^6</f>
        <v>0</v>
      </c>
      <c r="U68" s="62" cm="1">
        <f t="array" ref="U68">INDEX(tblPrices[cv_2026], MATCH(tblMetaUnits[[#This Row],[Products]],tblPrices[Products],0), 0)* tblMetaUnits[[#This Row],[cv_2026]]/10^6</f>
        <v>0</v>
      </c>
      <c r="V68" s="62" cm="1">
        <f t="array" ref="V68">INDEX(tblPrices[cv_2027], MATCH(tblMetaUnits[[#This Row],[Products]],tblPrices[Products],0), 0)* tblMetaUnits[[#This Row],[cv_2027]]/10^6</f>
        <v>0</v>
      </c>
      <c r="W68" s="62" cm="1">
        <f t="array" ref="W68">INDEX(tblPrices[cv_2028], MATCH(tblMetaUnits[[#This Row],[Products]],tblPrices[Products],0), 0)* tblMetaUnits[[#This Row],[cv_2028]]/10^6</f>
        <v>0</v>
      </c>
      <c r="X68" s="1">
        <f>VLOOKUP(A68,Products!$A$29:$F$110,6,FALSE)</f>
        <v>400</v>
      </c>
    </row>
    <row r="69" spans="1:24" s="1" customFormat="1" ht="13.15">
      <c r="A69" s="16" t="s">
        <v>32</v>
      </c>
      <c r="B69" s="8">
        <v>0</v>
      </c>
      <c r="C69" s="8">
        <v>0</v>
      </c>
      <c r="D69" s="8"/>
      <c r="E69" s="8"/>
      <c r="F69" s="8"/>
      <c r="G69" s="8"/>
      <c r="H69" s="8"/>
      <c r="I69" s="8"/>
      <c r="J69" s="8"/>
      <c r="K69" s="8"/>
      <c r="L69" s="8"/>
      <c r="M69" s="62" cm="1">
        <f t="array" ref="M69">INDEX(tblPrices[cv_2018], MATCH(tblMetaUnits[[#This Row],[Products]],tblPrices[Products],0), 0)* tblMetaUnits[[#This Row],[cv_2018]]/10^6</f>
        <v>0</v>
      </c>
      <c r="N69" s="62" cm="1">
        <f t="array" ref="N69">INDEX(tblPrices[cv_2019], MATCH(tblMetaUnits[[#This Row],[Products]],tblPrices[Products],0), 0)* tblMetaUnits[[#This Row],[cv_2019]]/10^6</f>
        <v>0</v>
      </c>
      <c r="O69" s="62" cm="1">
        <f t="array" ref="O69">INDEX(tblPrices[cv_2020], MATCH(tblMetaUnits[[#This Row],[Products]],tblPrices[Products],0), 0)* tblMetaUnits[[#This Row],[cv_2020]]/10^6</f>
        <v>0</v>
      </c>
      <c r="P69" s="62" cm="1">
        <f t="array" ref="P69">INDEX(tblPrices[cv_2021], MATCH(tblMetaUnits[[#This Row],[Products]],tblPrices[Products],0), 0)* tblMetaUnits[[#This Row],[cv_2021]]/10^6</f>
        <v>0</v>
      </c>
      <c r="Q69" s="62" cm="1">
        <f t="array" ref="Q69">INDEX(tblPrices[cv_2022], MATCH(tblMetaUnits[[#This Row],[Products]],tblPrices[Products],0), 0)* tblMetaUnits[[#This Row],[cv_2022]]/10^6</f>
        <v>0</v>
      </c>
      <c r="R69" s="62" cm="1">
        <f t="array" ref="R69">INDEX(tblPrices[cv_2023], MATCH(tblMetaUnits[[#This Row],[Products]],tblPrices[Products],0), 0)* tblMetaUnits[[#This Row],[cv_2023]]/10^6</f>
        <v>0</v>
      </c>
      <c r="S69" s="62" cm="1">
        <f t="array" ref="S69">INDEX(tblPrices[cv_2024], MATCH(tblMetaUnits[[#This Row],[Products]],tblPrices[Products],0), 0)* tblMetaUnits[[#This Row],[cv_2024]]/10^6</f>
        <v>0</v>
      </c>
      <c r="T69" s="62" cm="1">
        <f t="array" ref="T69">INDEX(tblPrices[cv_2025], MATCH(tblMetaUnits[[#This Row],[Products]],tblPrices[Products],0), 0)* tblMetaUnits[[#This Row],[cv_2025]]/10^6</f>
        <v>0</v>
      </c>
      <c r="U69" s="62" cm="1">
        <f t="array" ref="U69">INDEX(tblPrices[cv_2026], MATCH(tblMetaUnits[[#This Row],[Products]],tblPrices[Products],0), 0)* tblMetaUnits[[#This Row],[cv_2026]]/10^6</f>
        <v>0</v>
      </c>
      <c r="V69" s="62" cm="1">
        <f t="array" ref="V69">INDEX(tblPrices[cv_2027], MATCH(tblMetaUnits[[#This Row],[Products]],tblPrices[Products],0), 0)* tblMetaUnits[[#This Row],[cv_2027]]/10^6</f>
        <v>0</v>
      </c>
      <c r="W69" s="62" cm="1">
        <f t="array" ref="W69">INDEX(tblPrices[cv_2028], MATCH(tblMetaUnits[[#This Row],[Products]],tblPrices[Products],0), 0)* tblMetaUnits[[#This Row],[cv_2028]]/10^6</f>
        <v>0</v>
      </c>
      <c r="X69" s="1">
        <f>VLOOKUP(A69,Products!$A$29:$F$110,6,FALSE)</f>
        <v>400</v>
      </c>
    </row>
    <row r="70" spans="1:24" s="1" customFormat="1" ht="13.15">
      <c r="A70" s="16" t="s">
        <v>33</v>
      </c>
      <c r="B70" s="8">
        <v>0</v>
      </c>
      <c r="C70" s="8">
        <v>0</v>
      </c>
      <c r="D70" s="8"/>
      <c r="E70" s="8"/>
      <c r="F70" s="8"/>
      <c r="G70" s="8"/>
      <c r="H70" s="8"/>
      <c r="I70" s="8"/>
      <c r="J70" s="8"/>
      <c r="K70" s="8"/>
      <c r="L70" s="8"/>
      <c r="M70" s="62" cm="1">
        <f t="array" ref="M70">INDEX(tblPrices[cv_2018], MATCH(tblMetaUnits[[#This Row],[Products]],tblPrices[Products],0), 0)* tblMetaUnits[[#This Row],[cv_2018]]/10^6</f>
        <v>0</v>
      </c>
      <c r="N70" s="62" cm="1">
        <f t="array" ref="N70">INDEX(tblPrices[cv_2019], MATCH(tblMetaUnits[[#This Row],[Products]],tblPrices[Products],0), 0)* tblMetaUnits[[#This Row],[cv_2019]]/10^6</f>
        <v>0</v>
      </c>
      <c r="O70" s="62" cm="1">
        <f t="array" ref="O70">INDEX(tblPrices[cv_2020], MATCH(tblMetaUnits[[#This Row],[Products]],tblPrices[Products],0), 0)* tblMetaUnits[[#This Row],[cv_2020]]/10^6</f>
        <v>0</v>
      </c>
      <c r="P70" s="62" cm="1">
        <f t="array" ref="P70">INDEX(tblPrices[cv_2021], MATCH(tblMetaUnits[[#This Row],[Products]],tblPrices[Products],0), 0)* tblMetaUnits[[#This Row],[cv_2021]]/10^6</f>
        <v>0</v>
      </c>
      <c r="Q70" s="62" cm="1">
        <f t="array" ref="Q70">INDEX(tblPrices[cv_2022], MATCH(tblMetaUnits[[#This Row],[Products]],tblPrices[Products],0), 0)* tblMetaUnits[[#This Row],[cv_2022]]/10^6</f>
        <v>0</v>
      </c>
      <c r="R70" s="62" cm="1">
        <f t="array" ref="R70">INDEX(tblPrices[cv_2023], MATCH(tblMetaUnits[[#This Row],[Products]],tblPrices[Products],0), 0)* tblMetaUnits[[#This Row],[cv_2023]]/10^6</f>
        <v>0</v>
      </c>
      <c r="S70" s="62" cm="1">
        <f t="array" ref="S70">INDEX(tblPrices[cv_2024], MATCH(tblMetaUnits[[#This Row],[Products]],tblPrices[Products],0), 0)* tblMetaUnits[[#This Row],[cv_2024]]/10^6</f>
        <v>0</v>
      </c>
      <c r="T70" s="62" cm="1">
        <f t="array" ref="T70">INDEX(tblPrices[cv_2025], MATCH(tblMetaUnits[[#This Row],[Products]],tblPrices[Products],0), 0)* tblMetaUnits[[#This Row],[cv_2025]]/10^6</f>
        <v>0</v>
      </c>
      <c r="U70" s="62" cm="1">
        <f t="array" ref="U70">INDEX(tblPrices[cv_2026], MATCH(tblMetaUnits[[#This Row],[Products]],tblPrices[Products],0), 0)* tblMetaUnits[[#This Row],[cv_2026]]/10^6</f>
        <v>0</v>
      </c>
      <c r="V70" s="62" cm="1">
        <f t="array" ref="V70">INDEX(tblPrices[cv_2027], MATCH(tblMetaUnits[[#This Row],[Products]],tblPrices[Products],0), 0)* tblMetaUnits[[#This Row],[cv_2027]]/10^6</f>
        <v>0</v>
      </c>
      <c r="W70" s="62" cm="1">
        <f t="array" ref="W70">INDEX(tblPrices[cv_2028], MATCH(tblMetaUnits[[#This Row],[Products]],tblPrices[Products],0), 0)* tblMetaUnits[[#This Row],[cv_2028]]/10^6</f>
        <v>0</v>
      </c>
      <c r="X70" s="1">
        <f>VLOOKUP(A70,Products!$A$29:$F$110,6,FALSE)</f>
        <v>400</v>
      </c>
    </row>
    <row r="71" spans="1:24" s="1" customFormat="1" ht="13.15">
      <c r="A71" s="16" t="s">
        <v>34</v>
      </c>
      <c r="B71" s="8">
        <v>0</v>
      </c>
      <c r="C71" s="8">
        <v>0</v>
      </c>
      <c r="D71" s="8"/>
      <c r="E71" s="8"/>
      <c r="F71" s="8"/>
      <c r="G71" s="8"/>
      <c r="H71" s="8"/>
      <c r="I71" s="8"/>
      <c r="J71" s="8"/>
      <c r="K71" s="8"/>
      <c r="L71" s="8"/>
      <c r="M71" s="62" cm="1">
        <f t="array" ref="M71">INDEX(tblPrices[cv_2018], MATCH(tblMetaUnits[[#This Row],[Products]],tblPrices[Products],0), 0)* tblMetaUnits[[#This Row],[cv_2018]]/10^6</f>
        <v>0</v>
      </c>
      <c r="N71" s="62" cm="1">
        <f t="array" ref="N71">INDEX(tblPrices[cv_2019], MATCH(tblMetaUnits[[#This Row],[Products]],tblPrices[Products],0), 0)* tblMetaUnits[[#This Row],[cv_2019]]/10^6</f>
        <v>0</v>
      </c>
      <c r="O71" s="62" cm="1">
        <f t="array" ref="O71">INDEX(tblPrices[cv_2020], MATCH(tblMetaUnits[[#This Row],[Products]],tblPrices[Products],0), 0)* tblMetaUnits[[#This Row],[cv_2020]]/10^6</f>
        <v>0</v>
      </c>
      <c r="P71" s="62" cm="1">
        <f t="array" ref="P71">INDEX(tblPrices[cv_2021], MATCH(tblMetaUnits[[#This Row],[Products]],tblPrices[Products],0), 0)* tblMetaUnits[[#This Row],[cv_2021]]/10^6</f>
        <v>0</v>
      </c>
      <c r="Q71" s="62" cm="1">
        <f t="array" ref="Q71">INDEX(tblPrices[cv_2022], MATCH(tblMetaUnits[[#This Row],[Products]],tblPrices[Products],0), 0)* tblMetaUnits[[#This Row],[cv_2022]]/10^6</f>
        <v>0</v>
      </c>
      <c r="R71" s="62" cm="1">
        <f t="array" ref="R71">INDEX(tblPrices[cv_2023], MATCH(tblMetaUnits[[#This Row],[Products]],tblPrices[Products],0), 0)* tblMetaUnits[[#This Row],[cv_2023]]/10^6</f>
        <v>0</v>
      </c>
      <c r="S71" s="62" cm="1">
        <f t="array" ref="S71">INDEX(tblPrices[cv_2024], MATCH(tblMetaUnits[[#This Row],[Products]],tblPrices[Products],0), 0)* tblMetaUnits[[#This Row],[cv_2024]]/10^6</f>
        <v>0</v>
      </c>
      <c r="T71" s="62" cm="1">
        <f t="array" ref="T71">INDEX(tblPrices[cv_2025], MATCH(tblMetaUnits[[#This Row],[Products]],tblPrices[Products],0), 0)* tblMetaUnits[[#This Row],[cv_2025]]/10^6</f>
        <v>0</v>
      </c>
      <c r="U71" s="62" cm="1">
        <f t="array" ref="U71">INDEX(tblPrices[cv_2026], MATCH(tblMetaUnits[[#This Row],[Products]],tblPrices[Products],0), 0)* tblMetaUnits[[#This Row],[cv_2026]]/10^6</f>
        <v>0</v>
      </c>
      <c r="V71" s="62" cm="1">
        <f t="array" ref="V71">INDEX(tblPrices[cv_2027], MATCH(tblMetaUnits[[#This Row],[Products]],tblPrices[Products],0), 0)* tblMetaUnits[[#This Row],[cv_2027]]/10^6</f>
        <v>0</v>
      </c>
      <c r="W71" s="62" cm="1">
        <f t="array" ref="W71">INDEX(tblPrices[cv_2028], MATCH(tblMetaUnits[[#This Row],[Products]],tblPrices[Products],0), 0)* tblMetaUnits[[#This Row],[cv_2028]]/10^6</f>
        <v>0</v>
      </c>
      <c r="X71" s="1">
        <f>VLOOKUP(A71,Products!$A$29:$F$110,6,FALSE)</f>
        <v>400</v>
      </c>
    </row>
    <row r="72" spans="1:24" s="1" customFormat="1" ht="13.15">
      <c r="A72" s="16" t="s">
        <v>35</v>
      </c>
      <c r="B72" s="8">
        <v>0</v>
      </c>
      <c r="C72" s="8">
        <v>1.6400000000000003</v>
      </c>
      <c r="D72" s="8"/>
      <c r="E72" s="8"/>
      <c r="F72" s="8"/>
      <c r="G72" s="8"/>
      <c r="H72" s="8"/>
      <c r="I72" s="8"/>
      <c r="J72" s="8"/>
      <c r="K72" s="8"/>
      <c r="L72" s="8"/>
      <c r="M72" s="62" cm="1">
        <f t="array" ref="M72">INDEX(tblPrices[cv_2018], MATCH(tblMetaUnits[[#This Row],[Products]],tblPrices[Products],0), 0)* tblMetaUnits[[#This Row],[cv_2018]]/10^6</f>
        <v>0</v>
      </c>
      <c r="N72" s="62" cm="1">
        <f t="array" ref="N72">INDEX(tblPrices[cv_2019], MATCH(tblMetaUnits[[#This Row],[Products]],tblPrices[Products],0), 0)* tblMetaUnits[[#This Row],[cv_2019]]/10^6</f>
        <v>1.6400000000000005E-2</v>
      </c>
      <c r="O72" s="62" cm="1">
        <f t="array" ref="O72">INDEX(tblPrices[cv_2020], MATCH(tblMetaUnits[[#This Row],[Products]],tblPrices[Products],0), 0)* tblMetaUnits[[#This Row],[cv_2020]]/10^6</f>
        <v>0</v>
      </c>
      <c r="P72" s="62" cm="1">
        <f t="array" ref="P72">INDEX(tblPrices[cv_2021], MATCH(tblMetaUnits[[#This Row],[Products]],tblPrices[Products],0), 0)* tblMetaUnits[[#This Row],[cv_2021]]/10^6</f>
        <v>0</v>
      </c>
      <c r="Q72" s="62" cm="1">
        <f t="array" ref="Q72">INDEX(tblPrices[cv_2022], MATCH(tblMetaUnits[[#This Row],[Products]],tblPrices[Products],0), 0)* tblMetaUnits[[#This Row],[cv_2022]]/10^6</f>
        <v>0</v>
      </c>
      <c r="R72" s="62" cm="1">
        <f t="array" ref="R72">INDEX(tblPrices[cv_2023], MATCH(tblMetaUnits[[#This Row],[Products]],tblPrices[Products],0), 0)* tblMetaUnits[[#This Row],[cv_2023]]/10^6</f>
        <v>0</v>
      </c>
      <c r="S72" s="62" cm="1">
        <f t="array" ref="S72">INDEX(tblPrices[cv_2024], MATCH(tblMetaUnits[[#This Row],[Products]],tblPrices[Products],0), 0)* tblMetaUnits[[#This Row],[cv_2024]]/10^6</f>
        <v>0</v>
      </c>
      <c r="T72" s="62" cm="1">
        <f t="array" ref="T72">INDEX(tblPrices[cv_2025], MATCH(tblMetaUnits[[#This Row],[Products]],tblPrices[Products],0), 0)* tblMetaUnits[[#This Row],[cv_2025]]/10^6</f>
        <v>0</v>
      </c>
      <c r="U72" s="62" cm="1">
        <f t="array" ref="U72">INDEX(tblPrices[cv_2026], MATCH(tblMetaUnits[[#This Row],[Products]],tblPrices[Products],0), 0)* tblMetaUnits[[#This Row],[cv_2026]]/10^6</f>
        <v>0</v>
      </c>
      <c r="V72" s="62" cm="1">
        <f t="array" ref="V72">INDEX(tblPrices[cv_2027], MATCH(tblMetaUnits[[#This Row],[Products]],tblPrices[Products],0), 0)* tblMetaUnits[[#This Row],[cv_2027]]/10^6</f>
        <v>0</v>
      </c>
      <c r="W72" s="62" cm="1">
        <f t="array" ref="W72">INDEX(tblPrices[cv_2028], MATCH(tblMetaUnits[[#This Row],[Products]],tblPrices[Products],0), 0)* tblMetaUnits[[#This Row],[cv_2028]]/10^6</f>
        <v>0</v>
      </c>
      <c r="X72" s="1">
        <f>VLOOKUP(A72,Products!$A$29:$F$110,6,FALSE)</f>
        <v>600</v>
      </c>
    </row>
    <row r="73" spans="1:24" s="1" customFormat="1" ht="13.15">
      <c r="A73" s="16" t="s">
        <v>36</v>
      </c>
      <c r="B73" s="8">
        <v>0</v>
      </c>
      <c r="C73" s="8">
        <v>0</v>
      </c>
      <c r="D73" s="8"/>
      <c r="E73" s="8"/>
      <c r="F73" s="8"/>
      <c r="G73" s="8"/>
      <c r="H73" s="8"/>
      <c r="I73" s="8"/>
      <c r="J73" s="8"/>
      <c r="K73" s="8"/>
      <c r="L73" s="8"/>
      <c r="M73" s="62" cm="1">
        <f t="array" ref="M73">INDEX(tblPrices[cv_2018], MATCH(tblMetaUnits[[#This Row],[Products]],tblPrices[Products],0), 0)* tblMetaUnits[[#This Row],[cv_2018]]/10^6</f>
        <v>0</v>
      </c>
      <c r="N73" s="62" cm="1">
        <f t="array" ref="N73">INDEX(tblPrices[cv_2019], MATCH(tblMetaUnits[[#This Row],[Products]],tblPrices[Products],0), 0)* tblMetaUnits[[#This Row],[cv_2019]]/10^6</f>
        <v>0</v>
      </c>
      <c r="O73" s="62" cm="1">
        <f t="array" ref="O73">INDEX(tblPrices[cv_2020], MATCH(tblMetaUnits[[#This Row],[Products]],tblPrices[Products],0), 0)* tblMetaUnits[[#This Row],[cv_2020]]/10^6</f>
        <v>0</v>
      </c>
      <c r="P73" s="62" cm="1">
        <f t="array" ref="P73">INDEX(tblPrices[cv_2021], MATCH(tblMetaUnits[[#This Row],[Products]],tblPrices[Products],0), 0)* tblMetaUnits[[#This Row],[cv_2021]]/10^6</f>
        <v>0</v>
      </c>
      <c r="Q73" s="62" cm="1">
        <f t="array" ref="Q73">INDEX(tblPrices[cv_2022], MATCH(tblMetaUnits[[#This Row],[Products]],tblPrices[Products],0), 0)* tblMetaUnits[[#This Row],[cv_2022]]/10^6</f>
        <v>0</v>
      </c>
      <c r="R73" s="62" cm="1">
        <f t="array" ref="R73">INDEX(tblPrices[cv_2023], MATCH(tblMetaUnits[[#This Row],[Products]],tblPrices[Products],0), 0)* tblMetaUnits[[#This Row],[cv_2023]]/10^6</f>
        <v>0</v>
      </c>
      <c r="S73" s="62" cm="1">
        <f t="array" ref="S73">INDEX(tblPrices[cv_2024], MATCH(tblMetaUnits[[#This Row],[Products]],tblPrices[Products],0), 0)* tblMetaUnits[[#This Row],[cv_2024]]/10^6</f>
        <v>0</v>
      </c>
      <c r="T73" s="62" cm="1">
        <f t="array" ref="T73">INDEX(tblPrices[cv_2025], MATCH(tblMetaUnits[[#This Row],[Products]],tblPrices[Products],0), 0)* tblMetaUnits[[#This Row],[cv_2025]]/10^6</f>
        <v>0</v>
      </c>
      <c r="U73" s="62" cm="1">
        <f t="array" ref="U73">INDEX(tblPrices[cv_2026], MATCH(tblMetaUnits[[#This Row],[Products]],tblPrices[Products],0), 0)* tblMetaUnits[[#This Row],[cv_2026]]/10^6</f>
        <v>0</v>
      </c>
      <c r="V73" s="62" cm="1">
        <f t="array" ref="V73">INDEX(tblPrices[cv_2027], MATCH(tblMetaUnits[[#This Row],[Products]],tblPrices[Products],0), 0)* tblMetaUnits[[#This Row],[cv_2027]]/10^6</f>
        <v>0</v>
      </c>
      <c r="W73" s="62" cm="1">
        <f t="array" ref="W73">INDEX(tblPrices[cv_2028], MATCH(tblMetaUnits[[#This Row],[Products]],tblPrices[Products],0), 0)* tblMetaUnits[[#This Row],[cv_2028]]/10^6</f>
        <v>0</v>
      </c>
      <c r="X73" s="1">
        <f>VLOOKUP(A73,Products!$A$29:$F$110,6,FALSE)</f>
        <v>800</v>
      </c>
    </row>
    <row r="74" spans="1:24" s="1" customFormat="1" ht="13.15">
      <c r="A74" s="16" t="s">
        <v>37</v>
      </c>
      <c r="B74" s="8">
        <v>0</v>
      </c>
      <c r="C74" s="8">
        <v>0</v>
      </c>
      <c r="D74" s="8"/>
      <c r="E74" s="8"/>
      <c r="F74" s="8"/>
      <c r="G74" s="8"/>
      <c r="H74" s="8"/>
      <c r="I74" s="8"/>
      <c r="J74" s="8"/>
      <c r="K74" s="8"/>
      <c r="L74" s="8"/>
      <c r="M74" s="62" cm="1">
        <f t="array" ref="M74">INDEX(tblPrices[cv_2018], MATCH(tblMetaUnits[[#This Row],[Products]],tblPrices[Products],0), 0)* tblMetaUnits[[#This Row],[cv_2018]]/10^6</f>
        <v>0</v>
      </c>
      <c r="N74" s="62" cm="1">
        <f t="array" ref="N74">INDEX(tblPrices[cv_2019], MATCH(tblMetaUnits[[#This Row],[Products]],tblPrices[Products],0), 0)* tblMetaUnits[[#This Row],[cv_2019]]/10^6</f>
        <v>0</v>
      </c>
      <c r="O74" s="62" cm="1">
        <f t="array" ref="O74">INDEX(tblPrices[cv_2020], MATCH(tblMetaUnits[[#This Row],[Products]],tblPrices[Products],0), 0)* tblMetaUnits[[#This Row],[cv_2020]]/10^6</f>
        <v>0</v>
      </c>
      <c r="P74" s="62" cm="1">
        <f t="array" ref="P74">INDEX(tblPrices[cv_2021], MATCH(tblMetaUnits[[#This Row],[Products]],tblPrices[Products],0), 0)* tblMetaUnits[[#This Row],[cv_2021]]/10^6</f>
        <v>0</v>
      </c>
      <c r="Q74" s="62" cm="1">
        <f t="array" ref="Q74">INDEX(tblPrices[cv_2022], MATCH(tblMetaUnits[[#This Row],[Products]],tblPrices[Products],0), 0)* tblMetaUnits[[#This Row],[cv_2022]]/10^6</f>
        <v>0</v>
      </c>
      <c r="R74" s="62" cm="1">
        <f t="array" ref="R74">INDEX(tblPrices[cv_2023], MATCH(tblMetaUnits[[#This Row],[Products]],tblPrices[Products],0), 0)* tblMetaUnits[[#This Row],[cv_2023]]/10^6</f>
        <v>0</v>
      </c>
      <c r="S74" s="62" cm="1">
        <f t="array" ref="S74">INDEX(tblPrices[cv_2024], MATCH(tblMetaUnits[[#This Row],[Products]],tblPrices[Products],0), 0)* tblMetaUnits[[#This Row],[cv_2024]]/10^6</f>
        <v>0</v>
      </c>
      <c r="T74" s="62" cm="1">
        <f t="array" ref="T74">INDEX(tblPrices[cv_2025], MATCH(tblMetaUnits[[#This Row],[Products]],tblPrices[Products],0), 0)* tblMetaUnits[[#This Row],[cv_2025]]/10^6</f>
        <v>0</v>
      </c>
      <c r="U74" s="62" cm="1">
        <f t="array" ref="U74">INDEX(tblPrices[cv_2026], MATCH(tblMetaUnits[[#This Row],[Products]],tblPrices[Products],0), 0)* tblMetaUnits[[#This Row],[cv_2026]]/10^6</f>
        <v>0</v>
      </c>
      <c r="V74" s="62" cm="1">
        <f t="array" ref="V74">INDEX(tblPrices[cv_2027], MATCH(tblMetaUnits[[#This Row],[Products]],tblPrices[Products],0), 0)* tblMetaUnits[[#This Row],[cv_2027]]/10^6</f>
        <v>0</v>
      </c>
      <c r="W74" s="62" cm="1">
        <f t="array" ref="W74">INDEX(tblPrices[cv_2028], MATCH(tblMetaUnits[[#This Row],[Products]],tblPrices[Products],0), 0)* tblMetaUnits[[#This Row],[cv_2028]]/10^6</f>
        <v>0</v>
      </c>
      <c r="X74" s="1">
        <f>VLOOKUP(A74,Products!$A$29:$F$110,6,FALSE)</f>
        <v>800</v>
      </c>
    </row>
    <row r="75" spans="1:24" s="1" customFormat="1" ht="13.15">
      <c r="A75" s="16" t="s">
        <v>38</v>
      </c>
      <c r="B75" s="8">
        <v>0</v>
      </c>
      <c r="C75" s="8">
        <v>0</v>
      </c>
      <c r="D75" s="8"/>
      <c r="E75" s="8"/>
      <c r="F75" s="8"/>
      <c r="G75" s="8"/>
      <c r="H75" s="8"/>
      <c r="I75" s="8"/>
      <c r="J75" s="8"/>
      <c r="K75" s="8"/>
      <c r="L75" s="8"/>
      <c r="M75" s="62" cm="1">
        <f t="array" ref="M75">INDEX(tblPrices[cv_2018], MATCH(tblMetaUnits[[#This Row],[Products]],tblPrices[Products],0), 0)* tblMetaUnits[[#This Row],[cv_2018]]/10^6</f>
        <v>0</v>
      </c>
      <c r="N75" s="62" cm="1">
        <f t="array" ref="N75">INDEX(tblPrices[cv_2019], MATCH(tblMetaUnits[[#This Row],[Products]],tblPrices[Products],0), 0)* tblMetaUnits[[#This Row],[cv_2019]]/10^6</f>
        <v>0</v>
      </c>
      <c r="O75" s="62" cm="1">
        <f t="array" ref="O75">INDEX(tblPrices[cv_2020], MATCH(tblMetaUnits[[#This Row],[Products]],tblPrices[Products],0), 0)* tblMetaUnits[[#This Row],[cv_2020]]/10^6</f>
        <v>0</v>
      </c>
      <c r="P75" s="62" cm="1">
        <f t="array" ref="P75">INDEX(tblPrices[cv_2021], MATCH(tblMetaUnits[[#This Row],[Products]],tblPrices[Products],0), 0)* tblMetaUnits[[#This Row],[cv_2021]]/10^6</f>
        <v>0</v>
      </c>
      <c r="Q75" s="62" cm="1">
        <f t="array" ref="Q75">INDEX(tblPrices[cv_2022], MATCH(tblMetaUnits[[#This Row],[Products]],tblPrices[Products],0), 0)* tblMetaUnits[[#This Row],[cv_2022]]/10^6</f>
        <v>0</v>
      </c>
      <c r="R75" s="62" cm="1">
        <f t="array" ref="R75">INDEX(tblPrices[cv_2023], MATCH(tblMetaUnits[[#This Row],[Products]],tblPrices[Products],0), 0)* tblMetaUnits[[#This Row],[cv_2023]]/10^6</f>
        <v>0</v>
      </c>
      <c r="S75" s="62" cm="1">
        <f t="array" ref="S75">INDEX(tblPrices[cv_2024], MATCH(tblMetaUnits[[#This Row],[Products]],tblPrices[Products],0), 0)* tblMetaUnits[[#This Row],[cv_2024]]/10^6</f>
        <v>0</v>
      </c>
      <c r="T75" s="62" cm="1">
        <f t="array" ref="T75">INDEX(tblPrices[cv_2025], MATCH(tblMetaUnits[[#This Row],[Products]],tblPrices[Products],0), 0)* tblMetaUnits[[#This Row],[cv_2025]]/10^6</f>
        <v>0</v>
      </c>
      <c r="U75" s="62" cm="1">
        <f t="array" ref="U75">INDEX(tblPrices[cv_2026], MATCH(tblMetaUnits[[#This Row],[Products]],tblPrices[Products],0), 0)* tblMetaUnits[[#This Row],[cv_2026]]/10^6</f>
        <v>0</v>
      </c>
      <c r="V75" s="62" cm="1">
        <f t="array" ref="V75">INDEX(tblPrices[cv_2027], MATCH(tblMetaUnits[[#This Row],[Products]],tblPrices[Products],0), 0)* tblMetaUnits[[#This Row],[cv_2027]]/10^6</f>
        <v>0</v>
      </c>
      <c r="W75" s="62" cm="1">
        <f t="array" ref="W75">INDEX(tblPrices[cv_2028], MATCH(tblMetaUnits[[#This Row],[Products]],tblPrices[Products],0), 0)* tblMetaUnits[[#This Row],[cv_2028]]/10^6</f>
        <v>0</v>
      </c>
      <c r="X75" s="1">
        <f>VLOOKUP(A75,Products!$A$29:$F$110,6,FALSE)</f>
        <v>1200</v>
      </c>
    </row>
    <row r="76" spans="1:24" s="1" customFormat="1" ht="13.15">
      <c r="A76" s="16" t="s">
        <v>39</v>
      </c>
      <c r="B76" s="8">
        <v>0</v>
      </c>
      <c r="C76" s="8">
        <v>0</v>
      </c>
      <c r="D76" s="8"/>
      <c r="E76" s="8"/>
      <c r="F76" s="8"/>
      <c r="G76" s="8"/>
      <c r="H76" s="8"/>
      <c r="I76" s="8"/>
      <c r="J76" s="8"/>
      <c r="K76" s="8"/>
      <c r="L76" s="8"/>
      <c r="M76" s="62" cm="1">
        <f t="array" ref="M76">INDEX(tblPrices[cv_2018], MATCH(tblMetaUnits[[#This Row],[Products]],tblPrices[Products],0), 0)* tblMetaUnits[[#This Row],[cv_2018]]/10^6</f>
        <v>0</v>
      </c>
      <c r="N76" s="62" cm="1">
        <f t="array" ref="N76">INDEX(tblPrices[cv_2019], MATCH(tblMetaUnits[[#This Row],[Products]],tblPrices[Products],0), 0)* tblMetaUnits[[#This Row],[cv_2019]]/10^6</f>
        <v>0</v>
      </c>
      <c r="O76" s="62" cm="1">
        <f t="array" ref="O76">INDEX(tblPrices[cv_2020], MATCH(tblMetaUnits[[#This Row],[Products]],tblPrices[Products],0), 0)* tblMetaUnits[[#This Row],[cv_2020]]/10^6</f>
        <v>0</v>
      </c>
      <c r="P76" s="62" cm="1">
        <f t="array" ref="P76">INDEX(tblPrices[cv_2021], MATCH(tblMetaUnits[[#This Row],[Products]],tblPrices[Products],0), 0)* tblMetaUnits[[#This Row],[cv_2021]]/10^6</f>
        <v>0</v>
      </c>
      <c r="Q76" s="62" cm="1">
        <f t="array" ref="Q76">INDEX(tblPrices[cv_2022], MATCH(tblMetaUnits[[#This Row],[Products]],tblPrices[Products],0), 0)* tblMetaUnits[[#This Row],[cv_2022]]/10^6</f>
        <v>0</v>
      </c>
      <c r="R76" s="62" cm="1">
        <f t="array" ref="R76">INDEX(tblPrices[cv_2023], MATCH(tblMetaUnits[[#This Row],[Products]],tblPrices[Products],0), 0)* tblMetaUnits[[#This Row],[cv_2023]]/10^6</f>
        <v>0</v>
      </c>
      <c r="S76" s="62" cm="1">
        <f t="array" ref="S76">INDEX(tblPrices[cv_2024], MATCH(tblMetaUnits[[#This Row],[Products]],tblPrices[Products],0), 0)* tblMetaUnits[[#This Row],[cv_2024]]/10^6</f>
        <v>0</v>
      </c>
      <c r="T76" s="62" cm="1">
        <f t="array" ref="T76">INDEX(tblPrices[cv_2025], MATCH(tblMetaUnits[[#This Row],[Products]],tblPrices[Products],0), 0)* tblMetaUnits[[#This Row],[cv_2025]]/10^6</f>
        <v>0</v>
      </c>
      <c r="U76" s="62" cm="1">
        <f t="array" ref="U76">INDEX(tblPrices[cv_2026], MATCH(tblMetaUnits[[#This Row],[Products]],tblPrices[Products],0), 0)* tblMetaUnits[[#This Row],[cv_2026]]/10^6</f>
        <v>0</v>
      </c>
      <c r="V76" s="62" cm="1">
        <f t="array" ref="V76">INDEX(tblPrices[cv_2027], MATCH(tblMetaUnits[[#This Row],[Products]],tblPrices[Products],0), 0)* tblMetaUnits[[#This Row],[cv_2027]]/10^6</f>
        <v>0</v>
      </c>
      <c r="W76" s="62" cm="1">
        <f t="array" ref="W76">INDEX(tblPrices[cv_2028], MATCH(tblMetaUnits[[#This Row],[Products]],tblPrices[Products],0), 0)* tblMetaUnits[[#This Row],[cv_2028]]/10^6</f>
        <v>0</v>
      </c>
      <c r="X76" s="1">
        <f>VLOOKUP(A76,Products!$A$29:$F$110,6,FALSE)</f>
        <v>1600</v>
      </c>
    </row>
    <row r="77" spans="1:24" s="1" customFormat="1" ht="13.15">
      <c r="A77" s="1" t="s">
        <v>46</v>
      </c>
      <c r="B77" s="2">
        <f t="shared" ref="B77:W77" si="0">SUM(B41:B76)</f>
        <v>1331736.057236884</v>
      </c>
      <c r="C77" s="2">
        <f t="shared" si="0"/>
        <v>1788986.3215290667</v>
      </c>
      <c r="D77" s="2">
        <f t="shared" si="0"/>
        <v>0</v>
      </c>
      <c r="E77" s="2">
        <f t="shared" si="0"/>
        <v>0</v>
      </c>
      <c r="F77" s="2">
        <f t="shared" si="0"/>
        <v>0</v>
      </c>
      <c r="G77" s="2">
        <f t="shared" si="0"/>
        <v>0</v>
      </c>
      <c r="H77" s="2">
        <f t="shared" si="0"/>
        <v>0</v>
      </c>
      <c r="I77" s="2">
        <f t="shared" si="0"/>
        <v>0</v>
      </c>
      <c r="J77" s="2">
        <f t="shared" si="0"/>
        <v>0</v>
      </c>
      <c r="K77" s="2">
        <f t="shared" si="0"/>
        <v>0</v>
      </c>
      <c r="L77" s="2">
        <f t="shared" si="0"/>
        <v>0</v>
      </c>
      <c r="M77" s="63">
        <f t="shared" si="0"/>
        <v>510.28795912493376</v>
      </c>
      <c r="N77" s="63">
        <f t="shared" si="0"/>
        <v>485.9379982964378</v>
      </c>
      <c r="O77" s="63">
        <f t="shared" si="0"/>
        <v>0</v>
      </c>
      <c r="P77" s="63">
        <f t="shared" si="0"/>
        <v>0</v>
      </c>
      <c r="Q77" s="63">
        <f t="shared" si="0"/>
        <v>0</v>
      </c>
      <c r="R77" s="63">
        <f t="shared" si="0"/>
        <v>0</v>
      </c>
      <c r="S77" s="63">
        <f t="shared" si="0"/>
        <v>0</v>
      </c>
      <c r="T77" s="63">
        <f t="shared" si="0"/>
        <v>0</v>
      </c>
      <c r="U77" s="63">
        <f t="shared" si="0"/>
        <v>0</v>
      </c>
      <c r="V77" s="63">
        <f t="shared" si="0"/>
        <v>0</v>
      </c>
      <c r="W77" s="63">
        <f t="shared" si="0"/>
        <v>0</v>
      </c>
    </row>
    <row r="78" spans="1:24" s="1" customFormat="1" ht="13.15"/>
    <row r="79" spans="1:24">
      <c r="X79" s="1"/>
    </row>
    <row r="80" spans="1:24">
      <c r="A80" s="175" t="s">
        <v>431</v>
      </c>
      <c r="B80" s="68">
        <v>2018</v>
      </c>
      <c r="C80" s="50">
        <v>2019</v>
      </c>
      <c r="D80" s="50">
        <v>2020</v>
      </c>
      <c r="E80" s="50">
        <v>2021</v>
      </c>
      <c r="F80" s="50">
        <v>2022</v>
      </c>
      <c r="G80" s="50">
        <v>2023</v>
      </c>
      <c r="H80" s="50">
        <v>2024</v>
      </c>
      <c r="I80" s="50">
        <v>2025</v>
      </c>
      <c r="J80" s="50">
        <v>2026</v>
      </c>
      <c r="K80" s="50">
        <v>2027</v>
      </c>
      <c r="L80" s="50">
        <v>2028</v>
      </c>
      <c r="M80" s="68">
        <v>2018</v>
      </c>
      <c r="N80" s="50">
        <v>2019</v>
      </c>
      <c r="O80" s="50">
        <v>2020</v>
      </c>
      <c r="P80" s="50">
        <v>2021</v>
      </c>
      <c r="Q80" s="50">
        <v>2022</v>
      </c>
      <c r="R80" s="50">
        <v>2023</v>
      </c>
      <c r="S80" s="50">
        <v>2024</v>
      </c>
      <c r="T80" s="50">
        <v>2025</v>
      </c>
      <c r="U80" s="50">
        <v>2026</v>
      </c>
      <c r="V80" s="50">
        <v>2027</v>
      </c>
      <c r="W80" s="50">
        <v>2028</v>
      </c>
      <c r="X80" s="1"/>
    </row>
    <row r="81" spans="1:24">
      <c r="A81" s="65" t="s">
        <v>80</v>
      </c>
      <c r="B81" s="2">
        <f t="shared" ref="B81:W81" si="1">SUMIF($X$41:$X$71,40,B$41:B$71)</f>
        <v>65237.040000000008</v>
      </c>
      <c r="C81" s="2">
        <f t="shared" si="1"/>
        <v>51694.8</v>
      </c>
      <c r="D81" s="2">
        <f t="shared" si="1"/>
        <v>0</v>
      </c>
      <c r="E81" s="2">
        <f t="shared" si="1"/>
        <v>0</v>
      </c>
      <c r="F81" s="2">
        <f t="shared" si="1"/>
        <v>0</v>
      </c>
      <c r="G81" s="2">
        <f t="shared" si="1"/>
        <v>0</v>
      </c>
      <c r="H81" s="2">
        <f t="shared" si="1"/>
        <v>0</v>
      </c>
      <c r="I81" s="2">
        <f t="shared" si="1"/>
        <v>0</v>
      </c>
      <c r="J81" s="2">
        <f t="shared" si="1"/>
        <v>0</v>
      </c>
      <c r="K81" s="2">
        <f t="shared" si="1"/>
        <v>0</v>
      </c>
      <c r="L81" s="2">
        <f t="shared" si="1"/>
        <v>0</v>
      </c>
      <c r="M81" s="69">
        <f t="shared" si="1"/>
        <v>19.811587262400003</v>
      </c>
      <c r="N81" s="63">
        <f t="shared" si="1"/>
        <v>13.101089506305994</v>
      </c>
      <c r="O81" s="63">
        <f t="shared" si="1"/>
        <v>0</v>
      </c>
      <c r="P81" s="63">
        <f t="shared" si="1"/>
        <v>0</v>
      </c>
      <c r="Q81" s="63">
        <f t="shared" si="1"/>
        <v>0</v>
      </c>
      <c r="R81" s="63">
        <f t="shared" si="1"/>
        <v>0</v>
      </c>
      <c r="S81" s="63">
        <f t="shared" si="1"/>
        <v>0</v>
      </c>
      <c r="T81" s="63">
        <f t="shared" si="1"/>
        <v>0</v>
      </c>
      <c r="U81" s="63">
        <f t="shared" si="1"/>
        <v>0</v>
      </c>
      <c r="V81" s="63">
        <f t="shared" si="1"/>
        <v>0</v>
      </c>
      <c r="W81" s="63">
        <f t="shared" si="1"/>
        <v>0</v>
      </c>
      <c r="X81" s="1"/>
    </row>
    <row r="82" spans="1:24">
      <c r="A82" s="65" t="s">
        <v>205</v>
      </c>
      <c r="B82" s="2">
        <f t="shared" ref="B82:W82" si="2">SUMIF($X$41:$X$71,100,B$41:B$71)</f>
        <v>1115565.4033565826</v>
      </c>
      <c r="C82" s="2">
        <f t="shared" si="2"/>
        <v>1708476.3403999999</v>
      </c>
      <c r="D82" s="2">
        <f t="shared" si="2"/>
        <v>0</v>
      </c>
      <c r="E82" s="2">
        <f t="shared" si="2"/>
        <v>0</v>
      </c>
      <c r="F82" s="2">
        <f t="shared" si="2"/>
        <v>0</v>
      </c>
      <c r="G82" s="2">
        <f t="shared" si="2"/>
        <v>0</v>
      </c>
      <c r="H82" s="2">
        <f t="shared" si="2"/>
        <v>0</v>
      </c>
      <c r="I82" s="2">
        <f t="shared" si="2"/>
        <v>0</v>
      </c>
      <c r="J82" s="2">
        <f t="shared" si="2"/>
        <v>0</v>
      </c>
      <c r="K82" s="2">
        <f t="shared" si="2"/>
        <v>0</v>
      </c>
      <c r="L82" s="2">
        <f t="shared" si="2"/>
        <v>0</v>
      </c>
      <c r="M82" s="69">
        <f t="shared" si="2"/>
        <v>428.38550607885162</v>
      </c>
      <c r="N82" s="63">
        <f t="shared" si="2"/>
        <v>356.54510976</v>
      </c>
      <c r="O82" s="63">
        <f t="shared" si="2"/>
        <v>0</v>
      </c>
      <c r="P82" s="63">
        <f t="shared" si="2"/>
        <v>0</v>
      </c>
      <c r="Q82" s="63">
        <f t="shared" si="2"/>
        <v>0</v>
      </c>
      <c r="R82" s="63">
        <f t="shared" si="2"/>
        <v>0</v>
      </c>
      <c r="S82" s="63">
        <f t="shared" si="2"/>
        <v>0</v>
      </c>
      <c r="T82" s="63">
        <f t="shared" si="2"/>
        <v>0</v>
      </c>
      <c r="U82" s="63">
        <f t="shared" si="2"/>
        <v>0</v>
      </c>
      <c r="V82" s="63">
        <f t="shared" si="2"/>
        <v>0</v>
      </c>
      <c r="W82" s="63">
        <f t="shared" si="2"/>
        <v>0</v>
      </c>
      <c r="X82" s="1"/>
    </row>
    <row r="83" spans="1:24">
      <c r="A83" s="65" t="s">
        <v>206</v>
      </c>
      <c r="B83" s="2">
        <f t="shared" ref="B83:W83" si="3">SUMIF($X$41:$X$71,200,B$41:B$71)</f>
        <v>7391.440163934426</v>
      </c>
      <c r="C83" s="2">
        <f t="shared" si="3"/>
        <v>19097.030399999996</v>
      </c>
      <c r="D83" s="2">
        <f t="shared" si="3"/>
        <v>0</v>
      </c>
      <c r="E83" s="2">
        <f t="shared" si="3"/>
        <v>0</v>
      </c>
      <c r="F83" s="2">
        <f t="shared" si="3"/>
        <v>0</v>
      </c>
      <c r="G83" s="2">
        <f t="shared" si="3"/>
        <v>0</v>
      </c>
      <c r="H83" s="2">
        <f t="shared" si="3"/>
        <v>0</v>
      </c>
      <c r="I83" s="2">
        <f t="shared" si="3"/>
        <v>0</v>
      </c>
      <c r="J83" s="2">
        <f t="shared" si="3"/>
        <v>0</v>
      </c>
      <c r="K83" s="2">
        <f t="shared" si="3"/>
        <v>0</v>
      </c>
      <c r="L83" s="2">
        <f t="shared" si="3"/>
        <v>0</v>
      </c>
      <c r="M83" s="69">
        <f t="shared" si="3"/>
        <v>55.32638763040238</v>
      </c>
      <c r="N83" s="63">
        <f t="shared" si="3"/>
        <v>80.565019156363618</v>
      </c>
      <c r="O83" s="63">
        <f t="shared" si="3"/>
        <v>0</v>
      </c>
      <c r="P83" s="63">
        <f t="shared" si="3"/>
        <v>0</v>
      </c>
      <c r="Q83" s="63">
        <f t="shared" si="3"/>
        <v>0</v>
      </c>
      <c r="R83" s="63">
        <f t="shared" si="3"/>
        <v>0</v>
      </c>
      <c r="S83" s="63">
        <f t="shared" si="3"/>
        <v>0</v>
      </c>
      <c r="T83" s="63">
        <f t="shared" si="3"/>
        <v>0</v>
      </c>
      <c r="U83" s="63">
        <f t="shared" si="3"/>
        <v>0</v>
      </c>
      <c r="V83" s="63">
        <f t="shared" si="3"/>
        <v>0</v>
      </c>
      <c r="W83" s="63">
        <f t="shared" si="3"/>
        <v>0</v>
      </c>
      <c r="X83" s="1"/>
    </row>
    <row r="84" spans="1:24">
      <c r="A84" s="65" t="s">
        <v>207</v>
      </c>
      <c r="B84" s="2">
        <f t="shared" ref="B84:W84" si="4">SUMIF($X$41:$X$71,400,B$41:B$71)</f>
        <v>2750</v>
      </c>
      <c r="C84" s="2">
        <f t="shared" si="4"/>
        <v>6038</v>
      </c>
      <c r="D84" s="2">
        <f t="shared" si="4"/>
        <v>0</v>
      </c>
      <c r="E84" s="2">
        <f t="shared" si="4"/>
        <v>0</v>
      </c>
      <c r="F84" s="2">
        <f t="shared" si="4"/>
        <v>0</v>
      </c>
      <c r="G84" s="2">
        <f t="shared" si="4"/>
        <v>0</v>
      </c>
      <c r="H84" s="2">
        <f t="shared" si="4"/>
        <v>0</v>
      </c>
      <c r="I84" s="2">
        <f t="shared" si="4"/>
        <v>0</v>
      </c>
      <c r="J84" s="2">
        <f t="shared" si="4"/>
        <v>0</v>
      </c>
      <c r="K84" s="2">
        <f t="shared" si="4"/>
        <v>0</v>
      </c>
      <c r="L84" s="2">
        <f t="shared" si="4"/>
        <v>0</v>
      </c>
      <c r="M84" s="69">
        <f t="shared" si="4"/>
        <v>2</v>
      </c>
      <c r="N84" s="63">
        <f t="shared" si="4"/>
        <v>34.269761588272793</v>
      </c>
      <c r="O84" s="63">
        <f t="shared" si="4"/>
        <v>0</v>
      </c>
      <c r="P84" s="63">
        <f t="shared" si="4"/>
        <v>0</v>
      </c>
      <c r="Q84" s="63">
        <f t="shared" si="4"/>
        <v>0</v>
      </c>
      <c r="R84" s="63">
        <f t="shared" si="4"/>
        <v>0</v>
      </c>
      <c r="S84" s="63">
        <f t="shared" si="4"/>
        <v>0</v>
      </c>
      <c r="T84" s="63">
        <f t="shared" si="4"/>
        <v>0</v>
      </c>
      <c r="U84" s="63">
        <f t="shared" si="4"/>
        <v>0</v>
      </c>
      <c r="V84" s="63">
        <f t="shared" si="4"/>
        <v>0</v>
      </c>
      <c r="W84" s="63">
        <f t="shared" si="4"/>
        <v>0</v>
      </c>
      <c r="X84" s="1"/>
    </row>
    <row r="85" spans="1:24">
      <c r="A85" s="65" t="s">
        <v>209</v>
      </c>
      <c r="B85" s="2">
        <f t="shared" ref="B85:W85" si="5">SUMIF($X$41:$X$71,800,B$41:B$71)</f>
        <v>0</v>
      </c>
      <c r="C85" s="2">
        <f t="shared" si="5"/>
        <v>0</v>
      </c>
      <c r="D85" s="2">
        <f t="shared" si="5"/>
        <v>0</v>
      </c>
      <c r="E85" s="2">
        <f t="shared" si="5"/>
        <v>0</v>
      </c>
      <c r="F85" s="2">
        <f t="shared" si="5"/>
        <v>0</v>
      </c>
      <c r="G85" s="2">
        <f t="shared" si="5"/>
        <v>0</v>
      </c>
      <c r="H85" s="2">
        <f t="shared" si="5"/>
        <v>0</v>
      </c>
      <c r="I85" s="2">
        <f t="shared" si="5"/>
        <v>0</v>
      </c>
      <c r="J85" s="2">
        <f t="shared" si="5"/>
        <v>0</v>
      </c>
      <c r="K85" s="2">
        <f t="shared" si="5"/>
        <v>0</v>
      </c>
      <c r="L85" s="2">
        <f t="shared" si="5"/>
        <v>0</v>
      </c>
      <c r="M85" s="69">
        <f t="shared" si="5"/>
        <v>0</v>
      </c>
      <c r="N85" s="63">
        <f t="shared" si="5"/>
        <v>0</v>
      </c>
      <c r="O85" s="63">
        <f t="shared" si="5"/>
        <v>0</v>
      </c>
      <c r="P85" s="63">
        <f t="shared" si="5"/>
        <v>0</v>
      </c>
      <c r="Q85" s="63">
        <f t="shared" si="5"/>
        <v>0</v>
      </c>
      <c r="R85" s="63">
        <f t="shared" si="5"/>
        <v>0</v>
      </c>
      <c r="S85" s="63">
        <f t="shared" si="5"/>
        <v>0</v>
      </c>
      <c r="T85" s="63">
        <f t="shared" si="5"/>
        <v>0</v>
      </c>
      <c r="U85" s="63">
        <f t="shared" si="5"/>
        <v>0</v>
      </c>
      <c r="V85" s="63">
        <f t="shared" si="5"/>
        <v>0</v>
      </c>
      <c r="W85" s="63">
        <f t="shared" si="5"/>
        <v>0</v>
      </c>
    </row>
    <row r="86" spans="1:24">
      <c r="A86" s="65" t="s">
        <v>211</v>
      </c>
      <c r="B86" s="2">
        <f t="shared" ref="B86:W86" si="6">SUMIF($X$41:$X$71,1600,B$41:B$71)</f>
        <v>0</v>
      </c>
      <c r="C86" s="2">
        <f t="shared" si="6"/>
        <v>0</v>
      </c>
      <c r="D86" s="2">
        <f t="shared" si="6"/>
        <v>0</v>
      </c>
      <c r="E86" s="2">
        <f t="shared" si="6"/>
        <v>0</v>
      </c>
      <c r="F86" s="2">
        <f t="shared" si="6"/>
        <v>0</v>
      </c>
      <c r="G86" s="2">
        <f t="shared" si="6"/>
        <v>0</v>
      </c>
      <c r="H86" s="2">
        <f t="shared" si="6"/>
        <v>0</v>
      </c>
      <c r="I86" s="2">
        <f t="shared" si="6"/>
        <v>0</v>
      </c>
      <c r="J86" s="2">
        <f t="shared" si="6"/>
        <v>0</v>
      </c>
      <c r="K86" s="2">
        <f t="shared" si="6"/>
        <v>0</v>
      </c>
      <c r="L86" s="2">
        <f t="shared" si="6"/>
        <v>0</v>
      </c>
      <c r="M86" s="69">
        <f t="shared" si="6"/>
        <v>0</v>
      </c>
      <c r="N86" s="63">
        <f t="shared" si="6"/>
        <v>0</v>
      </c>
      <c r="O86" s="63">
        <f t="shared" si="6"/>
        <v>0</v>
      </c>
      <c r="P86" s="63">
        <f t="shared" si="6"/>
        <v>0</v>
      </c>
      <c r="Q86" s="63">
        <f t="shared" si="6"/>
        <v>0</v>
      </c>
      <c r="R86" s="63">
        <f t="shared" si="6"/>
        <v>0</v>
      </c>
      <c r="S86" s="63">
        <f t="shared" si="6"/>
        <v>0</v>
      </c>
      <c r="T86" s="63">
        <f t="shared" si="6"/>
        <v>0</v>
      </c>
      <c r="U86" s="63">
        <f t="shared" si="6"/>
        <v>0</v>
      </c>
      <c r="V86" s="63">
        <f t="shared" si="6"/>
        <v>0</v>
      </c>
      <c r="W86" s="63">
        <f t="shared" si="6"/>
        <v>0</v>
      </c>
    </row>
    <row r="87" spans="1:24">
      <c r="A87" s="65" t="s">
        <v>276</v>
      </c>
      <c r="B87" s="2">
        <f t="shared" ref="B87:W87" si="7">SUM(B41:B57)</f>
        <v>1301758.3003163671</v>
      </c>
      <c r="C87" s="2">
        <f t="shared" si="7"/>
        <v>1760321.8</v>
      </c>
      <c r="D87" s="2">
        <f t="shared" si="7"/>
        <v>0</v>
      </c>
      <c r="E87" s="2">
        <f t="shared" si="7"/>
        <v>0</v>
      </c>
      <c r="F87" s="2">
        <f t="shared" si="7"/>
        <v>0</v>
      </c>
      <c r="G87" s="2">
        <f t="shared" si="7"/>
        <v>0</v>
      </c>
      <c r="H87" s="2">
        <f t="shared" si="7"/>
        <v>0</v>
      </c>
      <c r="I87" s="2">
        <f t="shared" si="7"/>
        <v>0</v>
      </c>
      <c r="J87" s="2">
        <f t="shared" si="7"/>
        <v>0</v>
      </c>
      <c r="K87" s="2">
        <f t="shared" si="7"/>
        <v>0</v>
      </c>
      <c r="L87" s="2">
        <f t="shared" si="7"/>
        <v>0</v>
      </c>
      <c r="M87" s="69">
        <f t="shared" si="7"/>
        <v>332.56136966908656</v>
      </c>
      <c r="N87" s="63">
        <f t="shared" si="7"/>
        <v>326.06826018548787</v>
      </c>
      <c r="O87" s="63">
        <f t="shared" si="7"/>
        <v>0</v>
      </c>
      <c r="P87" s="63">
        <f t="shared" si="7"/>
        <v>0</v>
      </c>
      <c r="Q87" s="63">
        <f t="shared" si="7"/>
        <v>0</v>
      </c>
      <c r="R87" s="63">
        <f t="shared" si="7"/>
        <v>0</v>
      </c>
      <c r="S87" s="63">
        <f t="shared" si="7"/>
        <v>0</v>
      </c>
      <c r="T87" s="63">
        <f t="shared" si="7"/>
        <v>0</v>
      </c>
      <c r="U87" s="63">
        <f t="shared" si="7"/>
        <v>0</v>
      </c>
      <c r="V87" s="63">
        <f t="shared" si="7"/>
        <v>0</v>
      </c>
      <c r="W87" s="63">
        <f t="shared" si="7"/>
        <v>0</v>
      </c>
    </row>
    <row r="88" spans="1:24">
      <c r="A88" s="65"/>
    </row>
    <row r="89" spans="1:24">
      <c r="A89" s="176" t="s">
        <v>428</v>
      </c>
      <c r="B89" s="68">
        <v>2018</v>
      </c>
      <c r="C89" s="50">
        <v>2019</v>
      </c>
      <c r="D89" s="50">
        <v>2020</v>
      </c>
      <c r="E89" s="50">
        <v>2021</v>
      </c>
      <c r="F89" s="50">
        <v>2022</v>
      </c>
      <c r="G89" s="50">
        <v>2023</v>
      </c>
      <c r="H89" s="50">
        <v>2024</v>
      </c>
      <c r="I89" s="50">
        <v>2025</v>
      </c>
      <c r="J89" s="50">
        <v>2026</v>
      </c>
      <c r="K89" s="50">
        <v>2027</v>
      </c>
      <c r="L89" s="50">
        <v>2028</v>
      </c>
      <c r="M89" s="68">
        <v>2018</v>
      </c>
      <c r="N89" s="50">
        <v>2019</v>
      </c>
      <c r="O89" s="50">
        <v>2020</v>
      </c>
      <c r="P89" s="50">
        <v>2021</v>
      </c>
      <c r="Q89" s="50">
        <v>2022</v>
      </c>
      <c r="R89" s="50">
        <v>2023</v>
      </c>
      <c r="S89" s="50">
        <v>2024</v>
      </c>
      <c r="T89" s="50">
        <v>2025</v>
      </c>
      <c r="U89" s="50">
        <v>2026</v>
      </c>
      <c r="V89" s="50">
        <v>2027</v>
      </c>
      <c r="W89" s="50">
        <v>2028</v>
      </c>
    </row>
    <row r="90" spans="1:24">
      <c r="A90" s="65" t="s">
        <v>205</v>
      </c>
      <c r="B90" s="2">
        <f t="shared" ref="B90:W90" si="8">SUMIF($X$58:$X$76,100,B$58:B$76)</f>
        <v>15565.403356582636</v>
      </c>
      <c r="C90" s="2">
        <f t="shared" si="8"/>
        <v>8476.3404000000028</v>
      </c>
      <c r="D90" s="2">
        <f t="shared" si="8"/>
        <v>0</v>
      </c>
      <c r="E90" s="2">
        <f t="shared" si="8"/>
        <v>0</v>
      </c>
      <c r="F90" s="2">
        <f t="shared" si="8"/>
        <v>0</v>
      </c>
      <c r="G90" s="2">
        <f t="shared" si="8"/>
        <v>0</v>
      </c>
      <c r="H90" s="2">
        <f t="shared" si="8"/>
        <v>0</v>
      </c>
      <c r="I90" s="2">
        <f t="shared" si="8"/>
        <v>0</v>
      </c>
      <c r="J90" s="2">
        <f t="shared" si="8"/>
        <v>0</v>
      </c>
      <c r="K90" s="2">
        <f t="shared" si="8"/>
        <v>0</v>
      </c>
      <c r="L90" s="2">
        <f t="shared" si="8"/>
        <v>0</v>
      </c>
      <c r="M90" s="69">
        <f t="shared" si="8"/>
        <v>120.38550607885156</v>
      </c>
      <c r="N90" s="63">
        <f t="shared" si="8"/>
        <v>50.545109760000017</v>
      </c>
      <c r="O90" s="63">
        <f t="shared" si="8"/>
        <v>0</v>
      </c>
      <c r="P90" s="63">
        <f t="shared" si="8"/>
        <v>0</v>
      </c>
      <c r="Q90" s="63">
        <f t="shared" si="8"/>
        <v>0</v>
      </c>
      <c r="R90" s="63">
        <f t="shared" si="8"/>
        <v>0</v>
      </c>
      <c r="S90" s="63">
        <f t="shared" si="8"/>
        <v>0</v>
      </c>
      <c r="T90" s="63">
        <f t="shared" si="8"/>
        <v>0</v>
      </c>
      <c r="U90" s="63">
        <f t="shared" si="8"/>
        <v>0</v>
      </c>
      <c r="V90" s="63">
        <f t="shared" si="8"/>
        <v>0</v>
      </c>
      <c r="W90" s="63">
        <f t="shared" si="8"/>
        <v>0</v>
      </c>
    </row>
    <row r="91" spans="1:24">
      <c r="A91" s="65" t="s">
        <v>206</v>
      </c>
      <c r="B91" s="2">
        <f t="shared" ref="B91:W91" si="9">SUMIF($X$58:$X$76,200,B$58:B$76)</f>
        <v>6891.440163934426</v>
      </c>
      <c r="C91" s="2">
        <f t="shared" si="9"/>
        <v>13025.030399999996</v>
      </c>
      <c r="D91" s="2">
        <f t="shared" si="9"/>
        <v>0</v>
      </c>
      <c r="E91" s="2">
        <f t="shared" si="9"/>
        <v>0</v>
      </c>
      <c r="F91" s="2">
        <f t="shared" si="9"/>
        <v>0</v>
      </c>
      <c r="G91" s="2">
        <f t="shared" si="9"/>
        <v>0</v>
      </c>
      <c r="H91" s="2">
        <f t="shared" si="9"/>
        <v>0</v>
      </c>
      <c r="I91" s="2">
        <f t="shared" si="9"/>
        <v>0</v>
      </c>
      <c r="J91" s="2">
        <f t="shared" si="9"/>
        <v>0</v>
      </c>
      <c r="K91" s="2">
        <f t="shared" si="9"/>
        <v>0</v>
      </c>
      <c r="L91" s="2">
        <f t="shared" si="9"/>
        <v>0</v>
      </c>
      <c r="M91" s="69">
        <f t="shared" si="9"/>
        <v>54.57638763040238</v>
      </c>
      <c r="N91" s="63">
        <f t="shared" si="9"/>
        <v>77.470519156363622</v>
      </c>
      <c r="O91" s="63">
        <f t="shared" si="9"/>
        <v>0</v>
      </c>
      <c r="P91" s="63">
        <f t="shared" si="9"/>
        <v>0</v>
      </c>
      <c r="Q91" s="63">
        <f t="shared" si="9"/>
        <v>0</v>
      </c>
      <c r="R91" s="63">
        <f t="shared" si="9"/>
        <v>0</v>
      </c>
      <c r="S91" s="63">
        <f t="shared" si="9"/>
        <v>0</v>
      </c>
      <c r="T91" s="63">
        <f t="shared" si="9"/>
        <v>0</v>
      </c>
      <c r="U91" s="63">
        <f t="shared" si="9"/>
        <v>0</v>
      </c>
      <c r="V91" s="63">
        <f t="shared" si="9"/>
        <v>0</v>
      </c>
      <c r="W91" s="63">
        <f t="shared" si="9"/>
        <v>0</v>
      </c>
    </row>
    <row r="92" spans="1:24">
      <c r="A92" s="65" t="s">
        <v>207</v>
      </c>
      <c r="B92" s="2">
        <f t="shared" ref="B92:W92" si="10">SUMIF($X$58:$X$76,400,B$58:B$76)</f>
        <v>1750</v>
      </c>
      <c r="C92" s="2">
        <f t="shared" si="10"/>
        <v>3483</v>
      </c>
      <c r="D92" s="2">
        <f t="shared" si="10"/>
        <v>0</v>
      </c>
      <c r="E92" s="2">
        <f t="shared" si="10"/>
        <v>0</v>
      </c>
      <c r="F92" s="2">
        <f t="shared" si="10"/>
        <v>0</v>
      </c>
      <c r="G92" s="2">
        <f t="shared" si="10"/>
        <v>0</v>
      </c>
      <c r="H92" s="2">
        <f t="shared" si="10"/>
        <v>0</v>
      </c>
      <c r="I92" s="2">
        <f t="shared" si="10"/>
        <v>0</v>
      </c>
      <c r="J92" s="2">
        <f t="shared" si="10"/>
        <v>0</v>
      </c>
      <c r="K92" s="2">
        <f t="shared" si="10"/>
        <v>0</v>
      </c>
      <c r="L92" s="2">
        <f t="shared" si="10"/>
        <v>0</v>
      </c>
      <c r="M92" s="69">
        <f t="shared" si="10"/>
        <v>0</v>
      </c>
      <c r="N92" s="63">
        <f t="shared" si="10"/>
        <v>30.39709090909091</v>
      </c>
      <c r="O92" s="63">
        <f t="shared" si="10"/>
        <v>0</v>
      </c>
      <c r="P92" s="63">
        <f t="shared" si="10"/>
        <v>0</v>
      </c>
      <c r="Q92" s="63">
        <f t="shared" si="10"/>
        <v>0</v>
      </c>
      <c r="R92" s="63">
        <f t="shared" si="10"/>
        <v>0</v>
      </c>
      <c r="S92" s="63">
        <f t="shared" si="10"/>
        <v>0</v>
      </c>
      <c r="T92" s="63">
        <f t="shared" si="10"/>
        <v>0</v>
      </c>
      <c r="U92" s="63">
        <f t="shared" si="10"/>
        <v>0</v>
      </c>
      <c r="V92" s="63">
        <f t="shared" si="10"/>
        <v>0</v>
      </c>
      <c r="W92" s="63">
        <f t="shared" si="10"/>
        <v>0</v>
      </c>
    </row>
    <row r="93" spans="1:24">
      <c r="A93" s="65" t="s">
        <v>429</v>
      </c>
      <c r="B93" s="2">
        <f t="shared" ref="B93:W93" si="11">SUMIF($X$58:$X$76,600,B$58:B$76)+SUMIF($X$58:$X$76,800,B$58:B$76)</f>
        <v>0</v>
      </c>
      <c r="C93" s="2">
        <f t="shared" si="11"/>
        <v>1.6400000000000003</v>
      </c>
      <c r="D93" s="2">
        <f t="shared" si="11"/>
        <v>0</v>
      </c>
      <c r="E93" s="2">
        <f t="shared" si="11"/>
        <v>0</v>
      </c>
      <c r="F93" s="2">
        <f t="shared" si="11"/>
        <v>0</v>
      </c>
      <c r="G93" s="2">
        <f t="shared" si="11"/>
        <v>0</v>
      </c>
      <c r="H93" s="2">
        <f t="shared" si="11"/>
        <v>0</v>
      </c>
      <c r="I93" s="2">
        <f t="shared" si="11"/>
        <v>0</v>
      </c>
      <c r="J93" s="2">
        <f t="shared" si="11"/>
        <v>0</v>
      </c>
      <c r="K93" s="2">
        <f t="shared" si="11"/>
        <v>0</v>
      </c>
      <c r="L93" s="2">
        <f t="shared" si="11"/>
        <v>0</v>
      </c>
      <c r="M93" s="69">
        <f t="shared" si="11"/>
        <v>0</v>
      </c>
      <c r="N93" s="63">
        <f t="shared" si="11"/>
        <v>1.6400000000000005E-2</v>
      </c>
      <c r="O93" s="63">
        <f t="shared" si="11"/>
        <v>0</v>
      </c>
      <c r="P93" s="63">
        <f t="shared" si="11"/>
        <v>0</v>
      </c>
      <c r="Q93" s="63">
        <f t="shared" si="11"/>
        <v>0</v>
      </c>
      <c r="R93" s="63">
        <f t="shared" si="11"/>
        <v>0</v>
      </c>
      <c r="S93" s="63">
        <f t="shared" si="11"/>
        <v>0</v>
      </c>
      <c r="T93" s="63">
        <f t="shared" si="11"/>
        <v>0</v>
      </c>
      <c r="U93" s="63">
        <f t="shared" si="11"/>
        <v>0</v>
      </c>
      <c r="V93" s="63">
        <f t="shared" si="11"/>
        <v>0</v>
      </c>
      <c r="W93" s="63">
        <f t="shared" si="11"/>
        <v>0</v>
      </c>
    </row>
    <row r="94" spans="1:24">
      <c r="A94" s="65" t="s">
        <v>430</v>
      </c>
      <c r="B94" s="2">
        <f t="shared" ref="B94:W94" si="12">SUMIF($X$58:$X$76,1200,B$58:B$76)+SUMIF($X$58:$X$76,1600,B$58:B$76)</f>
        <v>0</v>
      </c>
      <c r="C94" s="2">
        <f t="shared" si="12"/>
        <v>0</v>
      </c>
      <c r="D94" s="2">
        <f t="shared" si="12"/>
        <v>0</v>
      </c>
      <c r="E94" s="2">
        <f t="shared" si="12"/>
        <v>0</v>
      </c>
      <c r="F94" s="2">
        <f t="shared" si="12"/>
        <v>0</v>
      </c>
      <c r="G94" s="2">
        <f t="shared" si="12"/>
        <v>0</v>
      </c>
      <c r="H94" s="2">
        <f t="shared" si="12"/>
        <v>0</v>
      </c>
      <c r="I94" s="2">
        <f t="shared" si="12"/>
        <v>0</v>
      </c>
      <c r="J94" s="2">
        <f t="shared" si="12"/>
        <v>0</v>
      </c>
      <c r="K94" s="2">
        <f t="shared" si="12"/>
        <v>0</v>
      </c>
      <c r="L94" s="2">
        <f t="shared" si="12"/>
        <v>0</v>
      </c>
      <c r="M94" s="69">
        <f t="shared" si="12"/>
        <v>0</v>
      </c>
      <c r="N94" s="63">
        <f t="shared" si="12"/>
        <v>0</v>
      </c>
      <c r="O94" s="63">
        <f t="shared" si="12"/>
        <v>0</v>
      </c>
      <c r="P94" s="63">
        <f t="shared" si="12"/>
        <v>0</v>
      </c>
      <c r="Q94" s="63">
        <f t="shared" si="12"/>
        <v>0</v>
      </c>
      <c r="R94" s="63">
        <f t="shared" si="12"/>
        <v>0</v>
      </c>
      <c r="S94" s="63">
        <f t="shared" si="12"/>
        <v>0</v>
      </c>
      <c r="T94" s="63">
        <f t="shared" si="12"/>
        <v>0</v>
      </c>
      <c r="U94" s="63">
        <f t="shared" si="12"/>
        <v>0</v>
      </c>
      <c r="V94" s="63">
        <f t="shared" si="12"/>
        <v>0</v>
      </c>
      <c r="W94" s="63">
        <f t="shared" si="12"/>
        <v>0</v>
      </c>
    </row>
    <row r="95" spans="1:24">
      <c r="A95" s="65" t="s">
        <v>277</v>
      </c>
      <c r="B95" s="2">
        <f>SUM(B58:B76)</f>
        <v>29977.756920517066</v>
      </c>
      <c r="C95" s="2">
        <f t="shared" ref="C95:W95" si="13">SUM(C58:C76)</f>
        <v>28664.521529066751</v>
      </c>
      <c r="D95" s="2">
        <f t="shared" si="13"/>
        <v>0</v>
      </c>
      <c r="E95" s="2">
        <f t="shared" si="13"/>
        <v>0</v>
      </c>
      <c r="F95" s="2">
        <f t="shared" si="13"/>
        <v>0</v>
      </c>
      <c r="G95" s="2">
        <f t="shared" si="13"/>
        <v>0</v>
      </c>
      <c r="H95" s="2">
        <f t="shared" si="13"/>
        <v>0</v>
      </c>
      <c r="I95" s="2">
        <f t="shared" si="13"/>
        <v>0</v>
      </c>
      <c r="J95" s="2">
        <f t="shared" si="13"/>
        <v>0</v>
      </c>
      <c r="K95" s="2">
        <f t="shared" si="13"/>
        <v>0</v>
      </c>
      <c r="L95" s="2">
        <f t="shared" si="13"/>
        <v>0</v>
      </c>
      <c r="M95" s="69">
        <f t="shared" si="13"/>
        <v>177.72658945584715</v>
      </c>
      <c r="N95" s="63">
        <f t="shared" si="13"/>
        <v>159.86973811094987</v>
      </c>
      <c r="O95" s="63">
        <f t="shared" si="13"/>
        <v>0</v>
      </c>
      <c r="P95" s="63">
        <f t="shared" si="13"/>
        <v>0</v>
      </c>
      <c r="Q95" s="63">
        <f t="shared" si="13"/>
        <v>0</v>
      </c>
      <c r="R95" s="63">
        <f t="shared" si="13"/>
        <v>0</v>
      </c>
      <c r="S95" s="63">
        <f t="shared" si="13"/>
        <v>0</v>
      </c>
      <c r="T95" s="63">
        <f t="shared" si="13"/>
        <v>0</v>
      </c>
      <c r="U95" s="63">
        <f t="shared" si="13"/>
        <v>0</v>
      </c>
      <c r="V95" s="63">
        <f t="shared" si="13"/>
        <v>0</v>
      </c>
      <c r="W95" s="63">
        <f t="shared" si="13"/>
        <v>0</v>
      </c>
    </row>
    <row r="96" spans="1:24">
      <c r="A96" s="67" t="s">
        <v>340</v>
      </c>
      <c r="B96" s="59">
        <f t="shared" ref="B96:L96" si="14">B95+B87-B77</f>
        <v>0</v>
      </c>
      <c r="C96" s="59">
        <f t="shared" si="14"/>
        <v>0</v>
      </c>
      <c r="D96" s="59">
        <f t="shared" si="14"/>
        <v>0</v>
      </c>
      <c r="E96" s="59">
        <f t="shared" si="14"/>
        <v>0</v>
      </c>
      <c r="F96" s="59">
        <f t="shared" si="14"/>
        <v>0</v>
      </c>
      <c r="G96" s="59">
        <f t="shared" si="14"/>
        <v>0</v>
      </c>
      <c r="H96" s="59">
        <f t="shared" si="14"/>
        <v>0</v>
      </c>
      <c r="I96" s="59">
        <f t="shared" si="14"/>
        <v>0</v>
      </c>
      <c r="J96" s="59">
        <f t="shared" si="14"/>
        <v>0</v>
      </c>
      <c r="K96" s="59">
        <f t="shared" si="14"/>
        <v>0</v>
      </c>
      <c r="L96" s="59">
        <f t="shared" si="14"/>
        <v>0</v>
      </c>
      <c r="M96" s="59">
        <f>M95+M87-M77</f>
        <v>0</v>
      </c>
      <c r="N96" s="59">
        <f t="shared" ref="N96:W96" si="15">N95+N87-N77</f>
        <v>0</v>
      </c>
      <c r="O96" s="59">
        <f t="shared" si="15"/>
        <v>0</v>
      </c>
      <c r="P96" s="59">
        <f t="shared" si="15"/>
        <v>0</v>
      </c>
      <c r="Q96" s="59">
        <f t="shared" si="15"/>
        <v>0</v>
      </c>
      <c r="R96" s="59">
        <f t="shared" si="15"/>
        <v>0</v>
      </c>
      <c r="S96" s="59">
        <f t="shared" si="15"/>
        <v>0</v>
      </c>
      <c r="T96" s="59">
        <f t="shared" si="15"/>
        <v>0</v>
      </c>
      <c r="U96" s="59">
        <f t="shared" si="15"/>
        <v>0</v>
      </c>
      <c r="V96" s="59">
        <f t="shared" si="15"/>
        <v>0</v>
      </c>
      <c r="W96" s="59">
        <f t="shared" si="15"/>
        <v>0</v>
      </c>
    </row>
    <row r="98" spans="1:23">
      <c r="M98" s="68">
        <v>2018</v>
      </c>
      <c r="N98" s="50">
        <v>2019</v>
      </c>
      <c r="O98" s="50">
        <v>2020</v>
      </c>
      <c r="P98" s="50">
        <v>2021</v>
      </c>
      <c r="Q98" s="50">
        <v>2022</v>
      </c>
      <c r="R98" s="112">
        <v>2023</v>
      </c>
      <c r="S98" s="50">
        <v>2024</v>
      </c>
      <c r="T98" s="50">
        <v>2025</v>
      </c>
      <c r="U98" s="50">
        <v>2026</v>
      </c>
      <c r="V98" s="50">
        <v>2027</v>
      </c>
      <c r="W98" s="50">
        <v>2028</v>
      </c>
    </row>
    <row r="99" spans="1:23">
      <c r="A99" s="25" t="s">
        <v>341</v>
      </c>
      <c r="M99" s="76">
        <v>13980</v>
      </c>
      <c r="N99" s="76">
        <v>15520</v>
      </c>
      <c r="O99" s="76">
        <v>15720</v>
      </c>
      <c r="P99" s="76">
        <v>19240</v>
      </c>
      <c r="Q99" s="76">
        <v>31540</v>
      </c>
      <c r="R99" s="76">
        <f>Q99*$R$100</f>
        <v>34694</v>
      </c>
      <c r="S99" s="76">
        <f t="shared" ref="S99:W99" si="16">R99*$R$100</f>
        <v>38163.4</v>
      </c>
      <c r="T99" s="76">
        <f t="shared" si="16"/>
        <v>41979.740000000005</v>
      </c>
      <c r="U99" s="76">
        <f t="shared" si="16"/>
        <v>46177.714000000007</v>
      </c>
      <c r="V99" s="76">
        <f t="shared" si="16"/>
        <v>50795.485400000012</v>
      </c>
      <c r="W99" s="76">
        <f t="shared" si="16"/>
        <v>55875.033940000016</v>
      </c>
    </row>
    <row r="100" spans="1:23">
      <c r="A100" s="25" t="s">
        <v>350</v>
      </c>
      <c r="N100" s="119">
        <f>N99/M99</f>
        <v>1.1101573676680974</v>
      </c>
      <c r="O100" s="119">
        <f>O99/N99</f>
        <v>1.0128865979381443</v>
      </c>
      <c r="P100" s="119">
        <f>P99/O99</f>
        <v>1.2239185750636132</v>
      </c>
      <c r="Q100" s="119">
        <f>Q99/P99</f>
        <v>1.6392931392931394</v>
      </c>
      <c r="R100" s="120">
        <v>1.1000000000000001</v>
      </c>
    </row>
    <row r="101" spans="1:23">
      <c r="A101" s="25" t="str">
        <f>"Ethernet transceivers % of total capex: "&amp;$A$39</f>
        <v>Ethernet transceivers % of total capex: Meta</v>
      </c>
      <c r="M101" s="111">
        <f t="shared" ref="M101:R101" si="17">M87/M99</f>
        <v>2.378836692911921E-2</v>
      </c>
      <c r="N101" s="111">
        <f t="shared" si="17"/>
        <v>2.1009552847003083E-2</v>
      </c>
      <c r="O101" s="111">
        <f t="shared" si="17"/>
        <v>0</v>
      </c>
      <c r="P101" s="111">
        <f t="shared" si="17"/>
        <v>0</v>
      </c>
      <c r="Q101" s="111">
        <f t="shared" si="17"/>
        <v>0</v>
      </c>
      <c r="R101" s="111">
        <f t="shared" si="17"/>
        <v>0</v>
      </c>
      <c r="S101" s="111">
        <f t="shared" ref="S101:W101" si="18">S87/S99</f>
        <v>0</v>
      </c>
      <c r="T101" s="111">
        <f t="shared" si="18"/>
        <v>0</v>
      </c>
      <c r="U101" s="111">
        <f t="shared" si="18"/>
        <v>0</v>
      </c>
      <c r="V101" s="111">
        <f t="shared" si="18"/>
        <v>0</v>
      </c>
      <c r="W101" s="111">
        <f t="shared" si="18"/>
        <v>0</v>
      </c>
    </row>
    <row r="102" spans="1:23">
      <c r="A102" s="25" t="str">
        <f>"DWDM transceivers % of total capex: "&amp;$A$39</f>
        <v>DWDM transceivers % of total capex: Meta</v>
      </c>
      <c r="M102" s="111">
        <f>M95/M99</f>
        <v>1.2712917700704374E-2</v>
      </c>
      <c r="N102" s="111">
        <f t="shared" ref="N102:W102" si="19">N95/N99</f>
        <v>1.0300885187561204E-2</v>
      </c>
      <c r="O102" s="111">
        <f t="shared" si="19"/>
        <v>0</v>
      </c>
      <c r="P102" s="111">
        <f t="shared" si="19"/>
        <v>0</v>
      </c>
      <c r="Q102" s="111">
        <f t="shared" si="19"/>
        <v>0</v>
      </c>
      <c r="R102" s="111">
        <f t="shared" si="19"/>
        <v>0</v>
      </c>
      <c r="S102" s="111">
        <f t="shared" si="19"/>
        <v>0</v>
      </c>
      <c r="T102" s="111">
        <f t="shared" si="19"/>
        <v>0</v>
      </c>
      <c r="U102" s="111">
        <f t="shared" si="19"/>
        <v>0</v>
      </c>
      <c r="V102" s="111">
        <f t="shared" si="19"/>
        <v>0</v>
      </c>
      <c r="W102" s="111">
        <f t="shared" si="19"/>
        <v>0</v>
      </c>
    </row>
    <row r="103" spans="1:23">
      <c r="A103" s="25" t="str">
        <f>"Ethernet&amp;DWDM transceivers % of total capex: "&amp;$A$39</f>
        <v>Ethernet&amp;DWDM transceivers % of total capex: Meta</v>
      </c>
      <c r="M103" s="111">
        <f>M102+M101</f>
        <v>3.6501284629823584E-2</v>
      </c>
      <c r="N103" s="111">
        <f t="shared" ref="N103:W103" si="20">N102+N101</f>
        <v>3.1310438034564285E-2</v>
      </c>
      <c r="O103" s="111">
        <f t="shared" si="20"/>
        <v>0</v>
      </c>
      <c r="P103" s="111">
        <f t="shared" si="20"/>
        <v>0</v>
      </c>
      <c r="Q103" s="111">
        <f t="shared" si="20"/>
        <v>0</v>
      </c>
      <c r="R103" s="111">
        <f t="shared" si="20"/>
        <v>0</v>
      </c>
      <c r="S103" s="111">
        <f t="shared" si="20"/>
        <v>0</v>
      </c>
      <c r="T103" s="111">
        <f t="shared" si="20"/>
        <v>0</v>
      </c>
      <c r="U103" s="111">
        <f t="shared" si="20"/>
        <v>0</v>
      </c>
      <c r="V103" s="111">
        <f t="shared" si="20"/>
        <v>0</v>
      </c>
      <c r="W103" s="111">
        <f t="shared" si="20"/>
        <v>0</v>
      </c>
    </row>
    <row r="106" spans="1:23">
      <c r="A106" t="s">
        <v>254</v>
      </c>
    </row>
    <row r="107" spans="1:23">
      <c r="A107" s="40" t="s">
        <v>213</v>
      </c>
      <c r="B107" s="17">
        <v>2018</v>
      </c>
      <c r="C107" s="17">
        <v>2019</v>
      </c>
      <c r="D107" s="17">
        <v>2020</v>
      </c>
      <c r="E107" s="17">
        <v>2021</v>
      </c>
      <c r="F107" s="17">
        <v>2022</v>
      </c>
      <c r="G107" s="17">
        <v>2023</v>
      </c>
      <c r="H107" s="17">
        <v>2024</v>
      </c>
      <c r="I107" s="17">
        <v>2025</v>
      </c>
      <c r="J107" s="17">
        <v>2026</v>
      </c>
      <c r="K107" s="17">
        <v>2027</v>
      </c>
      <c r="L107" s="17">
        <v>2028</v>
      </c>
    </row>
    <row r="108" spans="1:23">
      <c r="A108" s="25" t="s">
        <v>250</v>
      </c>
      <c r="B108" s="32">
        <f t="shared" ref="B108:L108" si="21">SUMPRODUCT(B41:B57,$X$41:$X$57)/10^6</f>
        <v>114.45969420316366</v>
      </c>
      <c r="C108" s="32">
        <f t="shared" si="21"/>
        <v>174.304192</v>
      </c>
      <c r="D108" s="32">
        <f t="shared" si="21"/>
        <v>0</v>
      </c>
      <c r="E108" s="32">
        <f t="shared" si="21"/>
        <v>0</v>
      </c>
      <c r="F108" s="32">
        <f t="shared" si="21"/>
        <v>0</v>
      </c>
      <c r="G108" s="32">
        <f t="shared" si="21"/>
        <v>0</v>
      </c>
      <c r="H108" s="32">
        <f t="shared" si="21"/>
        <v>0</v>
      </c>
      <c r="I108" s="32">
        <f t="shared" si="21"/>
        <v>0</v>
      </c>
      <c r="J108" s="32">
        <f t="shared" si="21"/>
        <v>0</v>
      </c>
      <c r="K108" s="32">
        <f t="shared" si="21"/>
        <v>0</v>
      </c>
      <c r="L108" s="32">
        <f t="shared" si="21"/>
        <v>0</v>
      </c>
    </row>
    <row r="109" spans="1:23">
      <c r="A109" s="25" t="s">
        <v>251</v>
      </c>
      <c r="B109" s="54">
        <f>B108+138.57</f>
        <v>253.02969420316367</v>
      </c>
      <c r="C109" s="29">
        <f>B109+C108</f>
        <v>427.33388620316367</v>
      </c>
      <c r="D109" s="29">
        <f>C109+D108</f>
        <v>427.33388620316367</v>
      </c>
      <c r="E109" s="29">
        <f t="shared" ref="E109:L109" si="22">D109+E108</f>
        <v>427.33388620316367</v>
      </c>
      <c r="F109" s="29">
        <f t="shared" si="22"/>
        <v>427.33388620316367</v>
      </c>
      <c r="G109" s="29">
        <f t="shared" si="22"/>
        <v>427.33388620316367</v>
      </c>
      <c r="H109" s="29">
        <f t="shared" si="22"/>
        <v>427.33388620316367</v>
      </c>
      <c r="I109" s="29">
        <f t="shared" si="22"/>
        <v>427.33388620316367</v>
      </c>
      <c r="J109" s="29">
        <f t="shared" si="22"/>
        <v>427.33388620316367</v>
      </c>
      <c r="K109" s="29">
        <f t="shared" si="22"/>
        <v>427.33388620316367</v>
      </c>
      <c r="L109" s="29">
        <f t="shared" si="22"/>
        <v>427.33388620316367</v>
      </c>
    </row>
    <row r="110" spans="1:23">
      <c r="A110" s="25" t="s">
        <v>252</v>
      </c>
      <c r="B110" s="26"/>
      <c r="C110" s="31">
        <f>C109/B109-1</f>
        <v>0.68886852410313137</v>
      </c>
      <c r="D110" s="31">
        <f t="shared" ref="D110:L110" si="23">D109/C109-1</f>
        <v>0</v>
      </c>
      <c r="E110" s="31">
        <f t="shared" si="23"/>
        <v>0</v>
      </c>
      <c r="F110" s="31">
        <f t="shared" si="23"/>
        <v>0</v>
      </c>
      <c r="G110" s="31">
        <f t="shared" si="23"/>
        <v>0</v>
      </c>
      <c r="H110" s="31">
        <f t="shared" si="23"/>
        <v>0</v>
      </c>
      <c r="I110" s="31">
        <f t="shared" si="23"/>
        <v>0</v>
      </c>
      <c r="J110" s="31">
        <f t="shared" si="23"/>
        <v>0</v>
      </c>
      <c r="K110" s="31">
        <f t="shared" si="23"/>
        <v>0</v>
      </c>
      <c r="L110" s="31">
        <f t="shared" si="23"/>
        <v>0</v>
      </c>
    </row>
    <row r="112" spans="1:23">
      <c r="A112" s="40" t="s">
        <v>214</v>
      </c>
      <c r="B112" s="17">
        <v>2018</v>
      </c>
      <c r="C112" s="17">
        <v>2019</v>
      </c>
      <c r="D112" s="17">
        <v>2020</v>
      </c>
      <c r="E112" s="17">
        <v>2021</v>
      </c>
      <c r="F112" s="17">
        <v>2022</v>
      </c>
      <c r="G112" s="17">
        <v>2023</v>
      </c>
      <c r="H112" s="17">
        <v>2024</v>
      </c>
      <c r="I112" s="17">
        <v>2025</v>
      </c>
      <c r="J112" s="17">
        <v>2026</v>
      </c>
      <c r="K112" s="17">
        <v>2027</v>
      </c>
      <c r="L112" s="17">
        <v>2028</v>
      </c>
    </row>
    <row r="113" spans="1:12">
      <c r="A113" s="25" t="s">
        <v>250</v>
      </c>
      <c r="B113" s="32">
        <f t="shared" ref="B113:L113" si="24">SUMPRODUCT(B58:B76,$X$58:$X$76)/10^6</f>
        <v>3.6925375024451488</v>
      </c>
      <c r="C113" s="32">
        <f t="shared" si="24"/>
        <v>4.8836092272906679</v>
      </c>
      <c r="D113" s="32">
        <f t="shared" si="24"/>
        <v>0</v>
      </c>
      <c r="E113" s="32">
        <f t="shared" si="24"/>
        <v>0</v>
      </c>
      <c r="F113" s="32">
        <f t="shared" si="24"/>
        <v>0</v>
      </c>
      <c r="G113" s="32">
        <f t="shared" si="24"/>
        <v>0</v>
      </c>
      <c r="H113" s="32">
        <f t="shared" si="24"/>
        <v>0</v>
      </c>
      <c r="I113" s="32">
        <f t="shared" si="24"/>
        <v>0</v>
      </c>
      <c r="J113" s="32">
        <f t="shared" si="24"/>
        <v>0</v>
      </c>
      <c r="K113" s="32">
        <f t="shared" si="24"/>
        <v>0</v>
      </c>
      <c r="L113" s="32">
        <f t="shared" si="24"/>
        <v>0</v>
      </c>
    </row>
    <row r="114" spans="1:12">
      <c r="A114" s="25" t="s">
        <v>251</v>
      </c>
      <c r="B114" s="54">
        <f>B113+5.1</f>
        <v>8.792537502445148</v>
      </c>
      <c r="C114" s="29">
        <f>B114+C113</f>
        <v>13.676146729735816</v>
      </c>
      <c r="D114" s="29">
        <f>C114+D113</f>
        <v>13.676146729735816</v>
      </c>
      <c r="E114" s="29">
        <f t="shared" ref="E114" si="25">D114+E113</f>
        <v>13.676146729735816</v>
      </c>
      <c r="F114" s="29">
        <f t="shared" ref="F114" si="26">E114+F113</f>
        <v>13.676146729735816</v>
      </c>
      <c r="G114" s="29">
        <f t="shared" ref="G114" si="27">F114+G113</f>
        <v>13.676146729735816</v>
      </c>
      <c r="H114" s="29">
        <f t="shared" ref="H114" si="28">G114+H113</f>
        <v>13.676146729735816</v>
      </c>
      <c r="I114" s="29">
        <f t="shared" ref="I114" si="29">H114+I113</f>
        <v>13.676146729735816</v>
      </c>
      <c r="J114" s="29">
        <f t="shared" ref="J114" si="30">I114+J113</f>
        <v>13.676146729735816</v>
      </c>
      <c r="K114" s="29">
        <f t="shared" ref="K114" si="31">J114+K113</f>
        <v>13.676146729735816</v>
      </c>
      <c r="L114" s="29">
        <f t="shared" ref="L114" si="32">K114+L113</f>
        <v>13.676146729735816</v>
      </c>
    </row>
    <row r="115" spans="1:12">
      <c r="A115" s="25" t="s">
        <v>252</v>
      </c>
      <c r="B115" s="26"/>
      <c r="C115" s="31">
        <f>C114/B114-1</f>
        <v>0.55542660192607274</v>
      </c>
      <c r="D115" s="31">
        <f t="shared" ref="D115" si="33">D114/C114-1</f>
        <v>0</v>
      </c>
      <c r="E115" s="31">
        <f t="shared" ref="E115" si="34">E114/D114-1</f>
        <v>0</v>
      </c>
      <c r="F115" s="31">
        <f t="shared" ref="F115" si="35">F114/E114-1</f>
        <v>0</v>
      </c>
      <c r="G115" s="31">
        <f t="shared" ref="G115" si="36">G114/F114-1</f>
        <v>0</v>
      </c>
      <c r="H115" s="31">
        <f t="shared" ref="H115" si="37">H114/G114-1</f>
        <v>0</v>
      </c>
      <c r="I115" s="31">
        <f t="shared" ref="I115" si="38">I114/H114-1</f>
        <v>0</v>
      </c>
      <c r="J115" s="31">
        <f t="shared" ref="J115" si="39">J114/I114-1</f>
        <v>0</v>
      </c>
      <c r="K115" s="31">
        <f t="shared" ref="K115" si="40">K114/J114-1</f>
        <v>0</v>
      </c>
      <c r="L115" s="31">
        <f t="shared" ref="L115" si="41">L114/K114-1</f>
        <v>0</v>
      </c>
    </row>
  </sheetData>
  <mergeCells count="2">
    <mergeCell ref="B39:L39"/>
    <mergeCell ref="M39:W39"/>
  </mergeCells>
  <dataValidations count="1">
    <dataValidation type="list" allowBlank="1" showInputMessage="1" showErrorMessage="1" sqref="A41:A76" xr:uid="{00000000-0002-0000-0500-000000000000}">
      <formula1>INDIRECT("Products[LookupCodes]")</formula1>
    </dataValidation>
  </dataValidations>
  <pageMargins left="0.7" right="0.7" top="0.75" bottom="0.75" header="0.3" footer="0.3"/>
  <pageSetup paperSize="9" orientation="portrait" r:id="rId1"/>
  <ignoredErrors>
    <ignoredError sqref="N41:W41" calculatedColumn="1"/>
  </ignoredErrors>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J120"/>
  <sheetViews>
    <sheetView zoomScale="50" zoomScaleNormal="50" workbookViewId="0">
      <pane xSplit="1" topLeftCell="B1" activePane="topRight" state="frozen"/>
      <selection activeCell="V12" sqref="V12"/>
      <selection pane="topRight" activeCell="A4" sqref="A4"/>
    </sheetView>
  </sheetViews>
  <sheetFormatPr defaultColWidth="8.5" defaultRowHeight="15.75"/>
  <cols>
    <col min="1" max="1" width="35.5" bestFit="1" customWidth="1"/>
    <col min="5" max="12" width="9.5" customWidth="1"/>
    <col min="18" max="18" width="9.3125" bestFit="1" customWidth="1"/>
    <col min="19" max="21" width="8.5" bestFit="1" customWidth="1"/>
    <col min="22" max="23" width="9.1875" bestFit="1"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Amazon</v>
      </c>
    </row>
    <row r="5" spans="1:36" s="1" customFormat="1" ht="14.25">
      <c r="A5" s="19"/>
    </row>
    <row r="7" spans="1:36" ht="15" customHeight="1"/>
    <row r="8" spans="1:36">
      <c r="B8" s="163" t="str">
        <f>"Ethernet transceivers consumed annually by "&amp;A39</f>
        <v>Ethernet transceivers consumed annually by Amazon</v>
      </c>
      <c r="C8" s="163"/>
      <c r="D8" s="163"/>
      <c r="E8" s="163"/>
      <c r="F8" s="163"/>
      <c r="G8" s="163"/>
      <c r="J8" s="163" t="str">
        <f>"DWDM transceivers consumed annually by "&amp;A39</f>
        <v>DWDM transceivers consumed annually by Amazon</v>
      </c>
      <c r="K8" s="163"/>
      <c r="L8" s="163"/>
      <c r="M8" s="163"/>
      <c r="N8" s="163"/>
      <c r="Q8" s="163"/>
      <c r="R8" s="163" t="str">
        <f>"Annual spending on Ethernet transceivers by "&amp;A39</f>
        <v>Annual spending on Ethernet transceivers by Amazon</v>
      </c>
      <c r="S8" s="163"/>
      <c r="T8" s="163"/>
      <c r="U8" s="163"/>
      <c r="X8" s="163"/>
      <c r="Y8" s="163"/>
      <c r="Z8" s="163" t="str">
        <f>"Annual spending on DWDM transceivers by "&amp;A39</f>
        <v>Annual spending on DWDM transceivers by Amazon</v>
      </c>
      <c r="AA8" s="163"/>
      <c r="AB8" s="163"/>
      <c r="AC8" s="163"/>
      <c r="AD8" s="163"/>
      <c r="AE8" s="163"/>
      <c r="AF8" s="163"/>
      <c r="AG8" s="163"/>
      <c r="AH8" s="163"/>
      <c r="AI8" s="163"/>
      <c r="AJ8" s="163"/>
    </row>
    <row r="39" spans="1:24">
      <c r="A39" s="12" t="s">
        <v>146</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116424.55171616812</v>
      </c>
      <c r="C41" s="8">
        <v>99555.562334282091</v>
      </c>
      <c r="D41" s="8"/>
      <c r="E41" s="8"/>
      <c r="F41" s="8"/>
      <c r="G41" s="8"/>
      <c r="H41" s="8"/>
      <c r="I41" s="8"/>
      <c r="J41" s="8"/>
      <c r="K41" s="8"/>
      <c r="L41" s="8"/>
      <c r="M41" s="62" cm="1">
        <f t="array" ref="M41">INDEX(tblPrices[cv_2018], MATCH(tblAmazonUnits[[#This Row],[Products]],tblPrices[Products],0), 0)* tblAmazonUnits[[#This Row],[cv_2018]]/10^6</f>
        <v>1.498747164900087</v>
      </c>
      <c r="N41" s="62" cm="1">
        <f t="array" ref="N41">INDEX(tblPrices[cv_2019], MATCH(tblAmazonUnits[[#This Row],[Products]],tblPrices[Products],0), 0)* tblAmazonUnits[[#This Row],[cv_2019]]/10^6</f>
        <v>1.1849012514277226</v>
      </c>
      <c r="O41" s="62" cm="1">
        <f t="array" ref="O41">INDEX(tblPrices[cv_2020], MATCH(tblAmazonUnits[[#This Row],[Products]],tblPrices[Products],0), 0)* tblAmazonUnits[[#This Row],[cv_2020]]/10^6</f>
        <v>0</v>
      </c>
      <c r="P41" s="62" cm="1">
        <f t="array" ref="P41">INDEX(tblPrices[cv_2021], MATCH(tblAmazonUnits[[#This Row],[Products]],tblPrices[Products],0), 0)* tblAmazonUnits[[#This Row],[cv_2021]]/10^6</f>
        <v>0</v>
      </c>
      <c r="Q41" s="62" cm="1">
        <f t="array" ref="Q41">INDEX(tblPrices[cv_2022], MATCH(tblAmazonUnits[[#This Row],[Products]],tblPrices[Products],0), 0)* tblAmazonUnits[[#This Row],[cv_2022]]/10^6</f>
        <v>0</v>
      </c>
      <c r="R41" s="62" cm="1">
        <f t="array" ref="R41">INDEX(tblPrices[cv_2023], MATCH(tblAmazonUnits[[#This Row],[Products]],tblPrices[Products],0), 0)* tblAmazonUnits[[#This Row],[cv_2023]]/10^6</f>
        <v>0</v>
      </c>
      <c r="S41" s="62" cm="1">
        <f t="array" ref="S41">INDEX(tblPrices[cv_2024], MATCH(tblAmazonUnits[[#This Row],[Products]],tblPrices[Products],0), 0)* tblAmazonUnits[[#This Row],[cv_2024]]/10^6</f>
        <v>0</v>
      </c>
      <c r="T41" s="62" cm="1">
        <f t="array" ref="T41">INDEX(tblPrices[cv_2025], MATCH(tblAmazonUnits[[#This Row],[Products]],tblPrices[Products],0), 0)* tblAmazonUnits[[#This Row],[cv_2025]]/10^6</f>
        <v>0</v>
      </c>
      <c r="U41" s="62" cm="1">
        <f t="array" ref="U41">INDEX(tblPrices[cv_2026], MATCH(tblAmazonUnits[[#This Row],[Products]],tblPrices[Products],0), 0)* tblAmazonUnits[[#This Row],[cv_2026]]/10^6</f>
        <v>0</v>
      </c>
      <c r="V41" s="62" cm="1">
        <f t="array" ref="V41">INDEX(tblPrices[cv_2027], MATCH(tblAmazonUnits[[#This Row],[Products]],tblPrices[Products],0), 0)* tblAmazonUnits[[#This Row],[cv_2027]]/10^6</f>
        <v>0</v>
      </c>
      <c r="W41" s="62" cm="1">
        <f t="array" ref="W41">INDEX(tblPrices[cv_2028], MATCH(tblAmazonUnits[[#This Row],[Products]],tblPrices[Products],0), 0)* tblAmazonUnits[[#This Row],[cv_2028]]/10^6</f>
        <v>0</v>
      </c>
      <c r="X41" s="1">
        <f>VLOOKUP(A41,Products!$A$11:$F$110,6,FALSE)</f>
        <v>10</v>
      </c>
    </row>
    <row r="42" spans="1:24" s="1" customFormat="1" ht="13.15">
      <c r="A42" s="16" t="s">
        <v>158</v>
      </c>
      <c r="B42" s="36">
        <v>18057.725384385292</v>
      </c>
      <c r="C42" s="36">
        <v>15441.304936292581</v>
      </c>
      <c r="D42" s="36"/>
      <c r="E42" s="36"/>
      <c r="F42" s="36"/>
      <c r="G42" s="36"/>
      <c r="H42" s="36"/>
      <c r="I42" s="36"/>
      <c r="J42" s="36"/>
      <c r="K42" s="36"/>
      <c r="L42" s="36"/>
      <c r="M42" s="144" cm="1">
        <f t="array" ref="M42">INDEX(tblPrices[cv_2018], MATCH(tblAmazonUnits[[#This Row],[Products]],tblPrices[Products],0), 0)* tblAmazonUnits[[#This Row],[cv_2018]]/10^6</f>
        <v>0.43653679023881053</v>
      </c>
      <c r="N42" s="144" cm="1">
        <f t="array" ref="N42">INDEX(tblPrices[cv_2019], MATCH(tblAmazonUnits[[#This Row],[Products]],tblPrices[Products],0), 0)* tblAmazonUnits[[#This Row],[cv_2019]]/10^6</f>
        <v>0.33395223498547011</v>
      </c>
      <c r="O42" s="144" cm="1">
        <f t="array" ref="O42">INDEX(tblPrices[cv_2020], MATCH(tblAmazonUnits[[#This Row],[Products]],tblPrices[Products],0), 0)* tblAmazonUnits[[#This Row],[cv_2020]]/10^6</f>
        <v>0</v>
      </c>
      <c r="P42" s="144" cm="1">
        <f t="array" ref="P42">INDEX(tblPrices[cv_2021], MATCH(tblAmazonUnits[[#This Row],[Products]],tblPrices[Products],0), 0)* tblAmazonUnits[[#This Row],[cv_2021]]/10^6</f>
        <v>0</v>
      </c>
      <c r="Q42" s="144" cm="1">
        <f t="array" ref="Q42">INDEX(tblPrices[cv_2022], MATCH(tblAmazonUnits[[#This Row],[Products]],tblPrices[Products],0), 0)* tblAmazonUnits[[#This Row],[cv_2022]]/10^6</f>
        <v>0</v>
      </c>
      <c r="R42" s="144" cm="1">
        <f t="array" ref="R42">INDEX(tblPrices[cv_2023], MATCH(tblAmazonUnits[[#This Row],[Products]],tblPrices[Products],0), 0)* tblAmazonUnits[[#This Row],[cv_2023]]/10^6</f>
        <v>0</v>
      </c>
      <c r="S42" s="144" cm="1">
        <f t="array" ref="S42">INDEX(tblPrices[cv_2024], MATCH(tblAmazonUnits[[#This Row],[Products]],tblPrices[Products],0), 0)* tblAmazonUnits[[#This Row],[cv_2024]]/10^6</f>
        <v>0</v>
      </c>
      <c r="T42" s="144" cm="1">
        <f t="array" ref="T42">INDEX(tblPrices[cv_2025], MATCH(tblAmazonUnits[[#This Row],[Products]],tblPrices[Products],0), 0)* tblAmazonUnits[[#This Row],[cv_2025]]/10^6</f>
        <v>0</v>
      </c>
      <c r="U42" s="144" cm="1">
        <f t="array" ref="U42">INDEX(tblPrices[cv_2026], MATCH(tblAmazonUnits[[#This Row],[Products]],tblPrices[Products],0), 0)* tblAmazonUnits[[#This Row],[cv_2026]]/10^6</f>
        <v>0</v>
      </c>
      <c r="V42" s="144" cm="1">
        <f t="array" ref="V42">INDEX(tblPrices[cv_2027], MATCH(tblAmazonUnits[[#This Row],[Products]],tblPrices[Products],0), 0)* tblAmazonUnits[[#This Row],[cv_2027]]/10^6</f>
        <v>0</v>
      </c>
      <c r="W42" s="144" cm="1">
        <f t="array" ref="W42">INDEX(tblPrices[cv_2028], MATCH(tblAmazonUnits[[#This Row],[Products]],tblPrices[Products],0), 0)* tblAmazonUnits[[#This Row],[cv_2028]]/10^6</f>
        <v>0</v>
      </c>
      <c r="X42" s="1">
        <f>VLOOKUP(A42,Products!$A$11:$F$110,6,FALSE)</f>
        <v>10</v>
      </c>
    </row>
    <row r="43" spans="1:24" s="1" customFormat="1" ht="13.15">
      <c r="A43" s="16" t="s">
        <v>159</v>
      </c>
      <c r="B43" s="36">
        <v>538.98321581370942</v>
      </c>
      <c r="C43" s="36">
        <v>460.88884473344166</v>
      </c>
      <c r="D43" s="36"/>
      <c r="E43" s="36"/>
      <c r="F43" s="36"/>
      <c r="G43" s="36"/>
      <c r="H43" s="36"/>
      <c r="I43" s="36"/>
      <c r="J43" s="36"/>
      <c r="K43" s="36"/>
      <c r="L43" s="36"/>
      <c r="M43" s="144" cm="1">
        <f t="array" ref="M43">INDEX(tblPrices[cv_2018], MATCH(tblAmazonUnits[[#This Row],[Products]],tblPrices[Products],0), 0)* tblAmazonUnits[[#This Row],[cv_2018]]/10^6</f>
        <v>6.449845154763599E-2</v>
      </c>
      <c r="N43" s="144" cm="1">
        <f t="array" ref="N43">INDEX(tblPrices[cv_2019], MATCH(tblAmazonUnits[[#This Row],[Products]],tblPrices[Products],0), 0)* tblAmazonUnits[[#This Row],[cv_2019]]/10^6</f>
        <v>5.5076533993314074E-2</v>
      </c>
      <c r="O43" s="144" cm="1">
        <f t="array" ref="O43">INDEX(tblPrices[cv_2020], MATCH(tblAmazonUnits[[#This Row],[Products]],tblPrices[Products],0), 0)* tblAmazonUnits[[#This Row],[cv_2020]]/10^6</f>
        <v>0</v>
      </c>
      <c r="P43" s="144" cm="1">
        <f t="array" ref="P43">INDEX(tblPrices[cv_2021], MATCH(tblAmazonUnits[[#This Row],[Products]],tblPrices[Products],0), 0)* tblAmazonUnits[[#This Row],[cv_2021]]/10^6</f>
        <v>0</v>
      </c>
      <c r="Q43" s="144" cm="1">
        <f t="array" ref="Q43">INDEX(tblPrices[cv_2022], MATCH(tblAmazonUnits[[#This Row],[Products]],tblPrices[Products],0), 0)* tblAmazonUnits[[#This Row],[cv_2022]]/10^6</f>
        <v>0</v>
      </c>
      <c r="R43" s="144" cm="1">
        <f t="array" ref="R43">INDEX(tblPrices[cv_2023], MATCH(tblAmazonUnits[[#This Row],[Products]],tblPrices[Products],0), 0)* tblAmazonUnits[[#This Row],[cv_2023]]/10^6</f>
        <v>0</v>
      </c>
      <c r="S43" s="144" cm="1">
        <f t="array" ref="S43">INDEX(tblPrices[cv_2024], MATCH(tblAmazonUnits[[#This Row],[Products]],tblPrices[Products],0), 0)* tblAmazonUnits[[#This Row],[cv_2024]]/10^6</f>
        <v>0</v>
      </c>
      <c r="T43" s="144" cm="1">
        <f t="array" ref="T43">INDEX(tblPrices[cv_2025], MATCH(tblAmazonUnits[[#This Row],[Products]],tblPrices[Products],0), 0)* tblAmazonUnits[[#This Row],[cv_2025]]/10^6</f>
        <v>0</v>
      </c>
      <c r="U43" s="144" cm="1">
        <f t="array" ref="U43">INDEX(tblPrices[cv_2026], MATCH(tblAmazonUnits[[#This Row],[Products]],tblPrices[Products],0), 0)* tblAmazonUnits[[#This Row],[cv_2026]]/10^6</f>
        <v>0</v>
      </c>
      <c r="V43" s="144" cm="1">
        <f t="array" ref="V43">INDEX(tblPrices[cv_2027], MATCH(tblAmazonUnits[[#This Row],[Products]],tblPrices[Products],0), 0)* tblAmazonUnits[[#This Row],[cv_2027]]/10^6</f>
        <v>0</v>
      </c>
      <c r="W43" s="144" cm="1">
        <f t="array" ref="W43">INDEX(tblPrices[cv_2028], MATCH(tblAmazonUnits[[#This Row],[Products]],tblPrices[Products],0), 0)* tblAmazonUnits[[#This Row],[cv_2028]]/10^6</f>
        <v>0</v>
      </c>
      <c r="X43" s="1">
        <f>VLOOKUP(A43,Products!$A$11:$F$110,6,FALSE)</f>
        <v>10</v>
      </c>
    </row>
    <row r="44" spans="1:24" s="1" customFormat="1" ht="13.15">
      <c r="A44" s="9" t="s">
        <v>168</v>
      </c>
      <c r="B44" s="8">
        <v>0</v>
      </c>
      <c r="C44" s="8">
        <v>0</v>
      </c>
      <c r="D44" s="8"/>
      <c r="E44" s="8"/>
      <c r="F44" s="8"/>
      <c r="G44" s="8"/>
      <c r="H44" s="8"/>
      <c r="I44" s="8"/>
      <c r="J44" s="8"/>
      <c r="K44" s="8"/>
      <c r="L44" s="8"/>
      <c r="M44" s="62" cm="1">
        <f t="array" ref="M44">INDEX(tblPrices[cv_2018], MATCH(tblAmazonUnits[[#This Row],[Products]],tblPrices[Products],0), 0)* tblAmazonUnits[[#This Row],[cv_2018]]/10^6</f>
        <v>0</v>
      </c>
      <c r="N44" s="62" cm="1">
        <f t="array" ref="N44">INDEX(tblPrices[cv_2019], MATCH(tblAmazonUnits[[#This Row],[Products]],tblPrices[Products],0), 0)* tblAmazonUnits[[#This Row],[cv_2019]]/10^6</f>
        <v>0</v>
      </c>
      <c r="O44" s="62" cm="1">
        <f t="array" ref="O44">INDEX(tblPrices[cv_2020], MATCH(tblAmazonUnits[[#This Row],[Products]],tblPrices[Products],0), 0)* tblAmazonUnits[[#This Row],[cv_2020]]/10^6</f>
        <v>0</v>
      </c>
      <c r="P44" s="62" cm="1">
        <f t="array" ref="P44">INDEX(tblPrices[cv_2021], MATCH(tblAmazonUnits[[#This Row],[Products]],tblPrices[Products],0), 0)* tblAmazonUnits[[#This Row],[cv_2021]]/10^6</f>
        <v>0</v>
      </c>
      <c r="Q44" s="62" cm="1">
        <f t="array" ref="Q44">INDEX(tblPrices[cv_2022], MATCH(tblAmazonUnits[[#This Row],[Products]],tblPrices[Products],0), 0)* tblAmazonUnits[[#This Row],[cv_2022]]/10^6</f>
        <v>0</v>
      </c>
      <c r="R44" s="62" cm="1">
        <f t="array" ref="R44">INDEX(tblPrices[cv_2023], MATCH(tblAmazonUnits[[#This Row],[Products]],tblPrices[Products],0), 0)* tblAmazonUnits[[#This Row],[cv_2023]]/10^6</f>
        <v>0</v>
      </c>
      <c r="S44" s="62" cm="1">
        <f t="array" ref="S44">INDEX(tblPrices[cv_2024], MATCH(tblAmazonUnits[[#This Row],[Products]],tblPrices[Products],0), 0)* tblAmazonUnits[[#This Row],[cv_2024]]/10^6</f>
        <v>0</v>
      </c>
      <c r="T44" s="62" cm="1">
        <f t="array" ref="T44">INDEX(tblPrices[cv_2025], MATCH(tblAmazonUnits[[#This Row],[Products]],tblPrices[Products],0), 0)* tblAmazonUnits[[#This Row],[cv_2025]]/10^6</f>
        <v>0</v>
      </c>
      <c r="U44" s="62" cm="1">
        <f t="array" ref="U44">INDEX(tblPrices[cv_2026], MATCH(tblAmazonUnits[[#This Row],[Products]],tblPrices[Products],0), 0)* tblAmazonUnits[[#This Row],[cv_2026]]/10^6</f>
        <v>0</v>
      </c>
      <c r="V44" s="62" cm="1">
        <f t="array" ref="V44">INDEX(tblPrices[cv_2027], MATCH(tblAmazonUnits[[#This Row],[Products]],tblPrices[Products],0), 0)* tblAmazonUnits[[#This Row],[cv_2027]]/10^6</f>
        <v>0</v>
      </c>
      <c r="W44" s="62" cm="1">
        <f t="array" ref="W44">INDEX(tblPrices[cv_2028], MATCH(tblAmazonUnits[[#This Row],[Products]],tblPrices[Products],0), 0)* tblAmazonUnits[[#This Row],[cv_2028]]/10^6</f>
        <v>0</v>
      </c>
      <c r="X44" s="1">
        <f>VLOOKUP(A44,Products!$A$29:$F$110,6,FALSE)</f>
        <v>40</v>
      </c>
    </row>
    <row r="45" spans="1:24" s="1" customFormat="1" ht="13.15">
      <c r="A45" s="9" t="s">
        <v>2</v>
      </c>
      <c r="B45" s="8">
        <v>32618.520000000004</v>
      </c>
      <c r="C45" s="8">
        <v>25847.4</v>
      </c>
      <c r="D45" s="8"/>
      <c r="E45" s="8"/>
      <c r="F45" s="8"/>
      <c r="G45" s="8"/>
      <c r="H45" s="8"/>
      <c r="I45" s="8"/>
      <c r="J45" s="8"/>
      <c r="K45" s="8"/>
      <c r="L45" s="8"/>
      <c r="M45" s="62" cm="1">
        <f t="array" ref="M45">INDEX(tblPrices[cv_2018], MATCH(tblAmazonUnits[[#This Row],[Products]],tblPrices[Products],0), 0)* tblAmazonUnits[[#This Row],[cv_2018]]/10^6</f>
        <v>9.9057936312000017</v>
      </c>
      <c r="N45" s="62" cm="1">
        <f t="array" ref="N45">INDEX(tblPrices[cv_2019], MATCH(tblAmazonUnits[[#This Row],[Products]],tblPrices[Products],0), 0)* tblAmazonUnits[[#This Row],[cv_2019]]/10^6</f>
        <v>6.5505447531529972</v>
      </c>
      <c r="O45" s="62" cm="1">
        <f t="array" ref="O45">INDEX(tblPrices[cv_2020], MATCH(tblAmazonUnits[[#This Row],[Products]],tblPrices[Products],0), 0)* tblAmazonUnits[[#This Row],[cv_2020]]/10^6</f>
        <v>0</v>
      </c>
      <c r="P45" s="62" cm="1">
        <f t="array" ref="P45">INDEX(tblPrices[cv_2021], MATCH(tblAmazonUnits[[#This Row],[Products]],tblPrices[Products],0), 0)* tblAmazonUnits[[#This Row],[cv_2021]]/10^6</f>
        <v>0</v>
      </c>
      <c r="Q45" s="62" cm="1">
        <f t="array" ref="Q45">INDEX(tblPrices[cv_2022], MATCH(tblAmazonUnits[[#This Row],[Products]],tblPrices[Products],0), 0)* tblAmazonUnits[[#This Row],[cv_2022]]/10^6</f>
        <v>0</v>
      </c>
      <c r="R45" s="62" cm="1">
        <f t="array" ref="R45">INDEX(tblPrices[cv_2023], MATCH(tblAmazonUnits[[#This Row],[Products]],tblPrices[Products],0), 0)* tblAmazonUnits[[#This Row],[cv_2023]]/10^6</f>
        <v>0</v>
      </c>
      <c r="S45" s="62" cm="1">
        <f t="array" ref="S45">INDEX(tblPrices[cv_2024], MATCH(tblAmazonUnits[[#This Row],[Products]],tblPrices[Products],0), 0)* tblAmazonUnits[[#This Row],[cv_2024]]/10^6</f>
        <v>0</v>
      </c>
      <c r="T45" s="62" cm="1">
        <f t="array" ref="T45">INDEX(tblPrices[cv_2025], MATCH(tblAmazonUnits[[#This Row],[Products]],tblPrices[Products],0), 0)* tblAmazonUnits[[#This Row],[cv_2025]]/10^6</f>
        <v>0</v>
      </c>
      <c r="U45" s="62" cm="1">
        <f t="array" ref="U45">INDEX(tblPrices[cv_2026], MATCH(tblAmazonUnits[[#This Row],[Products]],tblPrices[Products],0), 0)* tblAmazonUnits[[#This Row],[cv_2026]]/10^6</f>
        <v>0</v>
      </c>
      <c r="V45" s="62" cm="1">
        <f t="array" ref="V45">INDEX(tblPrices[cv_2027], MATCH(tblAmazonUnits[[#This Row],[Products]],tblPrices[Products],0), 0)* tblAmazonUnits[[#This Row],[cv_2027]]/10^6</f>
        <v>0</v>
      </c>
      <c r="W45" s="62" cm="1">
        <f t="array" ref="W45">INDEX(tblPrices[cv_2028], MATCH(tblAmazonUnits[[#This Row],[Products]],tblPrices[Products],0), 0)* tblAmazonUnits[[#This Row],[cv_2028]]/10^6</f>
        <v>0</v>
      </c>
      <c r="X45" s="1">
        <f>VLOOKUP(A45,Products!$A$29:$F$110,6,FALSE)</f>
        <v>40</v>
      </c>
    </row>
    <row r="46" spans="1:24" s="1" customFormat="1" ht="13.15">
      <c r="A46" s="9" t="s">
        <v>43</v>
      </c>
      <c r="B46" s="8">
        <v>439735.90499999997</v>
      </c>
      <c r="C46" s="8">
        <v>572216.99999999988</v>
      </c>
      <c r="D46" s="8"/>
      <c r="E46" s="8"/>
      <c r="F46" s="8"/>
      <c r="G46" s="8"/>
      <c r="H46" s="8"/>
      <c r="I46" s="8"/>
      <c r="J46" s="8"/>
      <c r="K46" s="8"/>
      <c r="L46" s="8"/>
      <c r="M46" s="62" cm="1">
        <f t="array" ref="M46">INDEX(tblPrices[cv_2018], MATCH(tblAmazonUnits[[#This Row],[Products]],tblPrices[Products],0), 0)* tblAmazonUnits[[#This Row],[cv_2018]]/10^6</f>
        <v>82.679293439999981</v>
      </c>
      <c r="N46" s="62" cm="1">
        <f t="array" ref="N46">INDEX(tblPrices[cv_2019], MATCH(tblAmazonUnits[[#This Row],[Products]],tblPrices[Products],0), 0)* tblAmazonUnits[[#This Row],[cv_2019]]/10^6</f>
        <v>91.557737226469797</v>
      </c>
      <c r="O46" s="62" cm="1">
        <f t="array" ref="O46">INDEX(tblPrices[cv_2020], MATCH(tblAmazonUnits[[#This Row],[Products]],tblPrices[Products],0), 0)* tblAmazonUnits[[#This Row],[cv_2020]]/10^6</f>
        <v>0</v>
      </c>
      <c r="P46" s="62" cm="1">
        <f t="array" ref="P46">INDEX(tblPrices[cv_2021], MATCH(tblAmazonUnits[[#This Row],[Products]],tblPrices[Products],0), 0)* tblAmazonUnits[[#This Row],[cv_2021]]/10^6</f>
        <v>0</v>
      </c>
      <c r="Q46" s="62" cm="1">
        <f t="array" ref="Q46">INDEX(tblPrices[cv_2022], MATCH(tblAmazonUnits[[#This Row],[Products]],tblPrices[Products],0), 0)* tblAmazonUnits[[#This Row],[cv_2022]]/10^6</f>
        <v>0</v>
      </c>
      <c r="R46" s="62" cm="1">
        <f t="array" ref="R46">INDEX(tblPrices[cv_2023], MATCH(tblAmazonUnits[[#This Row],[Products]],tblPrices[Products],0), 0)* tblAmazonUnits[[#This Row],[cv_2023]]/10^6</f>
        <v>0</v>
      </c>
      <c r="S46" s="62" cm="1">
        <f t="array" ref="S46">INDEX(tblPrices[cv_2024], MATCH(tblAmazonUnits[[#This Row],[Products]],tblPrices[Products],0), 0)* tblAmazonUnits[[#This Row],[cv_2024]]/10^6</f>
        <v>0</v>
      </c>
      <c r="T46" s="62" cm="1">
        <f t="array" ref="T46">INDEX(tblPrices[cv_2025], MATCH(tblAmazonUnits[[#This Row],[Products]],tblPrices[Products],0), 0)* tblAmazonUnits[[#This Row],[cv_2025]]/10^6</f>
        <v>0</v>
      </c>
      <c r="U46" s="62" cm="1">
        <f t="array" ref="U46">INDEX(tblPrices[cv_2026], MATCH(tblAmazonUnits[[#This Row],[Products]],tblPrices[Products],0), 0)* tblAmazonUnits[[#This Row],[cv_2026]]/10^6</f>
        <v>0</v>
      </c>
      <c r="V46" s="62" cm="1">
        <f t="array" ref="V46">INDEX(tblPrices[cv_2027], MATCH(tblAmazonUnits[[#This Row],[Products]],tblPrices[Products],0), 0)* tblAmazonUnits[[#This Row],[cv_2027]]/10^6</f>
        <v>0</v>
      </c>
      <c r="W46" s="62" cm="1">
        <f t="array" ref="W46">INDEX(tblPrices[cv_2028], MATCH(tblAmazonUnits[[#This Row],[Products]],tblPrices[Products],0), 0)* tblAmazonUnits[[#This Row],[cv_2028]]/10^6</f>
        <v>0</v>
      </c>
      <c r="X46" s="1">
        <f>VLOOKUP(A46,Products!$A$29:$F$110,6,FALSE)</f>
        <v>100</v>
      </c>
    </row>
    <row r="47" spans="1:24" s="1" customFormat="1" ht="13.15">
      <c r="A47" s="9" t="s">
        <v>5</v>
      </c>
      <c r="B47" s="8">
        <v>79317.436309523808</v>
      </c>
      <c r="C47" s="8">
        <v>119647.95000000001</v>
      </c>
      <c r="D47" s="8"/>
      <c r="E47" s="8"/>
      <c r="F47" s="8"/>
      <c r="G47" s="8"/>
      <c r="H47" s="8"/>
      <c r="I47" s="8"/>
      <c r="J47" s="8"/>
      <c r="K47" s="8"/>
      <c r="L47" s="8"/>
      <c r="M47" s="62" cm="1">
        <f t="array" ref="M47">INDEX(tblPrices[cv_2018], MATCH(tblAmazonUnits[[#This Row],[Products]],tblPrices[Products],0), 0)* tblAmazonUnits[[#This Row],[cv_2018]]/10^6</f>
        <v>38.865543791666667</v>
      </c>
      <c r="N47" s="62" cm="1">
        <f t="array" ref="N47">INDEX(tblPrices[cv_2019], MATCH(tblAmazonUnits[[#This Row],[Products]],tblPrices[Products],0), 0)* tblAmazonUnits[[#This Row],[cv_2019]]/10^6</f>
        <v>28.715508000000003</v>
      </c>
      <c r="O47" s="62" cm="1">
        <f t="array" ref="O47">INDEX(tblPrices[cv_2020], MATCH(tblAmazonUnits[[#This Row],[Products]],tblPrices[Products],0), 0)* tblAmazonUnits[[#This Row],[cv_2020]]/10^6</f>
        <v>0</v>
      </c>
      <c r="P47" s="62" cm="1">
        <f t="array" ref="P47">INDEX(tblPrices[cv_2021], MATCH(tblAmazonUnits[[#This Row],[Products]],tblPrices[Products],0), 0)* tblAmazonUnits[[#This Row],[cv_2021]]/10^6</f>
        <v>0</v>
      </c>
      <c r="Q47" s="62" cm="1">
        <f t="array" ref="Q47">INDEX(tblPrices[cv_2022], MATCH(tblAmazonUnits[[#This Row],[Products]],tblPrices[Products],0), 0)* tblAmazonUnits[[#This Row],[cv_2022]]/10^6</f>
        <v>0</v>
      </c>
      <c r="R47" s="62" cm="1">
        <f t="array" ref="R47">INDEX(tblPrices[cv_2023], MATCH(tblAmazonUnits[[#This Row],[Products]],tblPrices[Products],0), 0)* tblAmazonUnits[[#This Row],[cv_2023]]/10^6</f>
        <v>0</v>
      </c>
      <c r="S47" s="62" cm="1">
        <f t="array" ref="S47">INDEX(tblPrices[cv_2024], MATCH(tblAmazonUnits[[#This Row],[Products]],tblPrices[Products],0), 0)* tblAmazonUnits[[#This Row],[cv_2024]]/10^6</f>
        <v>0</v>
      </c>
      <c r="T47" s="62" cm="1">
        <f t="array" ref="T47">INDEX(tblPrices[cv_2025], MATCH(tblAmazonUnits[[#This Row],[Products]],tblPrices[Products],0), 0)* tblAmazonUnits[[#This Row],[cv_2025]]/10^6</f>
        <v>0</v>
      </c>
      <c r="U47" s="62" cm="1">
        <f t="array" ref="U47">INDEX(tblPrices[cv_2026], MATCH(tblAmazonUnits[[#This Row],[Products]],tblPrices[Products],0), 0)* tblAmazonUnits[[#This Row],[cv_2026]]/10^6</f>
        <v>0</v>
      </c>
      <c r="V47" s="62" cm="1">
        <f t="array" ref="V47">INDEX(tblPrices[cv_2027], MATCH(tblAmazonUnits[[#This Row],[Products]],tblPrices[Products],0), 0)* tblAmazonUnits[[#This Row],[cv_2027]]/10^6</f>
        <v>0</v>
      </c>
      <c r="W47" s="62" cm="1">
        <f t="array" ref="W47">INDEX(tblPrices[cv_2028], MATCH(tblAmazonUnits[[#This Row],[Products]],tblPrices[Products],0), 0)* tblAmazonUnits[[#This Row],[cv_2028]]/10^6</f>
        <v>0</v>
      </c>
      <c r="X47" s="1">
        <f>VLOOKUP(A47,Products!$A$29:$F$110,6,FALSE)</f>
        <v>100</v>
      </c>
    </row>
    <row r="48" spans="1:24" s="1" customFormat="1" ht="13.15">
      <c r="A48" s="9" t="s">
        <v>6</v>
      </c>
      <c r="B48" s="8">
        <v>9052.0229264705886</v>
      </c>
      <c r="C48" s="8">
        <v>17947.743000000002</v>
      </c>
      <c r="D48" s="8"/>
      <c r="E48" s="8"/>
      <c r="F48" s="8"/>
      <c r="G48" s="8"/>
      <c r="H48" s="8"/>
      <c r="I48" s="8"/>
      <c r="J48" s="8"/>
      <c r="K48" s="8"/>
      <c r="L48" s="8"/>
      <c r="M48" s="62" cm="1">
        <f t="array" ref="M48">INDEX(tblPrices[cv_2018], MATCH(tblAmazonUnits[[#This Row],[Products]],tblPrices[Products],0), 0)* tblAmazonUnits[[#This Row],[cv_2018]]/10^6</f>
        <v>7.5478737390488684</v>
      </c>
      <c r="N48" s="62" cm="1">
        <f t="array" ref="N48">INDEX(tblPrices[cv_2019], MATCH(tblAmazonUnits[[#This Row],[Products]],tblPrices[Products],0), 0)* tblAmazonUnits[[#This Row],[cv_2019]]/10^6</f>
        <v>9.4600253186621472</v>
      </c>
      <c r="O48" s="62" cm="1">
        <f t="array" ref="O48">INDEX(tblPrices[cv_2020], MATCH(tblAmazonUnits[[#This Row],[Products]],tblPrices[Products],0), 0)* tblAmazonUnits[[#This Row],[cv_2020]]/10^6</f>
        <v>0</v>
      </c>
      <c r="P48" s="62" cm="1">
        <f t="array" ref="P48">INDEX(tblPrices[cv_2021], MATCH(tblAmazonUnits[[#This Row],[Products]],tblPrices[Products],0), 0)* tblAmazonUnits[[#This Row],[cv_2021]]/10^6</f>
        <v>0</v>
      </c>
      <c r="Q48" s="62" cm="1">
        <f t="array" ref="Q48">INDEX(tblPrices[cv_2022], MATCH(tblAmazonUnits[[#This Row],[Products]],tblPrices[Products],0), 0)* tblAmazonUnits[[#This Row],[cv_2022]]/10^6</f>
        <v>0</v>
      </c>
      <c r="R48" s="62" cm="1">
        <f t="array" ref="R48">INDEX(tblPrices[cv_2023], MATCH(tblAmazonUnits[[#This Row],[Products]],tblPrices[Products],0), 0)* tblAmazonUnits[[#This Row],[cv_2023]]/10^6</f>
        <v>0</v>
      </c>
      <c r="S48" s="62" cm="1">
        <f t="array" ref="S48">INDEX(tblPrices[cv_2024], MATCH(tblAmazonUnits[[#This Row],[Products]],tblPrices[Products],0), 0)* tblAmazonUnits[[#This Row],[cv_2024]]/10^6</f>
        <v>0</v>
      </c>
      <c r="T48" s="62" cm="1">
        <f t="array" ref="T48">INDEX(tblPrices[cv_2025], MATCH(tblAmazonUnits[[#This Row],[Products]],tblPrices[Products],0), 0)* tblAmazonUnits[[#This Row],[cv_2025]]/10^6</f>
        <v>0</v>
      </c>
      <c r="U48" s="62" cm="1">
        <f t="array" ref="U48">INDEX(tblPrices[cv_2026], MATCH(tblAmazonUnits[[#This Row],[Products]],tblPrices[Products],0), 0)* tblAmazonUnits[[#This Row],[cv_2026]]/10^6</f>
        <v>0</v>
      </c>
      <c r="V48" s="62" cm="1">
        <f t="array" ref="V48">INDEX(tblPrices[cv_2027], MATCH(tblAmazonUnits[[#This Row],[Products]],tblPrices[Products],0), 0)* tblAmazonUnits[[#This Row],[cv_2027]]/10^6</f>
        <v>0</v>
      </c>
      <c r="W48" s="62" cm="1">
        <f t="array" ref="W48">INDEX(tblPrices[cv_2028], MATCH(tblAmazonUnits[[#This Row],[Products]],tblPrices[Products],0), 0)* tblAmazonUnits[[#This Row],[cv_2028]]/10^6</f>
        <v>0</v>
      </c>
      <c r="X48" s="1">
        <f>VLOOKUP(A48,Products!$A$29:$F$110,6,FALSE)</f>
        <v>100</v>
      </c>
    </row>
    <row r="49" spans="1:24" s="1" customFormat="1" ht="13.15">
      <c r="A49" s="9" t="s">
        <v>7</v>
      </c>
      <c r="B49" s="8">
        <v>18479.999999999996</v>
      </c>
      <c r="C49" s="8">
        <v>18088.534799999998</v>
      </c>
      <c r="D49" s="8"/>
      <c r="E49" s="8"/>
      <c r="F49" s="8"/>
      <c r="G49" s="8"/>
      <c r="H49" s="8"/>
      <c r="I49" s="8"/>
      <c r="J49" s="8"/>
      <c r="K49" s="8"/>
      <c r="L49" s="8"/>
      <c r="M49" s="62" cm="1">
        <f t="array" ref="M49">INDEX(tblPrices[cv_2018], MATCH(tblAmazonUnits[[#This Row],[Products]],tblPrices[Products],0), 0)* tblAmazonUnits[[#This Row],[cv_2018]]/10^6</f>
        <v>5.5439999999999987</v>
      </c>
      <c r="N49" s="62" cm="1">
        <f t="array" ref="N49">INDEX(tblPrices[cv_2019], MATCH(tblAmazonUnits[[#This Row],[Products]],tblPrices[Products],0), 0)* tblAmazonUnits[[#This Row],[cv_2019]]/10^6</f>
        <v>3.7301912998416227</v>
      </c>
      <c r="O49" s="62" cm="1">
        <f t="array" ref="O49">INDEX(tblPrices[cv_2020], MATCH(tblAmazonUnits[[#This Row],[Products]],tblPrices[Products],0), 0)* tblAmazonUnits[[#This Row],[cv_2020]]/10^6</f>
        <v>0</v>
      </c>
      <c r="P49" s="62" cm="1">
        <f t="array" ref="P49">INDEX(tblPrices[cv_2021], MATCH(tblAmazonUnits[[#This Row],[Products]],tblPrices[Products],0), 0)* tblAmazonUnits[[#This Row],[cv_2021]]/10^6</f>
        <v>0</v>
      </c>
      <c r="Q49" s="62" cm="1">
        <f t="array" ref="Q49">INDEX(tblPrices[cv_2022], MATCH(tblAmazonUnits[[#This Row],[Products]],tblPrices[Products],0), 0)* tblAmazonUnits[[#This Row],[cv_2022]]/10^6</f>
        <v>0</v>
      </c>
      <c r="R49" s="62" cm="1">
        <f t="array" ref="R49">INDEX(tblPrices[cv_2023], MATCH(tblAmazonUnits[[#This Row],[Products]],tblPrices[Products],0), 0)* tblAmazonUnits[[#This Row],[cv_2023]]/10^6</f>
        <v>0</v>
      </c>
      <c r="S49" s="62" cm="1">
        <f t="array" ref="S49">INDEX(tblPrices[cv_2024], MATCH(tblAmazonUnits[[#This Row],[Products]],tblPrices[Products],0), 0)* tblAmazonUnits[[#This Row],[cv_2024]]/10^6</f>
        <v>0</v>
      </c>
      <c r="T49" s="62" cm="1">
        <f t="array" ref="T49">INDEX(tblPrices[cv_2025], MATCH(tblAmazonUnits[[#This Row],[Products]],tblPrices[Products],0), 0)* tblAmazonUnits[[#This Row],[cv_2025]]/10^6</f>
        <v>0</v>
      </c>
      <c r="U49" s="62" cm="1">
        <f t="array" ref="U49">INDEX(tblPrices[cv_2026], MATCH(tblAmazonUnits[[#This Row],[Products]],tblPrices[Products],0), 0)* tblAmazonUnits[[#This Row],[cv_2026]]/10^6</f>
        <v>0</v>
      </c>
      <c r="V49" s="62" cm="1">
        <f t="array" ref="V49">INDEX(tblPrices[cv_2027], MATCH(tblAmazonUnits[[#This Row],[Products]],tblPrices[Products],0), 0)* tblAmazonUnits[[#This Row],[cv_2027]]/10^6</f>
        <v>0</v>
      </c>
      <c r="W49" s="62" cm="1">
        <f t="array" ref="W49">INDEX(tblPrices[cv_2028], MATCH(tblAmazonUnits[[#This Row],[Products]],tblPrices[Products],0), 0)* tblAmazonUnits[[#This Row],[cv_2028]]/10^6</f>
        <v>0</v>
      </c>
      <c r="X49" s="1">
        <f>VLOOKUP(A49,Products!$A$29:$F$110,6,FALSE)</f>
        <v>100</v>
      </c>
    </row>
    <row r="50" spans="1:24" s="1" customFormat="1" ht="13.15">
      <c r="A50" s="9" t="s">
        <v>8</v>
      </c>
      <c r="B50" s="8">
        <v>0</v>
      </c>
      <c r="C50" s="8">
        <v>763.28</v>
      </c>
      <c r="D50" s="8"/>
      <c r="E50" s="8"/>
      <c r="F50" s="8"/>
      <c r="G50" s="8"/>
      <c r="H50" s="8"/>
      <c r="I50" s="8"/>
      <c r="J50" s="8"/>
      <c r="K50" s="8"/>
      <c r="L50" s="8"/>
      <c r="M50" s="62" cm="1">
        <f t="array" ref="M50">INDEX(tblPrices[cv_2018], MATCH(tblAmazonUnits[[#This Row],[Products]],tblPrices[Products],0), 0)* tblAmazonUnits[[#This Row],[cv_2018]]/10^6</f>
        <v>0</v>
      </c>
      <c r="N50" s="62" cm="1">
        <f t="array" ref="N50">INDEX(tblPrices[cv_2019], MATCH(tblAmazonUnits[[#This Row],[Products]],tblPrices[Products],0), 0)* tblAmazonUnits[[#This Row],[cv_2019]]/10^6</f>
        <v>1.3034113866337731</v>
      </c>
      <c r="O50" s="62" cm="1">
        <f t="array" ref="O50">INDEX(tblPrices[cv_2020], MATCH(tblAmazonUnits[[#This Row],[Products]],tblPrices[Products],0), 0)* tblAmazonUnits[[#This Row],[cv_2020]]/10^6</f>
        <v>0</v>
      </c>
      <c r="P50" s="62" cm="1">
        <f t="array" ref="P50">INDEX(tblPrices[cv_2021], MATCH(tblAmazonUnits[[#This Row],[Products]],tblPrices[Products],0), 0)* tblAmazonUnits[[#This Row],[cv_2021]]/10^6</f>
        <v>0</v>
      </c>
      <c r="Q50" s="62" cm="1">
        <f t="array" ref="Q50">INDEX(tblPrices[cv_2022], MATCH(tblAmazonUnits[[#This Row],[Products]],tblPrices[Products],0), 0)* tblAmazonUnits[[#This Row],[cv_2022]]/10^6</f>
        <v>0</v>
      </c>
      <c r="R50" s="62" cm="1">
        <f t="array" ref="R50">INDEX(tblPrices[cv_2023], MATCH(tblAmazonUnits[[#This Row],[Products]],tblPrices[Products],0), 0)* tblAmazonUnits[[#This Row],[cv_2023]]/10^6</f>
        <v>0</v>
      </c>
      <c r="S50" s="62" cm="1">
        <f t="array" ref="S50">INDEX(tblPrices[cv_2024], MATCH(tblAmazonUnits[[#This Row],[Products]],tblPrices[Products],0), 0)* tblAmazonUnits[[#This Row],[cv_2024]]/10^6</f>
        <v>0</v>
      </c>
      <c r="T50" s="62" cm="1">
        <f t="array" ref="T50">INDEX(tblPrices[cv_2025], MATCH(tblAmazonUnits[[#This Row],[Products]],tblPrices[Products],0), 0)* tblAmazonUnits[[#This Row],[cv_2025]]/10^6</f>
        <v>0</v>
      </c>
      <c r="U50" s="62" cm="1">
        <f t="array" ref="U50">INDEX(tblPrices[cv_2026], MATCH(tblAmazonUnits[[#This Row],[Products]],tblPrices[Products],0), 0)* tblAmazonUnits[[#This Row],[cv_2026]]/10^6</f>
        <v>0</v>
      </c>
      <c r="V50" s="62" cm="1">
        <f t="array" ref="V50">INDEX(tblPrices[cv_2027], MATCH(tblAmazonUnits[[#This Row],[Products]],tblPrices[Products],0), 0)* tblAmazonUnits[[#This Row],[cv_2027]]/10^6</f>
        <v>0</v>
      </c>
      <c r="W50" s="62" cm="1">
        <f t="array" ref="W50">INDEX(tblPrices[cv_2028], MATCH(tblAmazonUnits[[#This Row],[Products]],tblPrices[Products],0), 0)* tblAmazonUnits[[#This Row],[cv_2028]]/10^6</f>
        <v>0</v>
      </c>
      <c r="X50" s="1">
        <f>VLOOKUP(A50,Products!$A$29:$F$110,6,FALSE)</f>
        <v>100</v>
      </c>
    </row>
    <row r="51" spans="1:24" s="1" customFormat="1" ht="13.15">
      <c r="A51" s="9" t="s">
        <v>44</v>
      </c>
      <c r="B51" s="8">
        <v>0</v>
      </c>
      <c r="C51" s="8">
        <v>0</v>
      </c>
      <c r="D51" s="8"/>
      <c r="E51" s="8"/>
      <c r="F51" s="8"/>
      <c r="G51" s="8"/>
      <c r="H51" s="8"/>
      <c r="I51" s="8"/>
      <c r="J51" s="8"/>
      <c r="K51" s="8"/>
      <c r="L51" s="8"/>
      <c r="M51" s="62" cm="1">
        <f t="array" ref="M51">INDEX(tblPrices[cv_2018], MATCH(tblAmazonUnits[[#This Row],[Products]],tblPrices[Products],0), 0)* tblAmazonUnits[[#This Row],[cv_2018]]/10^6</f>
        <v>0</v>
      </c>
      <c r="N51" s="62" cm="1">
        <f t="array" ref="N51">INDEX(tblPrices[cv_2019], MATCH(tblAmazonUnits[[#This Row],[Products]],tblPrices[Products],0), 0)* tblAmazonUnits[[#This Row],[cv_2019]]/10^6</f>
        <v>0</v>
      </c>
      <c r="O51" s="62" cm="1">
        <f t="array" ref="O51">INDEX(tblPrices[cv_2020], MATCH(tblAmazonUnits[[#This Row],[Products]],tblPrices[Products],0), 0)* tblAmazonUnits[[#This Row],[cv_2020]]/10^6</f>
        <v>0</v>
      </c>
      <c r="P51" s="62" cm="1">
        <f t="array" ref="P51">INDEX(tblPrices[cv_2021], MATCH(tblAmazonUnits[[#This Row],[Products]],tblPrices[Products],0), 0)* tblAmazonUnits[[#This Row],[cv_2021]]/10^6</f>
        <v>0</v>
      </c>
      <c r="Q51" s="62" cm="1">
        <f t="array" ref="Q51">INDEX(tblPrices[cv_2022], MATCH(tblAmazonUnits[[#This Row],[Products]],tblPrices[Products],0), 0)* tblAmazonUnits[[#This Row],[cv_2022]]/10^6</f>
        <v>0</v>
      </c>
      <c r="R51" s="62" cm="1">
        <f t="array" ref="R51">INDEX(tblPrices[cv_2023], MATCH(tblAmazonUnits[[#This Row],[Products]],tblPrices[Products],0), 0)* tblAmazonUnits[[#This Row],[cv_2023]]/10^6</f>
        <v>0</v>
      </c>
      <c r="S51" s="62" cm="1">
        <f t="array" ref="S51">INDEX(tblPrices[cv_2024], MATCH(tblAmazonUnits[[#This Row],[Products]],tblPrices[Products],0), 0)* tblAmazonUnits[[#This Row],[cv_2024]]/10^6</f>
        <v>0</v>
      </c>
      <c r="T51" s="62" cm="1">
        <f t="array" ref="T51">INDEX(tblPrices[cv_2025], MATCH(tblAmazonUnits[[#This Row],[Products]],tblPrices[Products],0), 0)* tblAmazonUnits[[#This Row],[cv_2025]]/10^6</f>
        <v>0</v>
      </c>
      <c r="U51" s="62" cm="1">
        <f t="array" ref="U51">INDEX(tblPrices[cv_2026], MATCH(tblAmazonUnits[[#This Row],[Products]],tblPrices[Products],0), 0)* tblAmazonUnits[[#This Row],[cv_2026]]/10^6</f>
        <v>0</v>
      </c>
      <c r="V51" s="62" cm="1">
        <f t="array" ref="V51">INDEX(tblPrices[cv_2027], MATCH(tblAmazonUnits[[#This Row],[Products]],tblPrices[Products],0), 0)* tblAmazonUnits[[#This Row],[cv_2027]]/10^6</f>
        <v>0</v>
      </c>
      <c r="W51" s="62" cm="1">
        <f t="array" ref="W51">INDEX(tblPrices[cv_2028], MATCH(tblAmazonUnits[[#This Row],[Products]],tblPrices[Products],0), 0)* tblAmazonUnits[[#This Row],[cv_2028]]/10^6</f>
        <v>0</v>
      </c>
      <c r="X51" s="1">
        <f>VLOOKUP(A51,Products!$A$29:$F$110,6,FALSE)</f>
        <v>100</v>
      </c>
    </row>
    <row r="52" spans="1:24" s="1" customFormat="1" ht="13.15">
      <c r="A52" s="9" t="s">
        <v>45</v>
      </c>
      <c r="B52" s="8">
        <v>3000</v>
      </c>
      <c r="C52" s="8">
        <v>23113.984499999999</v>
      </c>
      <c r="D52" s="8"/>
      <c r="E52" s="8"/>
      <c r="F52" s="8"/>
      <c r="G52" s="8"/>
      <c r="H52" s="8"/>
      <c r="I52" s="8"/>
      <c r="J52" s="8"/>
      <c r="K52" s="8"/>
      <c r="L52" s="8"/>
      <c r="M52" s="62" cm="1">
        <f t="array" ref="M52">INDEX(tblPrices[cv_2018], MATCH(tblAmazonUnits[[#This Row],[Products]],tblPrices[Products],0), 0)* tblAmazonUnits[[#This Row],[cv_2018]]/10^6</f>
        <v>1.2</v>
      </c>
      <c r="N52" s="62" cm="1">
        <f t="array" ref="N52">INDEX(tblPrices[cv_2019], MATCH(tblAmazonUnits[[#This Row],[Products]],tblPrices[Products],0), 0)* tblAmazonUnits[[#This Row],[cv_2019]]/10^6</f>
        <v>4.7614808069999999</v>
      </c>
      <c r="O52" s="62" cm="1">
        <f t="array" ref="O52">INDEX(tblPrices[cv_2020], MATCH(tblAmazonUnits[[#This Row],[Products]],tblPrices[Products],0), 0)* tblAmazonUnits[[#This Row],[cv_2020]]/10^6</f>
        <v>0</v>
      </c>
      <c r="P52" s="62" cm="1">
        <f t="array" ref="P52">INDEX(tblPrices[cv_2021], MATCH(tblAmazonUnits[[#This Row],[Products]],tblPrices[Products],0), 0)* tblAmazonUnits[[#This Row],[cv_2021]]/10^6</f>
        <v>0</v>
      </c>
      <c r="Q52" s="62" cm="1">
        <f t="array" ref="Q52">INDEX(tblPrices[cv_2022], MATCH(tblAmazonUnits[[#This Row],[Products]],tblPrices[Products],0), 0)* tblAmazonUnits[[#This Row],[cv_2022]]/10^6</f>
        <v>0</v>
      </c>
      <c r="R52" s="62" cm="1">
        <f t="array" ref="R52">INDEX(tblPrices[cv_2023], MATCH(tblAmazonUnits[[#This Row],[Products]],tblPrices[Products],0), 0)* tblAmazonUnits[[#This Row],[cv_2023]]/10^6</f>
        <v>0</v>
      </c>
      <c r="S52" s="62" cm="1">
        <f t="array" ref="S52">INDEX(tblPrices[cv_2024], MATCH(tblAmazonUnits[[#This Row],[Products]],tblPrices[Products],0), 0)* tblAmazonUnits[[#This Row],[cv_2024]]/10^6</f>
        <v>0</v>
      </c>
      <c r="T52" s="62" cm="1">
        <f t="array" ref="T52">INDEX(tblPrices[cv_2025], MATCH(tblAmazonUnits[[#This Row],[Products]],tblPrices[Products],0), 0)* tblAmazonUnits[[#This Row],[cv_2025]]/10^6</f>
        <v>0</v>
      </c>
      <c r="U52" s="62" cm="1">
        <f t="array" ref="U52">INDEX(tblPrices[cv_2026], MATCH(tblAmazonUnits[[#This Row],[Products]],tblPrices[Products],0), 0)* tblAmazonUnits[[#This Row],[cv_2026]]/10^6</f>
        <v>0</v>
      </c>
      <c r="V52" s="62" cm="1">
        <f t="array" ref="V52">INDEX(tblPrices[cv_2027], MATCH(tblAmazonUnits[[#This Row],[Products]],tblPrices[Products],0), 0)* tblAmazonUnits[[#This Row],[cv_2027]]/10^6</f>
        <v>0</v>
      </c>
      <c r="W52" s="62" cm="1">
        <f t="array" ref="W52">INDEX(tblPrices[cv_2028], MATCH(tblAmazonUnits[[#This Row],[Products]],tblPrices[Products],0), 0)* tblAmazonUnits[[#This Row],[cv_2028]]/10^6</f>
        <v>0</v>
      </c>
      <c r="X52" s="1">
        <f>VLOOKUP(A52,Products!$A$29:$F$110,6,FALSE)</f>
        <v>100</v>
      </c>
    </row>
    <row r="53" spans="1:24" s="1" customFormat="1" ht="13.15">
      <c r="A53" s="9" t="s">
        <v>11</v>
      </c>
      <c r="B53" s="8">
        <v>2000</v>
      </c>
      <c r="C53" s="8">
        <v>29283</v>
      </c>
      <c r="D53" s="8"/>
      <c r="E53" s="8"/>
      <c r="F53" s="8"/>
      <c r="G53" s="8"/>
      <c r="H53" s="8"/>
      <c r="I53" s="8"/>
      <c r="J53" s="8"/>
      <c r="K53" s="8"/>
      <c r="L53" s="8"/>
      <c r="M53" s="62" cm="1">
        <f t="array" ref="M53">INDEX(tblPrices[cv_2018], MATCH(tblAmazonUnits[[#This Row],[Products]],tblPrices[Products],0), 0)* tblAmazonUnits[[#This Row],[cv_2018]]/10^6</f>
        <v>2.2000000000000002</v>
      </c>
      <c r="N53" s="62" cm="1">
        <f t="array" ref="N53">INDEX(tblPrices[cv_2019], MATCH(tblAmazonUnits[[#This Row],[Products]],tblPrices[Products],0), 0)* tblAmazonUnits[[#This Row],[cv_2019]]/10^6</f>
        <v>23.873893630000001</v>
      </c>
      <c r="O53" s="62" cm="1">
        <f t="array" ref="O53">INDEX(tblPrices[cv_2020], MATCH(tblAmazonUnits[[#This Row],[Products]],tblPrices[Products],0), 0)* tblAmazonUnits[[#This Row],[cv_2020]]/10^6</f>
        <v>0</v>
      </c>
      <c r="P53" s="62" cm="1">
        <f t="array" ref="P53">INDEX(tblPrices[cv_2021], MATCH(tblAmazonUnits[[#This Row],[Products]],tblPrices[Products],0), 0)* tblAmazonUnits[[#This Row],[cv_2021]]/10^6</f>
        <v>0</v>
      </c>
      <c r="Q53" s="62" cm="1">
        <f t="array" ref="Q53">INDEX(tblPrices[cv_2022], MATCH(tblAmazonUnits[[#This Row],[Products]],tblPrices[Products],0), 0)* tblAmazonUnits[[#This Row],[cv_2022]]/10^6</f>
        <v>0</v>
      </c>
      <c r="R53" s="62" cm="1">
        <f t="array" ref="R53">INDEX(tblPrices[cv_2023], MATCH(tblAmazonUnits[[#This Row],[Products]],tblPrices[Products],0), 0)* tblAmazonUnits[[#This Row],[cv_2023]]/10^6</f>
        <v>0</v>
      </c>
      <c r="S53" s="62" cm="1">
        <f t="array" ref="S53">INDEX(tblPrices[cv_2024], MATCH(tblAmazonUnits[[#This Row],[Products]],tblPrices[Products],0), 0)* tblAmazonUnits[[#This Row],[cv_2024]]/10^6</f>
        <v>0</v>
      </c>
      <c r="T53" s="62" cm="1">
        <f t="array" ref="T53">INDEX(tblPrices[cv_2025], MATCH(tblAmazonUnits[[#This Row],[Products]],tblPrices[Products],0), 0)* tblAmazonUnits[[#This Row],[cv_2025]]/10^6</f>
        <v>0</v>
      </c>
      <c r="U53" s="62" cm="1">
        <f t="array" ref="U53">INDEX(tblPrices[cv_2026], MATCH(tblAmazonUnits[[#This Row],[Products]],tblPrices[Products],0), 0)* tblAmazonUnits[[#This Row],[cv_2026]]/10^6</f>
        <v>0</v>
      </c>
      <c r="V53" s="62" cm="1">
        <f t="array" ref="V53">INDEX(tblPrices[cv_2027], MATCH(tblAmazonUnits[[#This Row],[Products]],tblPrices[Products],0), 0)* tblAmazonUnits[[#This Row],[cv_2027]]/10^6</f>
        <v>0</v>
      </c>
      <c r="W53" s="62" cm="1">
        <f t="array" ref="W53">INDEX(tblPrices[cv_2028], MATCH(tblAmazonUnits[[#This Row],[Products]],tblPrices[Products],0), 0)* tblAmazonUnits[[#This Row],[cv_2028]]/10^6</f>
        <v>0</v>
      </c>
      <c r="X53" s="1">
        <f>VLOOKUP(A53,Products!$A$29:$F$110,6,FALSE)</f>
        <v>400</v>
      </c>
    </row>
    <row r="54" spans="1:24" s="1" customFormat="1" ht="13.15">
      <c r="A54" s="9" t="s">
        <v>42</v>
      </c>
      <c r="B54" s="8">
        <v>0</v>
      </c>
      <c r="C54" s="8">
        <v>0</v>
      </c>
      <c r="D54" s="8"/>
      <c r="E54" s="8"/>
      <c r="F54" s="8"/>
      <c r="G54" s="8"/>
      <c r="H54" s="8"/>
      <c r="I54" s="8"/>
      <c r="J54" s="8"/>
      <c r="K54" s="8"/>
      <c r="L54" s="8"/>
      <c r="M54" s="62" cm="1">
        <f t="array" ref="M54">INDEX(tblPrices[cv_2018], MATCH(tblAmazonUnits[[#This Row],[Products]],tblPrices[Products],0), 0)* tblAmazonUnits[[#This Row],[cv_2018]]/10^6</f>
        <v>0</v>
      </c>
      <c r="N54" s="62" cm="1">
        <f t="array" ref="N54">INDEX(tblPrices[cv_2019], MATCH(tblAmazonUnits[[#This Row],[Products]],tblPrices[Products],0), 0)* tblAmazonUnits[[#This Row],[cv_2019]]/10^6</f>
        <v>0</v>
      </c>
      <c r="O54" s="62" cm="1">
        <f t="array" ref="O54">INDEX(tblPrices[cv_2020], MATCH(tblAmazonUnits[[#This Row],[Products]],tblPrices[Products],0), 0)* tblAmazonUnits[[#This Row],[cv_2020]]/10^6</f>
        <v>0</v>
      </c>
      <c r="P54" s="62" cm="1">
        <f t="array" ref="P54">INDEX(tblPrices[cv_2021], MATCH(tblAmazonUnits[[#This Row],[Products]],tblPrices[Products],0), 0)* tblAmazonUnits[[#This Row],[cv_2021]]/10^6</f>
        <v>0</v>
      </c>
      <c r="Q54" s="62" cm="1">
        <f t="array" ref="Q54">INDEX(tblPrices[cv_2022], MATCH(tblAmazonUnits[[#This Row],[Products]],tblPrices[Products],0), 0)* tblAmazonUnits[[#This Row],[cv_2022]]/10^6</f>
        <v>0</v>
      </c>
      <c r="R54" s="62" cm="1">
        <f t="array" ref="R54">INDEX(tblPrices[cv_2023], MATCH(tblAmazonUnits[[#This Row],[Products]],tblPrices[Products],0), 0)* tblAmazonUnits[[#This Row],[cv_2023]]/10^6</f>
        <v>0</v>
      </c>
      <c r="S54" s="62" cm="1">
        <f t="array" ref="S54">INDEX(tblPrices[cv_2024], MATCH(tblAmazonUnits[[#This Row],[Products]],tblPrices[Products],0), 0)* tblAmazonUnits[[#This Row],[cv_2024]]/10^6</f>
        <v>0</v>
      </c>
      <c r="T54" s="62" cm="1">
        <f t="array" ref="T54">INDEX(tblPrices[cv_2025], MATCH(tblAmazonUnits[[#This Row],[Products]],tblPrices[Products],0), 0)* tblAmazonUnits[[#This Row],[cv_2025]]/10^6</f>
        <v>0</v>
      </c>
      <c r="U54" s="62" cm="1">
        <f t="array" ref="U54">INDEX(tblPrices[cv_2026], MATCH(tblAmazonUnits[[#This Row],[Products]],tblPrices[Products],0), 0)* tblAmazonUnits[[#This Row],[cv_2026]]/10^6</f>
        <v>0</v>
      </c>
      <c r="V54" s="62" cm="1">
        <f t="array" ref="V54">INDEX(tblPrices[cv_2027], MATCH(tblAmazonUnits[[#This Row],[Products]],tblPrices[Products],0), 0)* tblAmazonUnits[[#This Row],[cv_2027]]/10^6</f>
        <v>0</v>
      </c>
      <c r="W54" s="62" cm="1">
        <f t="array" ref="W54">INDEX(tblPrices[cv_2028], MATCH(tblAmazonUnits[[#This Row],[Products]],tblPrices[Products],0), 0)* tblAmazonUnits[[#This Row],[cv_2028]]/10^6</f>
        <v>0</v>
      </c>
      <c r="X54" s="1">
        <f>VLOOKUP(A54,Products!$A$29:$F$110,6,FALSE)</f>
        <v>400</v>
      </c>
    </row>
    <row r="55" spans="1:24" s="1" customFormat="1" ht="13.15">
      <c r="A55" s="9" t="s">
        <v>12</v>
      </c>
      <c r="B55" s="8">
        <v>99.999999999999972</v>
      </c>
      <c r="C55" s="8">
        <v>356.25476923076917</v>
      </c>
      <c r="D55" s="8"/>
      <c r="E55" s="8"/>
      <c r="F55" s="8"/>
      <c r="G55" s="8"/>
      <c r="H55" s="8"/>
      <c r="I55" s="8"/>
      <c r="J55" s="8"/>
      <c r="K55" s="8"/>
      <c r="L55" s="8"/>
      <c r="M55" s="62" cm="1">
        <f t="array" ref="M55">INDEX(tblPrices[cv_2018], MATCH(tblAmazonUnits[[#This Row],[Products]],tblPrices[Products],0), 0)* tblAmazonUnits[[#This Row],[cv_2018]]/10^6</f>
        <v>0.79999999999999982</v>
      </c>
      <c r="N55" s="62" cm="1">
        <f t="array" ref="N55">INDEX(tblPrices[cv_2019], MATCH(tblAmazonUnits[[#This Row],[Products]],tblPrices[Products],0), 0)* tblAmazonUnits[[#This Row],[cv_2019]]/10^6</f>
        <v>2.3554114560479995</v>
      </c>
      <c r="O55" s="62" cm="1">
        <f t="array" ref="O55">INDEX(tblPrices[cv_2020], MATCH(tblAmazonUnits[[#This Row],[Products]],tblPrices[Products],0), 0)* tblAmazonUnits[[#This Row],[cv_2020]]/10^6</f>
        <v>0</v>
      </c>
      <c r="P55" s="62" cm="1">
        <f t="array" ref="P55">INDEX(tblPrices[cv_2021], MATCH(tblAmazonUnits[[#This Row],[Products]],tblPrices[Products],0), 0)* tblAmazonUnits[[#This Row],[cv_2021]]/10^6</f>
        <v>0</v>
      </c>
      <c r="Q55" s="62" cm="1">
        <f t="array" ref="Q55">INDEX(tblPrices[cv_2022], MATCH(tblAmazonUnits[[#This Row],[Products]],tblPrices[Products],0), 0)* tblAmazonUnits[[#This Row],[cv_2022]]/10^6</f>
        <v>0</v>
      </c>
      <c r="R55" s="62" cm="1">
        <f t="array" ref="R55">INDEX(tblPrices[cv_2023], MATCH(tblAmazonUnits[[#This Row],[Products]],tblPrices[Products],0), 0)* tblAmazonUnits[[#This Row],[cv_2023]]/10^6</f>
        <v>0</v>
      </c>
      <c r="S55" s="62" cm="1">
        <f t="array" ref="S55">INDEX(tblPrices[cv_2024], MATCH(tblAmazonUnits[[#This Row],[Products]],tblPrices[Products],0), 0)* tblAmazonUnits[[#This Row],[cv_2024]]/10^6</f>
        <v>0</v>
      </c>
      <c r="T55" s="62" cm="1">
        <f t="array" ref="T55">INDEX(tblPrices[cv_2025], MATCH(tblAmazonUnits[[#This Row],[Products]],tblPrices[Products],0), 0)* tblAmazonUnits[[#This Row],[cv_2025]]/10^6</f>
        <v>0</v>
      </c>
      <c r="U55" s="62" cm="1">
        <f t="array" ref="U55">INDEX(tblPrices[cv_2026], MATCH(tblAmazonUnits[[#This Row],[Products]],tblPrices[Products],0), 0)* tblAmazonUnits[[#This Row],[cv_2026]]/10^6</f>
        <v>0</v>
      </c>
      <c r="V55" s="62" cm="1">
        <f t="array" ref="V55">INDEX(tblPrices[cv_2027], MATCH(tblAmazonUnits[[#This Row],[Products]],tblPrices[Products],0), 0)* tblAmazonUnits[[#This Row],[cv_2027]]/10^6</f>
        <v>0</v>
      </c>
      <c r="W55" s="62" cm="1">
        <f t="array" ref="W55">INDEX(tblPrices[cv_2028], MATCH(tblAmazonUnits[[#This Row],[Products]],tblPrices[Products],0), 0)* tblAmazonUnits[[#This Row],[cv_2028]]/10^6</f>
        <v>0</v>
      </c>
      <c r="X55" s="1">
        <f>VLOOKUP(A55,Products!$A$29:$F$110,6,FALSE)</f>
        <v>400</v>
      </c>
    </row>
    <row r="56" spans="1:24" s="1" customFormat="1" ht="13.15">
      <c r="A56" s="9" t="s">
        <v>13</v>
      </c>
      <c r="B56" s="8">
        <v>0</v>
      </c>
      <c r="C56" s="8">
        <v>0</v>
      </c>
      <c r="D56" s="8"/>
      <c r="E56" s="8"/>
      <c r="F56" s="8"/>
      <c r="G56" s="8"/>
      <c r="H56" s="8"/>
      <c r="I56" s="8"/>
      <c r="J56" s="8"/>
      <c r="K56" s="8"/>
      <c r="L56" s="8"/>
      <c r="M56" s="62" cm="1">
        <f t="array" ref="M56">INDEX(tblPrices[cv_2018], MATCH(tblAmazonUnits[[#This Row],[Products]],tblPrices[Products],0), 0)* tblAmazonUnits[[#This Row],[cv_2018]]/10^6</f>
        <v>0</v>
      </c>
      <c r="N56" s="62" cm="1">
        <f t="array" ref="N56">INDEX(tblPrices[cv_2019], MATCH(tblAmazonUnits[[#This Row],[Products]],tblPrices[Products],0), 0)* tblAmazonUnits[[#This Row],[cv_2019]]/10^6</f>
        <v>0</v>
      </c>
      <c r="O56" s="62" cm="1">
        <f t="array" ref="O56">INDEX(tblPrices[cv_2020], MATCH(tblAmazonUnits[[#This Row],[Products]],tblPrices[Products],0), 0)* tblAmazonUnits[[#This Row],[cv_2020]]/10^6</f>
        <v>0</v>
      </c>
      <c r="P56" s="62" cm="1">
        <f t="array" ref="P56">INDEX(tblPrices[cv_2021], MATCH(tblAmazonUnits[[#This Row],[Products]],tblPrices[Products],0), 0)* tblAmazonUnits[[#This Row],[cv_2021]]/10^6</f>
        <v>0</v>
      </c>
      <c r="Q56" s="62" cm="1">
        <f t="array" ref="Q56">INDEX(tblPrices[cv_2022], MATCH(tblAmazonUnits[[#This Row],[Products]],tblPrices[Products],0), 0)* tblAmazonUnits[[#This Row],[cv_2022]]/10^6</f>
        <v>0</v>
      </c>
      <c r="R56" s="62" cm="1">
        <f t="array" ref="R56">INDEX(tblPrices[cv_2023], MATCH(tblAmazonUnits[[#This Row],[Products]],tblPrices[Products],0), 0)* tblAmazonUnits[[#This Row],[cv_2023]]/10^6</f>
        <v>0</v>
      </c>
      <c r="S56" s="62" cm="1">
        <f t="array" ref="S56">INDEX(tblPrices[cv_2024], MATCH(tblAmazonUnits[[#This Row],[Products]],tblPrices[Products],0), 0)* tblAmazonUnits[[#This Row],[cv_2024]]/10^6</f>
        <v>0</v>
      </c>
      <c r="T56" s="62" cm="1">
        <f t="array" ref="T56">INDEX(tblPrices[cv_2025], MATCH(tblAmazonUnits[[#This Row],[Products]],tblPrices[Products],0), 0)* tblAmazonUnits[[#This Row],[cv_2025]]/10^6</f>
        <v>0</v>
      </c>
      <c r="U56" s="62" cm="1">
        <f t="array" ref="U56">INDEX(tblPrices[cv_2026], MATCH(tblAmazonUnits[[#This Row],[Products]],tblPrices[Products],0), 0)* tblAmazonUnits[[#This Row],[cv_2026]]/10^6</f>
        <v>0</v>
      </c>
      <c r="V56" s="62" cm="1">
        <f t="array" ref="V56">INDEX(tblPrices[cv_2027], MATCH(tblAmazonUnits[[#This Row],[Products]],tblPrices[Products],0), 0)* tblAmazonUnits[[#This Row],[cv_2027]]/10^6</f>
        <v>0</v>
      </c>
      <c r="W56" s="62" cm="1">
        <f t="array" ref="W56">INDEX(tblPrices[cv_2028], MATCH(tblAmazonUnits[[#This Row],[Products]],tblPrices[Products],0), 0)* tblAmazonUnits[[#This Row],[cv_2028]]/10^6</f>
        <v>0</v>
      </c>
      <c r="X56" s="1">
        <f>VLOOKUP(A56,Products!$A$29:$F$110,6,FALSE)</f>
        <v>800</v>
      </c>
    </row>
    <row r="57" spans="1:24" s="1" customFormat="1" ht="13.15">
      <c r="A57" s="9" t="s">
        <v>14</v>
      </c>
      <c r="B57" s="8">
        <v>0</v>
      </c>
      <c r="C57" s="8">
        <v>0</v>
      </c>
      <c r="D57" s="8"/>
      <c r="E57" s="8"/>
      <c r="F57" s="8"/>
      <c r="G57" s="8"/>
      <c r="H57" s="8"/>
      <c r="I57" s="8"/>
      <c r="J57" s="8"/>
      <c r="K57" s="8"/>
      <c r="L57" s="8"/>
      <c r="M57" s="62" cm="1">
        <f t="array" ref="M57">INDEX(tblPrices[cv_2018], MATCH(tblAmazonUnits[[#This Row],[Products]],tblPrices[Products],0), 0)* tblAmazonUnits[[#This Row],[cv_2018]]/10^6</f>
        <v>0</v>
      </c>
      <c r="N57" s="62" cm="1">
        <f t="array" ref="N57">INDEX(tblPrices[cv_2019], MATCH(tblAmazonUnits[[#This Row],[Products]],tblPrices[Products],0), 0)* tblAmazonUnits[[#This Row],[cv_2019]]/10^6</f>
        <v>0</v>
      </c>
      <c r="O57" s="62" cm="1">
        <f t="array" ref="O57">INDEX(tblPrices[cv_2020], MATCH(tblAmazonUnits[[#This Row],[Products]],tblPrices[Products],0), 0)* tblAmazonUnits[[#This Row],[cv_2020]]/10^6</f>
        <v>0</v>
      </c>
      <c r="P57" s="62" cm="1">
        <f t="array" ref="P57">INDEX(tblPrices[cv_2021], MATCH(tblAmazonUnits[[#This Row],[Products]],tblPrices[Products],0), 0)* tblAmazonUnits[[#This Row],[cv_2021]]/10^6</f>
        <v>0</v>
      </c>
      <c r="Q57" s="62" cm="1">
        <f t="array" ref="Q57">INDEX(tblPrices[cv_2022], MATCH(tblAmazonUnits[[#This Row],[Products]],tblPrices[Products],0), 0)* tblAmazonUnits[[#This Row],[cv_2022]]/10^6</f>
        <v>0</v>
      </c>
      <c r="R57" s="62" cm="1">
        <f t="array" ref="R57">INDEX(tblPrices[cv_2023], MATCH(tblAmazonUnits[[#This Row],[Products]],tblPrices[Products],0), 0)* tblAmazonUnits[[#This Row],[cv_2023]]/10^6</f>
        <v>0</v>
      </c>
      <c r="S57" s="62" cm="1">
        <f t="array" ref="S57">INDEX(tblPrices[cv_2024], MATCH(tblAmazonUnits[[#This Row],[Products]],tblPrices[Products],0), 0)* tblAmazonUnits[[#This Row],[cv_2024]]/10^6</f>
        <v>0</v>
      </c>
      <c r="T57" s="62" cm="1">
        <f t="array" ref="T57">INDEX(tblPrices[cv_2025], MATCH(tblAmazonUnits[[#This Row],[Products]],tblPrices[Products],0), 0)* tblAmazonUnits[[#This Row],[cv_2025]]/10^6</f>
        <v>0</v>
      </c>
      <c r="U57" s="62" cm="1">
        <f t="array" ref="U57">INDEX(tblPrices[cv_2026], MATCH(tblAmazonUnits[[#This Row],[Products]],tblPrices[Products],0), 0)* tblAmazonUnits[[#This Row],[cv_2026]]/10^6</f>
        <v>0</v>
      </c>
      <c r="V57" s="62" cm="1">
        <f t="array" ref="V57">INDEX(tblPrices[cv_2027], MATCH(tblAmazonUnits[[#This Row],[Products]],tblPrices[Products],0), 0)* tblAmazonUnits[[#This Row],[cv_2027]]/10^6</f>
        <v>0</v>
      </c>
      <c r="W57" s="62" cm="1">
        <f t="array" ref="W57">INDEX(tblPrices[cv_2028], MATCH(tblAmazonUnits[[#This Row],[Products]],tblPrices[Products],0), 0)* tblAmazonUnits[[#This Row],[cv_2028]]/10^6</f>
        <v>0</v>
      </c>
      <c r="X57" s="1">
        <f>VLOOKUP(A57,Products!$A$29:$F$110,6,FALSE)</f>
        <v>800</v>
      </c>
    </row>
    <row r="58" spans="1:24" s="1" customFormat="1" ht="13.15">
      <c r="A58" s="9" t="s">
        <v>15</v>
      </c>
      <c r="B58" s="8">
        <v>0</v>
      </c>
      <c r="C58" s="8">
        <v>0</v>
      </c>
      <c r="D58" s="8"/>
      <c r="E58" s="8"/>
      <c r="F58" s="8"/>
      <c r="G58" s="8"/>
      <c r="H58" s="8"/>
      <c r="I58" s="8"/>
      <c r="J58" s="8"/>
      <c r="K58" s="8"/>
      <c r="L58" s="8"/>
      <c r="M58" s="62" cm="1">
        <f t="array" ref="M58">INDEX(tblPrices[cv_2018], MATCH(tblAmazonUnits[[#This Row],[Products]],tblPrices[Products],0), 0)* tblAmazonUnits[[#This Row],[cv_2018]]/10^6</f>
        <v>0</v>
      </c>
      <c r="N58" s="62" cm="1">
        <f t="array" ref="N58">INDEX(tblPrices[cv_2019], MATCH(tblAmazonUnits[[#This Row],[Products]],tblPrices[Products],0), 0)* tblAmazonUnits[[#This Row],[cv_2019]]/10^6</f>
        <v>0</v>
      </c>
      <c r="O58" s="62" cm="1">
        <f t="array" ref="O58">INDEX(tblPrices[cv_2020], MATCH(tblAmazonUnits[[#This Row],[Products]],tblPrices[Products],0), 0)* tblAmazonUnits[[#This Row],[cv_2020]]/10^6</f>
        <v>0</v>
      </c>
      <c r="P58" s="62" cm="1">
        <f t="array" ref="P58">INDEX(tblPrices[cv_2021], MATCH(tblAmazonUnits[[#This Row],[Products]],tblPrices[Products],0), 0)* tblAmazonUnits[[#This Row],[cv_2021]]/10^6</f>
        <v>0</v>
      </c>
      <c r="Q58" s="62" cm="1">
        <f t="array" ref="Q58">INDEX(tblPrices[cv_2022], MATCH(tblAmazonUnits[[#This Row],[Products]],tblPrices[Products],0), 0)* tblAmazonUnits[[#This Row],[cv_2022]]/10^6</f>
        <v>0</v>
      </c>
      <c r="R58" s="62" cm="1">
        <f t="array" ref="R58">INDEX(tblPrices[cv_2023], MATCH(tblAmazonUnits[[#This Row],[Products]],tblPrices[Products],0), 0)* tblAmazonUnits[[#This Row],[cv_2023]]/10^6</f>
        <v>0</v>
      </c>
      <c r="S58" s="62" cm="1">
        <f t="array" ref="S58">INDEX(tblPrices[cv_2024], MATCH(tblAmazonUnits[[#This Row],[Products]],tblPrices[Products],0), 0)* tblAmazonUnits[[#This Row],[cv_2024]]/10^6</f>
        <v>0</v>
      </c>
      <c r="T58" s="62" cm="1">
        <f t="array" ref="T58">INDEX(tblPrices[cv_2025], MATCH(tblAmazonUnits[[#This Row],[Products]],tblPrices[Products],0), 0)* tblAmazonUnits[[#This Row],[cv_2025]]/10^6</f>
        <v>0</v>
      </c>
      <c r="U58" s="62" cm="1">
        <f t="array" ref="U58">INDEX(tblPrices[cv_2026], MATCH(tblAmazonUnits[[#This Row],[Products]],tblPrices[Products],0), 0)* tblAmazonUnits[[#This Row],[cv_2026]]/10^6</f>
        <v>0</v>
      </c>
      <c r="V58" s="62" cm="1">
        <f t="array" ref="V58">INDEX(tblPrices[cv_2027], MATCH(tblAmazonUnits[[#This Row],[Products]],tblPrices[Products],0), 0)* tblAmazonUnits[[#This Row],[cv_2027]]/10^6</f>
        <v>0</v>
      </c>
      <c r="W58" s="62" cm="1">
        <f t="array" ref="W58">INDEX(tblPrices[cv_2028], MATCH(tblAmazonUnits[[#This Row],[Products]],tblPrices[Products],0), 0)* tblAmazonUnits[[#This Row],[cv_2028]]/10^6</f>
        <v>0</v>
      </c>
      <c r="X58" s="1">
        <f>VLOOKUP(A58,Products!$A$29:$F$110,6,FALSE)</f>
        <v>800</v>
      </c>
    </row>
    <row r="59" spans="1:24" s="1" customFormat="1" ht="13.15">
      <c r="A59" s="9" t="s">
        <v>16</v>
      </c>
      <c r="B59" s="8">
        <v>0</v>
      </c>
      <c r="C59" s="8">
        <v>0</v>
      </c>
      <c r="D59" s="8"/>
      <c r="E59" s="8"/>
      <c r="F59" s="8"/>
      <c r="G59" s="8"/>
      <c r="H59" s="8"/>
      <c r="I59" s="8"/>
      <c r="J59" s="8"/>
      <c r="K59" s="8"/>
      <c r="L59" s="8"/>
      <c r="M59" s="62" cm="1">
        <f t="array" ref="M59">INDEX(tblPrices[cv_2018], MATCH(tblAmazonUnits[[#This Row],[Products]],tblPrices[Products],0), 0)* tblAmazonUnits[[#This Row],[cv_2018]]/10^6</f>
        <v>0</v>
      </c>
      <c r="N59" s="62" cm="1">
        <f t="array" ref="N59">INDEX(tblPrices[cv_2019], MATCH(tblAmazonUnits[[#This Row],[Products]],tblPrices[Products],0), 0)* tblAmazonUnits[[#This Row],[cv_2019]]/10^6</f>
        <v>0</v>
      </c>
      <c r="O59" s="62" cm="1">
        <f t="array" ref="O59">INDEX(tblPrices[cv_2020], MATCH(tblAmazonUnits[[#This Row],[Products]],tblPrices[Products],0), 0)* tblAmazonUnits[[#This Row],[cv_2020]]/10^6</f>
        <v>0</v>
      </c>
      <c r="P59" s="62" cm="1">
        <f t="array" ref="P59">INDEX(tblPrices[cv_2021], MATCH(tblAmazonUnits[[#This Row],[Products]],tblPrices[Products],0), 0)* tblAmazonUnits[[#This Row],[cv_2021]]/10^6</f>
        <v>0</v>
      </c>
      <c r="Q59" s="62" cm="1">
        <f t="array" ref="Q59">INDEX(tblPrices[cv_2022], MATCH(tblAmazonUnits[[#This Row],[Products]],tblPrices[Products],0), 0)* tblAmazonUnits[[#This Row],[cv_2022]]/10^6</f>
        <v>0</v>
      </c>
      <c r="R59" s="62" cm="1">
        <f t="array" ref="R59">INDEX(tblPrices[cv_2023], MATCH(tblAmazonUnits[[#This Row],[Products]],tblPrices[Products],0), 0)* tblAmazonUnits[[#This Row],[cv_2023]]/10^6</f>
        <v>0</v>
      </c>
      <c r="S59" s="62" cm="1">
        <f t="array" ref="S59">INDEX(tblPrices[cv_2024], MATCH(tblAmazonUnits[[#This Row],[Products]],tblPrices[Products],0), 0)* tblAmazonUnits[[#This Row],[cv_2024]]/10^6</f>
        <v>0</v>
      </c>
      <c r="T59" s="62" cm="1">
        <f t="array" ref="T59">INDEX(tblPrices[cv_2025], MATCH(tblAmazonUnits[[#This Row],[Products]],tblPrices[Products],0), 0)* tblAmazonUnits[[#This Row],[cv_2025]]/10^6</f>
        <v>0</v>
      </c>
      <c r="U59" s="62" cm="1">
        <f t="array" ref="U59">INDEX(tblPrices[cv_2026], MATCH(tblAmazonUnits[[#This Row],[Products]],tblPrices[Products],0), 0)* tblAmazonUnits[[#This Row],[cv_2026]]/10^6</f>
        <v>0</v>
      </c>
      <c r="V59" s="62" cm="1">
        <f t="array" ref="V59">INDEX(tblPrices[cv_2027], MATCH(tblAmazonUnits[[#This Row],[Products]],tblPrices[Products],0), 0)* tblAmazonUnits[[#This Row],[cv_2027]]/10^6</f>
        <v>0</v>
      </c>
      <c r="W59" s="62" cm="1">
        <f t="array" ref="W59">INDEX(tblPrices[cv_2028], MATCH(tblAmazonUnits[[#This Row],[Products]],tblPrices[Products],0), 0)* tblAmazonUnits[[#This Row],[cv_2028]]/10^6</f>
        <v>0</v>
      </c>
      <c r="X59" s="1">
        <f>VLOOKUP(A59,Products!$A$29:$F$110,6,FALSE)</f>
        <v>800</v>
      </c>
    </row>
    <row r="60" spans="1:24" s="1" customFormat="1" ht="13.15">
      <c r="A60" s="9" t="s">
        <v>17</v>
      </c>
      <c r="B60" s="8">
        <v>0</v>
      </c>
      <c r="C60" s="8">
        <v>0</v>
      </c>
      <c r="D60" s="8"/>
      <c r="E60" s="8"/>
      <c r="F60" s="8"/>
      <c r="G60" s="8"/>
      <c r="H60" s="8"/>
      <c r="I60" s="8"/>
      <c r="J60" s="8"/>
      <c r="K60" s="8"/>
      <c r="L60" s="8"/>
      <c r="M60" s="62" cm="1">
        <f t="array" ref="M60">INDEX(tblPrices[cv_2018], MATCH(tblAmazonUnits[[#This Row],[Products]],tblPrices[Products],0), 0)* tblAmazonUnits[[#This Row],[cv_2018]]/10^6</f>
        <v>0</v>
      </c>
      <c r="N60" s="62" cm="1">
        <f t="array" ref="N60">INDEX(tblPrices[cv_2019], MATCH(tblAmazonUnits[[#This Row],[Products]],tblPrices[Products],0), 0)* tblAmazonUnits[[#This Row],[cv_2019]]/10^6</f>
        <v>0</v>
      </c>
      <c r="O60" s="62" cm="1">
        <f t="array" ref="O60">INDEX(tblPrices[cv_2020], MATCH(tblAmazonUnits[[#This Row],[Products]],tblPrices[Products],0), 0)* tblAmazonUnits[[#This Row],[cv_2020]]/10^6</f>
        <v>0</v>
      </c>
      <c r="P60" s="62" cm="1">
        <f t="array" ref="P60">INDEX(tblPrices[cv_2021], MATCH(tblAmazonUnits[[#This Row],[Products]],tblPrices[Products],0), 0)* tblAmazonUnits[[#This Row],[cv_2021]]/10^6</f>
        <v>0</v>
      </c>
      <c r="Q60" s="62" cm="1">
        <f t="array" ref="Q60">INDEX(tblPrices[cv_2022], MATCH(tblAmazonUnits[[#This Row],[Products]],tblPrices[Products],0), 0)* tblAmazonUnits[[#This Row],[cv_2022]]/10^6</f>
        <v>0</v>
      </c>
      <c r="R60" s="62" cm="1">
        <f t="array" ref="R60">INDEX(tblPrices[cv_2023], MATCH(tblAmazonUnits[[#This Row],[Products]],tblPrices[Products],0), 0)* tblAmazonUnits[[#This Row],[cv_2023]]/10^6</f>
        <v>0</v>
      </c>
      <c r="S60" s="62" cm="1">
        <f t="array" ref="S60">INDEX(tblPrices[cv_2024], MATCH(tblAmazonUnits[[#This Row],[Products]],tblPrices[Products],0), 0)* tblAmazonUnits[[#This Row],[cv_2024]]/10^6</f>
        <v>0</v>
      </c>
      <c r="T60" s="62" cm="1">
        <f t="array" ref="T60">INDEX(tblPrices[cv_2025], MATCH(tblAmazonUnits[[#This Row],[Products]],tblPrices[Products],0), 0)* tblAmazonUnits[[#This Row],[cv_2025]]/10^6</f>
        <v>0</v>
      </c>
      <c r="U60" s="62" cm="1">
        <f t="array" ref="U60">INDEX(tblPrices[cv_2026], MATCH(tblAmazonUnits[[#This Row],[Products]],tblPrices[Products],0), 0)* tblAmazonUnits[[#This Row],[cv_2026]]/10^6</f>
        <v>0</v>
      </c>
      <c r="V60" s="62" cm="1">
        <f t="array" ref="V60">INDEX(tblPrices[cv_2027], MATCH(tblAmazonUnits[[#This Row],[Products]],tblPrices[Products],0), 0)* tblAmazonUnits[[#This Row],[cv_2027]]/10^6</f>
        <v>0</v>
      </c>
      <c r="W60" s="62" cm="1">
        <f t="array" ref="W60">INDEX(tblPrices[cv_2028], MATCH(tblAmazonUnits[[#This Row],[Products]],tblPrices[Products],0), 0)* tblAmazonUnits[[#This Row],[cv_2028]]/10^6</f>
        <v>0</v>
      </c>
      <c r="X60" s="1">
        <f>VLOOKUP(A60,Products!$A$29:$F$110,6,FALSE)</f>
        <v>800</v>
      </c>
    </row>
    <row r="61" spans="1:24" s="1" customFormat="1" ht="13.15">
      <c r="A61" s="9" t="s">
        <v>18</v>
      </c>
      <c r="B61" s="8">
        <v>0</v>
      </c>
      <c r="C61" s="8">
        <v>0</v>
      </c>
      <c r="D61" s="8"/>
      <c r="E61" s="8"/>
      <c r="F61" s="8"/>
      <c r="G61" s="8"/>
      <c r="H61" s="8"/>
      <c r="I61" s="8"/>
      <c r="J61" s="8"/>
      <c r="K61" s="8"/>
      <c r="L61" s="8"/>
      <c r="M61" s="62" cm="1">
        <f t="array" ref="M61">INDEX(tblPrices[cv_2018], MATCH(tblAmazonUnits[[#This Row],[Products]],tblPrices[Products],0), 0)* tblAmazonUnits[[#This Row],[cv_2018]]/10^6</f>
        <v>0</v>
      </c>
      <c r="N61" s="62" cm="1">
        <f t="array" ref="N61">INDEX(tblPrices[cv_2019], MATCH(tblAmazonUnits[[#This Row],[Products]],tblPrices[Products],0), 0)* tblAmazonUnits[[#This Row],[cv_2019]]/10^6</f>
        <v>0</v>
      </c>
      <c r="O61" s="62" cm="1">
        <f t="array" ref="O61">INDEX(tblPrices[cv_2020], MATCH(tblAmazonUnits[[#This Row],[Products]],tblPrices[Products],0), 0)* tblAmazonUnits[[#This Row],[cv_2020]]/10^6</f>
        <v>0</v>
      </c>
      <c r="P61" s="62" cm="1">
        <f t="array" ref="P61">INDEX(tblPrices[cv_2021], MATCH(tblAmazonUnits[[#This Row],[Products]],tblPrices[Products],0), 0)* tblAmazonUnits[[#This Row],[cv_2021]]/10^6</f>
        <v>0</v>
      </c>
      <c r="Q61" s="62" cm="1">
        <f t="array" ref="Q61">INDEX(tblPrices[cv_2022], MATCH(tblAmazonUnits[[#This Row],[Products]],tblPrices[Products],0), 0)* tblAmazonUnits[[#This Row],[cv_2022]]/10^6</f>
        <v>0</v>
      </c>
      <c r="R61" s="62" cm="1">
        <f t="array" ref="R61">INDEX(tblPrices[cv_2023], MATCH(tblAmazonUnits[[#This Row],[Products]],tblPrices[Products],0), 0)* tblAmazonUnits[[#This Row],[cv_2023]]/10^6</f>
        <v>0</v>
      </c>
      <c r="S61" s="62" cm="1">
        <f t="array" ref="S61">INDEX(tblPrices[cv_2024], MATCH(tblAmazonUnits[[#This Row],[Products]],tblPrices[Products],0), 0)* tblAmazonUnits[[#This Row],[cv_2024]]/10^6</f>
        <v>0</v>
      </c>
      <c r="T61" s="62" cm="1">
        <f t="array" ref="T61">INDEX(tblPrices[cv_2025], MATCH(tblAmazonUnits[[#This Row],[Products]],tblPrices[Products],0), 0)* tblAmazonUnits[[#This Row],[cv_2025]]/10^6</f>
        <v>0</v>
      </c>
      <c r="U61" s="62" cm="1">
        <f t="array" ref="U61">INDEX(tblPrices[cv_2026], MATCH(tblAmazonUnits[[#This Row],[Products]],tblPrices[Products],0), 0)* tblAmazonUnits[[#This Row],[cv_2026]]/10^6</f>
        <v>0</v>
      </c>
      <c r="V61" s="62" cm="1">
        <f t="array" ref="V61">INDEX(tblPrices[cv_2027], MATCH(tblAmazonUnits[[#This Row],[Products]],tblPrices[Products],0), 0)* tblAmazonUnits[[#This Row],[cv_2027]]/10^6</f>
        <v>0</v>
      </c>
      <c r="W61" s="62" cm="1">
        <f t="array" ref="W61">INDEX(tblPrices[cv_2028], MATCH(tblAmazonUnits[[#This Row],[Products]],tblPrices[Products],0), 0)* tblAmazonUnits[[#This Row],[cv_2028]]/10^6</f>
        <v>0</v>
      </c>
      <c r="X61" s="1">
        <f>VLOOKUP(A61,Products!$A$29:$F$110,6,FALSE)</f>
        <v>1600</v>
      </c>
    </row>
    <row r="62" spans="1:24" s="1" customFormat="1" ht="13.15">
      <c r="A62" s="9" t="s">
        <v>19</v>
      </c>
      <c r="B62" s="8">
        <v>0</v>
      </c>
      <c r="C62" s="8">
        <v>0</v>
      </c>
      <c r="D62" s="8"/>
      <c r="E62" s="8"/>
      <c r="F62" s="8"/>
      <c r="G62" s="8"/>
      <c r="H62" s="8"/>
      <c r="I62" s="8"/>
      <c r="J62" s="8"/>
      <c r="K62" s="8"/>
      <c r="L62" s="8"/>
      <c r="M62" s="62" cm="1">
        <f t="array" ref="M62">INDEX(tblPrices[cv_2018], MATCH(tblAmazonUnits[[#This Row],[Products]],tblPrices[Products],0), 0)* tblAmazonUnits[[#This Row],[cv_2018]]/10^6</f>
        <v>0</v>
      </c>
      <c r="N62" s="62" cm="1">
        <f t="array" ref="N62">INDEX(tblPrices[cv_2019], MATCH(tblAmazonUnits[[#This Row],[Products]],tblPrices[Products],0), 0)* tblAmazonUnits[[#This Row],[cv_2019]]/10^6</f>
        <v>0</v>
      </c>
      <c r="O62" s="62" cm="1">
        <f t="array" ref="O62">INDEX(tblPrices[cv_2020], MATCH(tblAmazonUnits[[#This Row],[Products]],tblPrices[Products],0), 0)* tblAmazonUnits[[#This Row],[cv_2020]]/10^6</f>
        <v>0</v>
      </c>
      <c r="P62" s="62" cm="1">
        <f t="array" ref="P62">INDEX(tblPrices[cv_2021], MATCH(tblAmazonUnits[[#This Row],[Products]],tblPrices[Products],0), 0)* tblAmazonUnits[[#This Row],[cv_2021]]/10^6</f>
        <v>0</v>
      </c>
      <c r="Q62" s="62" cm="1">
        <f t="array" ref="Q62">INDEX(tblPrices[cv_2022], MATCH(tblAmazonUnits[[#This Row],[Products]],tblPrices[Products],0), 0)* tblAmazonUnits[[#This Row],[cv_2022]]/10^6</f>
        <v>0</v>
      </c>
      <c r="R62" s="62" cm="1">
        <f t="array" ref="R62">INDEX(tblPrices[cv_2023], MATCH(tblAmazonUnits[[#This Row],[Products]],tblPrices[Products],0), 0)* tblAmazonUnits[[#This Row],[cv_2023]]/10^6</f>
        <v>0</v>
      </c>
      <c r="S62" s="62" cm="1">
        <f t="array" ref="S62">INDEX(tblPrices[cv_2024], MATCH(tblAmazonUnits[[#This Row],[Products]],tblPrices[Products],0), 0)* tblAmazonUnits[[#This Row],[cv_2024]]/10^6</f>
        <v>0</v>
      </c>
      <c r="T62" s="62" cm="1">
        <f t="array" ref="T62">INDEX(tblPrices[cv_2025], MATCH(tblAmazonUnits[[#This Row],[Products]],tblPrices[Products],0), 0)* tblAmazonUnits[[#This Row],[cv_2025]]/10^6</f>
        <v>0</v>
      </c>
      <c r="U62" s="62" cm="1">
        <f t="array" ref="U62">INDEX(tblPrices[cv_2026], MATCH(tblAmazonUnits[[#This Row],[Products]],tblPrices[Products],0), 0)* tblAmazonUnits[[#This Row],[cv_2026]]/10^6</f>
        <v>0</v>
      </c>
      <c r="V62" s="62" cm="1">
        <f t="array" ref="V62">INDEX(tblPrices[cv_2027], MATCH(tblAmazonUnits[[#This Row],[Products]],tblPrices[Products],0), 0)* tblAmazonUnits[[#This Row],[cv_2027]]/10^6</f>
        <v>0</v>
      </c>
      <c r="W62" s="62" cm="1">
        <f t="array" ref="W62">INDEX(tblPrices[cv_2028], MATCH(tblAmazonUnits[[#This Row],[Products]],tblPrices[Products],0), 0)* tblAmazonUnits[[#This Row],[cv_2028]]/10^6</f>
        <v>0</v>
      </c>
      <c r="X62" s="1">
        <f>VLOOKUP(A62,Products!$A$29:$F$110,6,FALSE)</f>
        <v>1600</v>
      </c>
    </row>
    <row r="63" spans="1:24" s="1" customFormat="1" ht="13.15">
      <c r="A63" s="72" t="s">
        <v>20</v>
      </c>
      <c r="B63" s="73">
        <v>0</v>
      </c>
      <c r="C63" s="73">
        <v>0</v>
      </c>
      <c r="D63" s="73"/>
      <c r="E63" s="73"/>
      <c r="F63" s="73"/>
      <c r="G63" s="73"/>
      <c r="H63" s="73"/>
      <c r="I63" s="73"/>
      <c r="J63" s="73"/>
      <c r="K63" s="73"/>
      <c r="L63" s="73"/>
      <c r="M63" s="115" cm="1">
        <f t="array" ref="M63">INDEX(tblPrices[cv_2018], MATCH(tblAmazonUnits[[#This Row],[Products]],tblPrices[Products],0), 0)* tblAmazonUnits[[#This Row],[cv_2018]]/10^6</f>
        <v>0</v>
      </c>
      <c r="N63" s="115" cm="1">
        <f t="array" ref="N63">INDEX(tblPrices[cv_2019], MATCH(tblAmazonUnits[[#This Row],[Products]],tblPrices[Products],0), 0)* tblAmazonUnits[[#This Row],[cv_2019]]/10^6</f>
        <v>0</v>
      </c>
      <c r="O63" s="115" cm="1">
        <f t="array" ref="O63">INDEX(tblPrices[cv_2020], MATCH(tblAmazonUnits[[#This Row],[Products]],tblPrices[Products],0), 0)* tblAmazonUnits[[#This Row],[cv_2020]]/10^6</f>
        <v>0</v>
      </c>
      <c r="P63" s="115" cm="1">
        <f t="array" ref="P63">INDEX(tblPrices[cv_2021], MATCH(tblAmazonUnits[[#This Row],[Products]],tblPrices[Products],0), 0)* tblAmazonUnits[[#This Row],[cv_2021]]/10^6</f>
        <v>0</v>
      </c>
      <c r="Q63" s="115" cm="1">
        <f t="array" ref="Q63">INDEX(tblPrices[cv_2022], MATCH(tblAmazonUnits[[#This Row],[Products]],tblPrices[Products],0), 0)* tblAmazonUnits[[#This Row],[cv_2022]]/10^6</f>
        <v>0</v>
      </c>
      <c r="R63" s="115" cm="1">
        <f t="array" ref="R63">INDEX(tblPrices[cv_2023], MATCH(tblAmazonUnits[[#This Row],[Products]],tblPrices[Products],0), 0)* tblAmazonUnits[[#This Row],[cv_2023]]/10^6</f>
        <v>0</v>
      </c>
      <c r="S63" s="115" cm="1">
        <f t="array" ref="S63">INDEX(tblPrices[cv_2024], MATCH(tblAmazonUnits[[#This Row],[Products]],tblPrices[Products],0), 0)* tblAmazonUnits[[#This Row],[cv_2024]]/10^6</f>
        <v>0</v>
      </c>
      <c r="T63" s="115" cm="1">
        <f t="array" ref="T63">INDEX(tblPrices[cv_2025], MATCH(tblAmazonUnits[[#This Row],[Products]],tblPrices[Products],0), 0)* tblAmazonUnits[[#This Row],[cv_2025]]/10^6</f>
        <v>0</v>
      </c>
      <c r="U63" s="115" cm="1">
        <f t="array" ref="U63">INDEX(tblPrices[cv_2026], MATCH(tblAmazonUnits[[#This Row],[Products]],tblPrices[Products],0), 0)* tblAmazonUnits[[#This Row],[cv_2026]]/10^6</f>
        <v>0</v>
      </c>
      <c r="V63" s="115" cm="1">
        <f t="array" ref="V63">INDEX(tblPrices[cv_2027], MATCH(tblAmazonUnits[[#This Row],[Products]],tblPrices[Products],0), 0)* tblAmazonUnits[[#This Row],[cv_2027]]/10^6</f>
        <v>0</v>
      </c>
      <c r="W63" s="115" cm="1">
        <f t="array" ref="W63">INDEX(tblPrices[cv_2028], MATCH(tblAmazonUnits[[#This Row],[Products]],tblPrices[Products],0), 0)* tblAmazonUnits[[#This Row],[cv_2028]]/10^6</f>
        <v>0</v>
      </c>
      <c r="X63" s="1">
        <f>VLOOKUP(A63,Products!$A$29:$F$110,6,FALSE)</f>
        <v>1600</v>
      </c>
    </row>
    <row r="64" spans="1:24" s="1" customFormat="1" ht="13.15">
      <c r="A64" s="16" t="s">
        <v>21</v>
      </c>
      <c r="B64" s="8">
        <v>11541.826800000003</v>
      </c>
      <c r="C64" s="8">
        <v>9809.3619441780102</v>
      </c>
      <c r="D64" s="8"/>
      <c r="E64" s="8"/>
      <c r="F64" s="8"/>
      <c r="G64" s="8"/>
      <c r="H64" s="8"/>
      <c r="I64" s="8"/>
      <c r="J64" s="8"/>
      <c r="K64" s="8"/>
      <c r="L64" s="8"/>
      <c r="M64" s="62" cm="1">
        <f t="array" ref="M64">INDEX(tblPrices[cv_2018], MATCH(tblAmazonUnits[[#This Row],[Products]],tblPrices[Products],0), 0)* tblAmazonUnits[[#This Row],[cv_2018]]/10^6</f>
        <v>5.529391493186437</v>
      </c>
      <c r="N64" s="62" cm="1">
        <f t="array" ref="N64">INDEX(tblPrices[cv_2019], MATCH(tblAmazonUnits[[#This Row],[Products]],tblPrices[Products],0), 0)* tblAmazonUnits[[#This Row],[cv_2019]]/10^6</f>
        <v>3.8416487613208887</v>
      </c>
      <c r="O64" s="62" cm="1">
        <f t="array" ref="O64">INDEX(tblPrices[cv_2020], MATCH(tblAmazonUnits[[#This Row],[Products]],tblPrices[Products],0), 0)* tblAmazonUnits[[#This Row],[cv_2020]]/10^6</f>
        <v>0</v>
      </c>
      <c r="P64" s="62" cm="1">
        <f t="array" ref="P64">INDEX(tblPrices[cv_2021], MATCH(tblAmazonUnits[[#This Row],[Products]],tblPrices[Products],0), 0)* tblAmazonUnits[[#This Row],[cv_2021]]/10^6</f>
        <v>0</v>
      </c>
      <c r="Q64" s="62" cm="1">
        <f t="array" ref="Q64">INDEX(tblPrices[cv_2022], MATCH(tblAmazonUnits[[#This Row],[Products]],tblPrices[Products],0), 0)* tblAmazonUnits[[#This Row],[cv_2022]]/10^6</f>
        <v>0</v>
      </c>
      <c r="R64" s="62" cm="1">
        <f t="array" ref="R64">INDEX(tblPrices[cv_2023], MATCH(tblAmazonUnits[[#This Row],[Products]],tblPrices[Products],0), 0)* tblAmazonUnits[[#This Row],[cv_2023]]/10^6</f>
        <v>0</v>
      </c>
      <c r="S64" s="62" cm="1">
        <f t="array" ref="S64">INDEX(tblPrices[cv_2024], MATCH(tblAmazonUnits[[#This Row],[Products]],tblPrices[Products],0), 0)* tblAmazonUnits[[#This Row],[cv_2024]]/10^6</f>
        <v>0</v>
      </c>
      <c r="T64" s="62" cm="1">
        <f t="array" ref="T64">INDEX(tblPrices[cv_2025], MATCH(tblAmazonUnits[[#This Row],[Products]],tblPrices[Products],0), 0)* tblAmazonUnits[[#This Row],[cv_2025]]/10^6</f>
        <v>0</v>
      </c>
      <c r="U64" s="62" cm="1">
        <f t="array" ref="U64">INDEX(tblPrices[cv_2026], MATCH(tblAmazonUnits[[#This Row],[Products]],tblPrices[Products],0), 0)* tblAmazonUnits[[#This Row],[cv_2026]]/10^6</f>
        <v>0</v>
      </c>
      <c r="V64" s="62" cm="1">
        <f t="array" ref="V64">INDEX(tblPrices[cv_2027], MATCH(tblAmazonUnits[[#This Row],[Products]],tblPrices[Products],0), 0)* tblAmazonUnits[[#This Row],[cv_2027]]/10^6</f>
        <v>0</v>
      </c>
      <c r="W64" s="62" cm="1">
        <f t="array" ref="W64">INDEX(tblPrices[cv_2028], MATCH(tblAmazonUnits[[#This Row],[Products]],tblPrices[Products],0), 0)* tblAmazonUnits[[#This Row],[cv_2028]]/10^6</f>
        <v>0</v>
      </c>
      <c r="X64" s="1">
        <f>VLOOKUP(A64,Products!$A$29:$F$110,6,FALSE)</f>
        <v>10</v>
      </c>
    </row>
    <row r="65" spans="1:24" s="1" customFormat="1" ht="13.15">
      <c r="A65" s="16" t="s">
        <v>22</v>
      </c>
      <c r="B65" s="8">
        <v>0</v>
      </c>
      <c r="C65" s="8">
        <v>0</v>
      </c>
      <c r="D65" s="8"/>
      <c r="E65" s="8"/>
      <c r="F65" s="8"/>
      <c r="G65" s="8"/>
      <c r="H65" s="8"/>
      <c r="I65" s="8"/>
      <c r="J65" s="8"/>
      <c r="K65" s="8"/>
      <c r="L65" s="8"/>
      <c r="M65" s="62" cm="1">
        <f t="array" ref="M65">INDEX(tblPrices[cv_2018], MATCH(tblAmazonUnits[[#This Row],[Products]],tblPrices[Products],0), 0)* tblAmazonUnits[[#This Row],[cv_2018]]/10^6</f>
        <v>0</v>
      </c>
      <c r="N65" s="62" cm="1">
        <f t="array" ref="N65">INDEX(tblPrices[cv_2019], MATCH(tblAmazonUnits[[#This Row],[Products]],tblPrices[Products],0), 0)* tblAmazonUnits[[#This Row],[cv_2019]]/10^6</f>
        <v>0</v>
      </c>
      <c r="O65" s="62" cm="1">
        <f t="array" ref="O65">INDEX(tblPrices[cv_2020], MATCH(tblAmazonUnits[[#This Row],[Products]],tblPrices[Products],0), 0)* tblAmazonUnits[[#This Row],[cv_2020]]/10^6</f>
        <v>0</v>
      </c>
      <c r="P65" s="62" cm="1">
        <f t="array" ref="P65">INDEX(tblPrices[cv_2021], MATCH(tblAmazonUnits[[#This Row],[Products]],tblPrices[Products],0), 0)* tblAmazonUnits[[#This Row],[cv_2021]]/10^6</f>
        <v>0</v>
      </c>
      <c r="Q65" s="62" cm="1">
        <f t="array" ref="Q65">INDEX(tblPrices[cv_2022], MATCH(tblAmazonUnits[[#This Row],[Products]],tblPrices[Products],0), 0)* tblAmazonUnits[[#This Row],[cv_2022]]/10^6</f>
        <v>0</v>
      </c>
      <c r="R65" s="62" cm="1">
        <f t="array" ref="R65">INDEX(tblPrices[cv_2023], MATCH(tblAmazonUnits[[#This Row],[Products]],tblPrices[Products],0), 0)* tblAmazonUnits[[#This Row],[cv_2023]]/10^6</f>
        <v>0</v>
      </c>
      <c r="S65" s="62" cm="1">
        <f t="array" ref="S65">INDEX(tblPrices[cv_2024], MATCH(tblAmazonUnits[[#This Row],[Products]],tblPrices[Products],0), 0)* tblAmazonUnits[[#This Row],[cv_2024]]/10^6</f>
        <v>0</v>
      </c>
      <c r="T65" s="62" cm="1">
        <f t="array" ref="T65">INDEX(tblPrices[cv_2025], MATCH(tblAmazonUnits[[#This Row],[Products]],tblPrices[Products],0), 0)* tblAmazonUnits[[#This Row],[cv_2025]]/10^6</f>
        <v>0</v>
      </c>
      <c r="U65" s="62" cm="1">
        <f t="array" ref="U65">INDEX(tblPrices[cv_2026], MATCH(tblAmazonUnits[[#This Row],[Products]],tblPrices[Products],0), 0)* tblAmazonUnits[[#This Row],[cv_2026]]/10^6</f>
        <v>0</v>
      </c>
      <c r="V65" s="62" cm="1">
        <f t="array" ref="V65">INDEX(tblPrices[cv_2027], MATCH(tblAmazonUnits[[#This Row],[Products]],tblPrices[Products],0), 0)* tblAmazonUnits[[#This Row],[cv_2027]]/10^6</f>
        <v>0</v>
      </c>
      <c r="W65" s="62" cm="1">
        <f t="array" ref="W65">INDEX(tblPrices[cv_2028], MATCH(tblAmazonUnits[[#This Row],[Products]],tblPrices[Products],0), 0)* tblAmazonUnits[[#This Row],[cv_2028]]/10^6</f>
        <v>0</v>
      </c>
      <c r="X65" s="1">
        <f>VLOOKUP(A65,Products!$A$29:$F$110,6,FALSE)</f>
        <v>40</v>
      </c>
    </row>
    <row r="66" spans="1:24" s="1" customFormat="1" ht="13.15">
      <c r="A66" s="16" t="s">
        <v>23</v>
      </c>
      <c r="B66" s="8">
        <v>16228.700888235297</v>
      </c>
      <c r="C66" s="8">
        <v>9274.4484000000029</v>
      </c>
      <c r="D66" s="8"/>
      <c r="E66" s="8"/>
      <c r="F66" s="8"/>
      <c r="G66" s="8"/>
      <c r="H66" s="8"/>
      <c r="I66" s="8"/>
      <c r="J66" s="8"/>
      <c r="K66" s="8"/>
      <c r="L66" s="8"/>
      <c r="M66" s="62" cm="1">
        <f t="array" ref="M66">INDEX(tblPrices[cv_2018], MATCH(tblAmazonUnits[[#This Row],[Products]],tblPrices[Products],0), 0)* tblAmazonUnits[[#This Row],[cv_2018]]/10^6</f>
        <v>129.82960710588239</v>
      </c>
      <c r="N66" s="62" cm="1">
        <f t="array" ref="N66">INDEX(tblPrices[cv_2019], MATCH(tblAmazonUnits[[#This Row],[Products]],tblPrices[Products],0), 0)* tblAmazonUnits[[#This Row],[cv_2019]]/10^6</f>
        <v>59.356469760000017</v>
      </c>
      <c r="O66" s="62" cm="1">
        <f t="array" ref="O66">INDEX(tblPrices[cv_2020], MATCH(tblAmazonUnits[[#This Row],[Products]],tblPrices[Products],0), 0)* tblAmazonUnits[[#This Row],[cv_2020]]/10^6</f>
        <v>0</v>
      </c>
      <c r="P66" s="62" cm="1">
        <f t="array" ref="P66">INDEX(tblPrices[cv_2021], MATCH(tblAmazonUnits[[#This Row],[Products]],tblPrices[Products],0), 0)* tblAmazonUnits[[#This Row],[cv_2021]]/10^6</f>
        <v>0</v>
      </c>
      <c r="Q66" s="62" cm="1">
        <f t="array" ref="Q66">INDEX(tblPrices[cv_2022], MATCH(tblAmazonUnits[[#This Row],[Products]],tblPrices[Products],0), 0)* tblAmazonUnits[[#This Row],[cv_2022]]/10^6</f>
        <v>0</v>
      </c>
      <c r="R66" s="62" cm="1">
        <f t="array" ref="R66">INDEX(tblPrices[cv_2023], MATCH(tblAmazonUnits[[#This Row],[Products]],tblPrices[Products],0), 0)* tblAmazonUnits[[#This Row],[cv_2023]]/10^6</f>
        <v>0</v>
      </c>
      <c r="S66" s="62" cm="1">
        <f t="array" ref="S66">INDEX(tblPrices[cv_2024], MATCH(tblAmazonUnits[[#This Row],[Products]],tblPrices[Products],0), 0)* tblAmazonUnits[[#This Row],[cv_2024]]/10^6</f>
        <v>0</v>
      </c>
      <c r="T66" s="62" cm="1">
        <f t="array" ref="T66">INDEX(tblPrices[cv_2025], MATCH(tblAmazonUnits[[#This Row],[Products]],tblPrices[Products],0), 0)* tblAmazonUnits[[#This Row],[cv_2025]]/10^6</f>
        <v>0</v>
      </c>
      <c r="U66" s="62" cm="1">
        <f t="array" ref="U66">INDEX(tblPrices[cv_2026], MATCH(tblAmazonUnits[[#This Row],[Products]],tblPrices[Products],0), 0)* tblAmazonUnits[[#This Row],[cv_2026]]/10^6</f>
        <v>0</v>
      </c>
      <c r="V66" s="62" cm="1">
        <f t="array" ref="V66">INDEX(tblPrices[cv_2027], MATCH(tblAmazonUnits[[#This Row],[Products]],tblPrices[Products],0), 0)* tblAmazonUnits[[#This Row],[cv_2027]]/10^6</f>
        <v>0</v>
      </c>
      <c r="W66" s="62" cm="1">
        <f t="array" ref="W66">INDEX(tblPrices[cv_2028], MATCH(tblAmazonUnits[[#This Row],[Products]],tblPrices[Products],0), 0)* tblAmazonUnits[[#This Row],[cv_2028]]/10^6</f>
        <v>0</v>
      </c>
      <c r="X66" s="1">
        <f>VLOOKUP(A66,Products!$A$29:$F$110,6,FALSE)</f>
        <v>100</v>
      </c>
    </row>
    <row r="67" spans="1:24" s="1" customFormat="1" ht="13.15">
      <c r="A67" s="16" t="s">
        <v>24</v>
      </c>
      <c r="B67" s="8">
        <v>0</v>
      </c>
      <c r="C67" s="8">
        <v>0</v>
      </c>
      <c r="D67" s="8"/>
      <c r="E67" s="8"/>
      <c r="F67" s="8"/>
      <c r="G67" s="8"/>
      <c r="H67" s="8"/>
      <c r="I67" s="8"/>
      <c r="J67" s="8"/>
      <c r="K67" s="8"/>
      <c r="L67" s="8"/>
      <c r="M67" s="62" cm="1">
        <f t="array" ref="M67">INDEX(tblPrices[cv_2018], MATCH(tblAmazonUnits[[#This Row],[Products]],tblPrices[Products],0), 0)* tblAmazonUnits[[#This Row],[cv_2018]]/10^6</f>
        <v>0</v>
      </c>
      <c r="N67" s="62" cm="1">
        <f t="array" ref="N67">INDEX(tblPrices[cv_2019], MATCH(tblAmazonUnits[[#This Row],[Products]],tblPrices[Products],0), 0)* tblAmazonUnits[[#This Row],[cv_2019]]/10^6</f>
        <v>0</v>
      </c>
      <c r="O67" s="62" cm="1">
        <f t="array" ref="O67">INDEX(tblPrices[cv_2020], MATCH(tblAmazonUnits[[#This Row],[Products]],tblPrices[Products],0), 0)* tblAmazonUnits[[#This Row],[cv_2020]]/10^6</f>
        <v>0</v>
      </c>
      <c r="P67" s="62" cm="1">
        <f t="array" ref="P67">INDEX(tblPrices[cv_2021], MATCH(tblAmazonUnits[[#This Row],[Products]],tblPrices[Products],0), 0)* tblAmazonUnits[[#This Row],[cv_2021]]/10^6</f>
        <v>0</v>
      </c>
      <c r="Q67" s="62" cm="1">
        <f t="array" ref="Q67">INDEX(tblPrices[cv_2022], MATCH(tblAmazonUnits[[#This Row],[Products]],tblPrices[Products],0), 0)* tblAmazonUnits[[#This Row],[cv_2022]]/10^6</f>
        <v>0</v>
      </c>
      <c r="R67" s="62" cm="1">
        <f t="array" ref="R67">INDEX(tblPrices[cv_2023], MATCH(tblAmazonUnits[[#This Row],[Products]],tblPrices[Products],0), 0)* tblAmazonUnits[[#This Row],[cv_2023]]/10^6</f>
        <v>0</v>
      </c>
      <c r="S67" s="62" cm="1">
        <f t="array" ref="S67">INDEX(tblPrices[cv_2024], MATCH(tblAmazonUnits[[#This Row],[Products]],tblPrices[Products],0), 0)* tblAmazonUnits[[#This Row],[cv_2024]]/10^6</f>
        <v>0</v>
      </c>
      <c r="T67" s="62" cm="1">
        <f t="array" ref="T67">INDEX(tblPrices[cv_2025], MATCH(tblAmazonUnits[[#This Row],[Products]],tblPrices[Products],0), 0)* tblAmazonUnits[[#This Row],[cv_2025]]/10^6</f>
        <v>0</v>
      </c>
      <c r="U67" s="62" cm="1">
        <f t="array" ref="U67">INDEX(tblPrices[cv_2026], MATCH(tblAmazonUnits[[#This Row],[Products]],tblPrices[Products],0), 0)* tblAmazonUnits[[#This Row],[cv_2026]]/10^6</f>
        <v>0</v>
      </c>
      <c r="V67" s="62" cm="1">
        <f t="array" ref="V67">INDEX(tblPrices[cv_2027], MATCH(tblAmazonUnits[[#This Row],[Products]],tblPrices[Products],0), 0)* tblAmazonUnits[[#This Row],[cv_2027]]/10^6</f>
        <v>0</v>
      </c>
      <c r="W67" s="62" cm="1">
        <f t="array" ref="W67">INDEX(tblPrices[cv_2028], MATCH(tblAmazonUnits[[#This Row],[Products]],tblPrices[Products],0), 0)* tblAmazonUnits[[#This Row],[cv_2028]]/10^6</f>
        <v>0</v>
      </c>
      <c r="X67" s="1">
        <f>VLOOKUP(A67,Products!$A$29:$F$110,6,FALSE)</f>
        <v>100</v>
      </c>
    </row>
    <row r="68" spans="1:24" s="1" customFormat="1" ht="13.15">
      <c r="A68" s="16" t="s">
        <v>25</v>
      </c>
      <c r="B68" s="8">
        <v>1655.0883095238096</v>
      </c>
      <c r="C68" s="8">
        <v>1851.7344000000003</v>
      </c>
      <c r="D68" s="8"/>
      <c r="E68" s="8"/>
      <c r="F68" s="8"/>
      <c r="G68" s="8"/>
      <c r="H68" s="8"/>
      <c r="I68" s="8"/>
      <c r="J68" s="8"/>
      <c r="K68" s="8"/>
      <c r="L68" s="8"/>
      <c r="M68" s="62" cm="1">
        <f t="array" ref="M68">INDEX(tblPrices[cv_2018], MATCH(tblAmazonUnits[[#This Row],[Products]],tblPrices[Products],0), 0)* tblAmazonUnits[[#This Row],[cv_2018]]/10^6</f>
        <v>9.1029857023809537</v>
      </c>
      <c r="N68" s="62" cm="1">
        <f t="array" ref="N68">INDEX(tblPrices[cv_2019], MATCH(tblAmazonUnits[[#This Row],[Products]],tblPrices[Products],0), 0)* tblAmazonUnits[[#This Row],[cv_2019]]/10^6</f>
        <v>8.1476313600000019</v>
      </c>
      <c r="O68" s="62" cm="1">
        <f t="array" ref="O68">INDEX(tblPrices[cv_2020], MATCH(tblAmazonUnits[[#This Row],[Products]],tblPrices[Products],0), 0)* tblAmazonUnits[[#This Row],[cv_2020]]/10^6</f>
        <v>0</v>
      </c>
      <c r="P68" s="62" cm="1">
        <f t="array" ref="P68">INDEX(tblPrices[cv_2021], MATCH(tblAmazonUnits[[#This Row],[Products]],tblPrices[Products],0), 0)* tblAmazonUnits[[#This Row],[cv_2021]]/10^6</f>
        <v>0</v>
      </c>
      <c r="Q68" s="62" cm="1">
        <f t="array" ref="Q68">INDEX(tblPrices[cv_2022], MATCH(tblAmazonUnits[[#This Row],[Products]],tblPrices[Products],0), 0)* tblAmazonUnits[[#This Row],[cv_2022]]/10^6</f>
        <v>0</v>
      </c>
      <c r="R68" s="62" cm="1">
        <f t="array" ref="R68">INDEX(tblPrices[cv_2023], MATCH(tblAmazonUnits[[#This Row],[Products]],tblPrices[Products],0), 0)* tblAmazonUnits[[#This Row],[cv_2023]]/10^6</f>
        <v>0</v>
      </c>
      <c r="S68" s="62" cm="1">
        <f t="array" ref="S68">INDEX(tblPrices[cv_2024], MATCH(tblAmazonUnits[[#This Row],[Products]],tblPrices[Products],0), 0)* tblAmazonUnits[[#This Row],[cv_2024]]/10^6</f>
        <v>0</v>
      </c>
      <c r="T68" s="62" cm="1">
        <f t="array" ref="T68">INDEX(tblPrices[cv_2025], MATCH(tblAmazonUnits[[#This Row],[Products]],tblPrices[Products],0), 0)* tblAmazonUnits[[#This Row],[cv_2025]]/10^6</f>
        <v>0</v>
      </c>
      <c r="U68" s="62" cm="1">
        <f t="array" ref="U68">INDEX(tblPrices[cv_2026], MATCH(tblAmazonUnits[[#This Row],[Products]],tblPrices[Products],0), 0)* tblAmazonUnits[[#This Row],[cv_2026]]/10^6</f>
        <v>0</v>
      </c>
      <c r="V68" s="62" cm="1">
        <f t="array" ref="V68">INDEX(tblPrices[cv_2027], MATCH(tblAmazonUnits[[#This Row],[Products]],tblPrices[Products],0), 0)* tblAmazonUnits[[#This Row],[cv_2027]]/10^6</f>
        <v>0</v>
      </c>
      <c r="W68" s="62" cm="1">
        <f t="array" ref="W68">INDEX(tblPrices[cv_2028], MATCH(tblAmazonUnits[[#This Row],[Products]],tblPrices[Products],0), 0)* tblAmazonUnits[[#This Row],[cv_2028]]/10^6</f>
        <v>0</v>
      </c>
      <c r="X68" s="1">
        <f>VLOOKUP(A68,Products!$A$29:$F$110,6,FALSE)</f>
        <v>100</v>
      </c>
    </row>
    <row r="69" spans="1:24" s="1" customFormat="1" ht="13.15">
      <c r="A69" s="16" t="s">
        <v>26</v>
      </c>
      <c r="B69" s="8">
        <v>0</v>
      </c>
      <c r="C69" s="8">
        <v>0</v>
      </c>
      <c r="D69" s="8"/>
      <c r="E69" s="8"/>
      <c r="F69" s="8"/>
      <c r="G69" s="8"/>
      <c r="H69" s="8"/>
      <c r="I69" s="8"/>
      <c r="J69" s="8"/>
      <c r="K69" s="8"/>
      <c r="L69" s="8"/>
      <c r="M69" s="62" cm="1">
        <f t="array" ref="M69">INDEX(tblPrices[cv_2018], MATCH(tblAmazonUnits[[#This Row],[Products]],tblPrices[Products],0), 0)* tblAmazonUnits[[#This Row],[cv_2018]]/10^6</f>
        <v>0</v>
      </c>
      <c r="N69" s="62" cm="1">
        <f t="array" ref="N69">INDEX(tblPrices[cv_2019], MATCH(tblAmazonUnits[[#This Row],[Products]],tblPrices[Products],0), 0)* tblAmazonUnits[[#This Row],[cv_2019]]/10^6</f>
        <v>0</v>
      </c>
      <c r="O69" s="62" cm="1">
        <f t="array" ref="O69">INDEX(tblPrices[cv_2020], MATCH(tblAmazonUnits[[#This Row],[Products]],tblPrices[Products],0), 0)* tblAmazonUnits[[#This Row],[cv_2020]]/10^6</f>
        <v>0</v>
      </c>
      <c r="P69" s="62" cm="1">
        <f t="array" ref="P69">INDEX(tblPrices[cv_2021], MATCH(tblAmazonUnits[[#This Row],[Products]],tblPrices[Products],0), 0)* tblAmazonUnits[[#This Row],[cv_2021]]/10^6</f>
        <v>0</v>
      </c>
      <c r="Q69" s="62" cm="1">
        <f t="array" ref="Q69">INDEX(tblPrices[cv_2022], MATCH(tblAmazonUnits[[#This Row],[Products]],tblPrices[Products],0), 0)* tblAmazonUnits[[#This Row],[cv_2022]]/10^6</f>
        <v>0</v>
      </c>
      <c r="R69" s="62" cm="1">
        <f t="array" ref="R69">INDEX(tblPrices[cv_2023], MATCH(tblAmazonUnits[[#This Row],[Products]],tblPrices[Products],0), 0)* tblAmazonUnits[[#This Row],[cv_2023]]/10^6</f>
        <v>0</v>
      </c>
      <c r="S69" s="62" cm="1">
        <f t="array" ref="S69">INDEX(tblPrices[cv_2024], MATCH(tblAmazonUnits[[#This Row],[Products]],tblPrices[Products],0), 0)* tblAmazonUnits[[#This Row],[cv_2024]]/10^6</f>
        <v>0</v>
      </c>
      <c r="T69" s="62" cm="1">
        <f t="array" ref="T69">INDEX(tblPrices[cv_2025], MATCH(tblAmazonUnits[[#This Row],[Products]],tblPrices[Products],0), 0)* tblAmazonUnits[[#This Row],[cv_2025]]/10^6</f>
        <v>0</v>
      </c>
      <c r="U69" s="62" cm="1">
        <f t="array" ref="U69">INDEX(tblPrices[cv_2026], MATCH(tblAmazonUnits[[#This Row],[Products]],tblPrices[Products],0), 0)* tblAmazonUnits[[#This Row],[cv_2026]]/10^6</f>
        <v>0</v>
      </c>
      <c r="V69" s="62" cm="1">
        <f t="array" ref="V69">INDEX(tblPrices[cv_2027], MATCH(tblAmazonUnits[[#This Row],[Products]],tblPrices[Products],0), 0)* tblAmazonUnits[[#This Row],[cv_2027]]/10^6</f>
        <v>0</v>
      </c>
      <c r="W69" s="62" cm="1">
        <f t="array" ref="W69">INDEX(tblPrices[cv_2028], MATCH(tblAmazonUnits[[#This Row],[Products]],tblPrices[Products],0), 0)* tblAmazonUnits[[#This Row],[cv_2028]]/10^6</f>
        <v>0</v>
      </c>
      <c r="X69" s="1">
        <f>VLOOKUP(A69,Products!$A$29:$F$110,6,FALSE)</f>
        <v>100</v>
      </c>
    </row>
    <row r="70" spans="1:24" s="1" customFormat="1" ht="13.15">
      <c r="A70" s="16" t="s">
        <v>27</v>
      </c>
      <c r="B70" s="8"/>
      <c r="C70" s="8"/>
      <c r="D70" s="8"/>
      <c r="E70" s="8"/>
      <c r="F70" s="8"/>
      <c r="G70" s="8"/>
      <c r="H70" s="8"/>
      <c r="I70" s="8"/>
      <c r="J70" s="8"/>
      <c r="K70" s="8"/>
      <c r="L70" s="8"/>
      <c r="M70" s="62" cm="1">
        <f t="array" ref="M70">INDEX(tblPrices[cv_2018], MATCH(tblAmazonUnits[[#This Row],[Products]],tblPrices[Products],0), 0)* tblAmazonUnits[[#This Row],[cv_2018]]/10^6</f>
        <v>0</v>
      </c>
      <c r="N70" s="62" cm="1">
        <f t="array" ref="N70">INDEX(tblPrices[cv_2019], MATCH(tblAmazonUnits[[#This Row],[Products]],tblPrices[Products],0), 0)* tblAmazonUnits[[#This Row],[cv_2019]]/10^6</f>
        <v>0</v>
      </c>
      <c r="O70" s="62" cm="1">
        <f t="array" ref="O70">INDEX(tblPrices[cv_2020], MATCH(tblAmazonUnits[[#This Row],[Products]],tblPrices[Products],0), 0)* tblAmazonUnits[[#This Row],[cv_2020]]/10^6</f>
        <v>0</v>
      </c>
      <c r="P70" s="62" cm="1">
        <f t="array" ref="P70">INDEX(tblPrices[cv_2021], MATCH(tblAmazonUnits[[#This Row],[Products]],tblPrices[Products],0), 0)* tblAmazonUnits[[#This Row],[cv_2021]]/10^6</f>
        <v>0</v>
      </c>
      <c r="Q70" s="62" cm="1">
        <f t="array" ref="Q70">INDEX(tblPrices[cv_2022], MATCH(tblAmazonUnits[[#This Row],[Products]],tblPrices[Products],0), 0)* tblAmazonUnits[[#This Row],[cv_2022]]/10^6</f>
        <v>0</v>
      </c>
      <c r="R70" s="62" cm="1">
        <f t="array" ref="R70">INDEX(tblPrices[cv_2023], MATCH(tblAmazonUnits[[#This Row],[Products]],tblPrices[Products],0), 0)* tblAmazonUnits[[#This Row],[cv_2023]]/10^6</f>
        <v>0</v>
      </c>
      <c r="S70" s="62" cm="1">
        <f t="array" ref="S70">INDEX(tblPrices[cv_2024], MATCH(tblAmazonUnits[[#This Row],[Products]],tblPrices[Products],0), 0)* tblAmazonUnits[[#This Row],[cv_2024]]/10^6</f>
        <v>0</v>
      </c>
      <c r="T70" s="62" cm="1">
        <f t="array" ref="T70">INDEX(tblPrices[cv_2025], MATCH(tblAmazonUnits[[#This Row],[Products]],tblPrices[Products],0), 0)* tblAmazonUnits[[#This Row],[cv_2025]]/10^6</f>
        <v>0</v>
      </c>
      <c r="U70" s="62" cm="1">
        <f t="array" ref="U70">INDEX(tblPrices[cv_2026], MATCH(tblAmazonUnits[[#This Row],[Products]],tblPrices[Products],0), 0)* tblAmazonUnits[[#This Row],[cv_2026]]/10^6</f>
        <v>0</v>
      </c>
      <c r="V70" s="62" cm="1">
        <f t="array" ref="V70">INDEX(tblPrices[cv_2027], MATCH(tblAmazonUnits[[#This Row],[Products]],tblPrices[Products],0), 0)* tblAmazonUnits[[#This Row],[cv_2027]]/10^6</f>
        <v>0</v>
      </c>
      <c r="W70" s="62" cm="1">
        <f t="array" ref="W70">INDEX(tblPrices[cv_2028], MATCH(tblAmazonUnits[[#This Row],[Products]],tblPrices[Products],0), 0)* tblAmazonUnits[[#This Row],[cv_2028]]/10^6</f>
        <v>0</v>
      </c>
      <c r="X70" s="1">
        <f>VLOOKUP(A70,Products!$A$29:$F$110,6,FALSE)</f>
        <v>100</v>
      </c>
    </row>
    <row r="71" spans="1:24" s="1" customFormat="1" ht="13.15">
      <c r="A71" s="16" t="s">
        <v>28</v>
      </c>
      <c r="B71" s="8">
        <v>4850.1737704918032</v>
      </c>
      <c r="C71" s="8">
        <v>6852.254399999998</v>
      </c>
      <c r="D71" s="8"/>
      <c r="E71" s="8"/>
      <c r="F71" s="8"/>
      <c r="G71" s="8"/>
      <c r="H71" s="8"/>
      <c r="I71" s="8"/>
      <c r="J71" s="8"/>
      <c r="K71" s="8"/>
      <c r="L71" s="8"/>
      <c r="M71" s="62" cm="1">
        <f t="array" ref="M71">INDEX(tblPrices[cv_2018], MATCH(tblAmazonUnits[[#This Row],[Products]],tblPrices[Products],0), 0)* tblAmazonUnits[[#This Row],[cv_2018]]/10^6</f>
        <v>42.328789269746643</v>
      </c>
      <c r="N71" s="62" cm="1">
        <f t="array" ref="N71">INDEX(tblPrices[cv_2019], MATCH(tblAmazonUnits[[#This Row],[Products]],tblPrices[Products],0), 0)* tblAmazonUnits[[#This Row],[cv_2019]]/10^6</f>
        <v>47.841194356363623</v>
      </c>
      <c r="O71" s="62" cm="1">
        <f t="array" ref="O71">INDEX(tblPrices[cv_2020], MATCH(tblAmazonUnits[[#This Row],[Products]],tblPrices[Products],0), 0)* tblAmazonUnits[[#This Row],[cv_2020]]/10^6</f>
        <v>0</v>
      </c>
      <c r="P71" s="62" cm="1">
        <f t="array" ref="P71">INDEX(tblPrices[cv_2021], MATCH(tblAmazonUnits[[#This Row],[Products]],tblPrices[Products],0), 0)* tblAmazonUnits[[#This Row],[cv_2021]]/10^6</f>
        <v>0</v>
      </c>
      <c r="Q71" s="62" cm="1">
        <f t="array" ref="Q71">INDEX(tblPrices[cv_2022], MATCH(tblAmazonUnits[[#This Row],[Products]],tblPrices[Products],0), 0)* tblAmazonUnits[[#This Row],[cv_2022]]/10^6</f>
        <v>0</v>
      </c>
      <c r="R71" s="62" cm="1">
        <f t="array" ref="R71">INDEX(tblPrices[cv_2023], MATCH(tblAmazonUnits[[#This Row],[Products]],tblPrices[Products],0), 0)* tblAmazonUnits[[#This Row],[cv_2023]]/10^6</f>
        <v>0</v>
      </c>
      <c r="S71" s="62" cm="1">
        <f t="array" ref="S71">INDEX(tblPrices[cv_2024], MATCH(tblAmazonUnits[[#This Row],[Products]],tblPrices[Products],0), 0)* tblAmazonUnits[[#This Row],[cv_2024]]/10^6</f>
        <v>0</v>
      </c>
      <c r="T71" s="62" cm="1">
        <f t="array" ref="T71">INDEX(tblPrices[cv_2025], MATCH(tblAmazonUnits[[#This Row],[Products]],tblPrices[Products],0), 0)* tblAmazonUnits[[#This Row],[cv_2025]]/10^6</f>
        <v>0</v>
      </c>
      <c r="U71" s="62" cm="1">
        <f t="array" ref="U71">INDEX(tblPrices[cv_2026], MATCH(tblAmazonUnits[[#This Row],[Products]],tblPrices[Products],0), 0)* tblAmazonUnits[[#This Row],[cv_2026]]/10^6</f>
        <v>0</v>
      </c>
      <c r="V71" s="62" cm="1">
        <f t="array" ref="V71">INDEX(tblPrices[cv_2027], MATCH(tblAmazonUnits[[#This Row],[Products]],tblPrices[Products],0), 0)* tblAmazonUnits[[#This Row],[cv_2027]]/10^6</f>
        <v>0</v>
      </c>
      <c r="W71" s="62" cm="1">
        <f t="array" ref="W71">INDEX(tblPrices[cv_2028], MATCH(tblAmazonUnits[[#This Row],[Products]],tblPrices[Products],0), 0)* tblAmazonUnits[[#This Row],[cv_2028]]/10^6</f>
        <v>0</v>
      </c>
      <c r="X71" s="1">
        <f>VLOOKUP(A71,Products!$A$29:$F$110,6,FALSE)</f>
        <v>200</v>
      </c>
    </row>
    <row r="72" spans="1:24" s="1" customFormat="1" ht="13.15">
      <c r="A72" s="16" t="s">
        <v>29</v>
      </c>
      <c r="B72" s="8">
        <v>2041.2663934426228</v>
      </c>
      <c r="C72" s="8">
        <v>6172.7759999999989</v>
      </c>
      <c r="D72" s="8"/>
      <c r="E72" s="8"/>
      <c r="F72" s="8"/>
      <c r="G72" s="8"/>
      <c r="H72" s="8"/>
      <c r="I72" s="8"/>
      <c r="J72" s="8"/>
      <c r="K72" s="8"/>
      <c r="L72" s="8"/>
      <c r="M72" s="62" cm="1">
        <f t="array" ref="M72">INDEX(tblPrices[cv_2018], MATCH(tblAmazonUnits[[#This Row],[Products]],tblPrices[Products],0), 0)* tblAmazonUnits[[#This Row],[cv_2018]]/10^6</f>
        <v>12.247598360655736</v>
      </c>
      <c r="N72" s="62" cm="1">
        <f t="array" ref="N72">INDEX(tblPrices[cv_2019], MATCH(tblAmazonUnits[[#This Row],[Products]],tblPrices[Products],0), 0)* tblAmazonUnits[[#This Row],[cv_2019]]/10^6</f>
        <v>29.629324799999992</v>
      </c>
      <c r="O72" s="62" cm="1">
        <f t="array" ref="O72">INDEX(tblPrices[cv_2020], MATCH(tblAmazonUnits[[#This Row],[Products]],tblPrices[Products],0), 0)* tblAmazonUnits[[#This Row],[cv_2020]]/10^6</f>
        <v>0</v>
      </c>
      <c r="P72" s="62" cm="1">
        <f t="array" ref="P72">INDEX(tblPrices[cv_2021], MATCH(tblAmazonUnits[[#This Row],[Products]],tblPrices[Products],0), 0)* tblAmazonUnits[[#This Row],[cv_2021]]/10^6</f>
        <v>0</v>
      </c>
      <c r="Q72" s="62" cm="1">
        <f t="array" ref="Q72">INDEX(tblPrices[cv_2022], MATCH(tblAmazonUnits[[#This Row],[Products]],tblPrices[Products],0), 0)* tblAmazonUnits[[#This Row],[cv_2022]]/10^6</f>
        <v>0</v>
      </c>
      <c r="R72" s="62" cm="1">
        <f t="array" ref="R72">INDEX(tblPrices[cv_2023], MATCH(tblAmazonUnits[[#This Row],[Products]],tblPrices[Products],0), 0)* tblAmazonUnits[[#This Row],[cv_2023]]/10^6</f>
        <v>0</v>
      </c>
      <c r="S72" s="62" cm="1">
        <f t="array" ref="S72">INDEX(tblPrices[cv_2024], MATCH(tblAmazonUnits[[#This Row],[Products]],tblPrices[Products],0), 0)* tblAmazonUnits[[#This Row],[cv_2024]]/10^6</f>
        <v>0</v>
      </c>
      <c r="T72" s="62" cm="1">
        <f t="array" ref="T72">INDEX(tblPrices[cv_2025], MATCH(tblAmazonUnits[[#This Row],[Products]],tblPrices[Products],0), 0)* tblAmazonUnits[[#This Row],[cv_2025]]/10^6</f>
        <v>0</v>
      </c>
      <c r="U72" s="62" cm="1">
        <f t="array" ref="U72">INDEX(tblPrices[cv_2026], MATCH(tblAmazonUnits[[#This Row],[Products]],tblPrices[Products],0), 0)* tblAmazonUnits[[#This Row],[cv_2026]]/10^6</f>
        <v>0</v>
      </c>
      <c r="V72" s="62" cm="1">
        <f t="array" ref="V72">INDEX(tblPrices[cv_2027], MATCH(tblAmazonUnits[[#This Row],[Products]],tblPrices[Products],0), 0)* tblAmazonUnits[[#This Row],[cv_2027]]/10^6</f>
        <v>0</v>
      </c>
      <c r="W72" s="62" cm="1">
        <f t="array" ref="W72">INDEX(tblPrices[cv_2028], MATCH(tblAmazonUnits[[#This Row],[Products]],tblPrices[Products],0), 0)* tblAmazonUnits[[#This Row],[cv_2028]]/10^6</f>
        <v>0</v>
      </c>
      <c r="X72" s="1">
        <f>VLOOKUP(A72,Products!$A$29:$F$110,6,FALSE)</f>
        <v>200</v>
      </c>
    </row>
    <row r="73" spans="1:24" s="1" customFormat="1" ht="13.15">
      <c r="A73" s="16" t="s">
        <v>30</v>
      </c>
      <c r="B73" s="8"/>
      <c r="C73" s="8"/>
      <c r="D73" s="8"/>
      <c r="E73" s="8"/>
      <c r="F73" s="8"/>
      <c r="G73" s="8"/>
      <c r="H73" s="8"/>
      <c r="I73" s="8"/>
      <c r="J73" s="8"/>
      <c r="K73" s="8"/>
      <c r="L73" s="8"/>
      <c r="M73" s="62" cm="1">
        <f t="array" ref="M73">INDEX(tblPrices[cv_2018], MATCH(tblAmazonUnits[[#This Row],[Products]],tblPrices[Products],0), 0)* tblAmazonUnits[[#This Row],[cv_2018]]/10^6</f>
        <v>0</v>
      </c>
      <c r="N73" s="62" cm="1">
        <f t="array" ref="N73">INDEX(tblPrices[cv_2019], MATCH(tblAmazonUnits[[#This Row],[Products]],tblPrices[Products],0), 0)* tblAmazonUnits[[#This Row],[cv_2019]]/10^6</f>
        <v>0</v>
      </c>
      <c r="O73" s="62" cm="1">
        <f t="array" ref="O73">INDEX(tblPrices[cv_2020], MATCH(tblAmazonUnits[[#This Row],[Products]],tblPrices[Products],0), 0)* tblAmazonUnits[[#This Row],[cv_2020]]/10^6</f>
        <v>0</v>
      </c>
      <c r="P73" s="62" cm="1">
        <f t="array" ref="P73">INDEX(tblPrices[cv_2021], MATCH(tblAmazonUnits[[#This Row],[Products]],tblPrices[Products],0), 0)* tblAmazonUnits[[#This Row],[cv_2021]]/10^6</f>
        <v>0</v>
      </c>
      <c r="Q73" s="62" cm="1">
        <f t="array" ref="Q73">INDEX(tblPrices[cv_2022], MATCH(tblAmazonUnits[[#This Row],[Products]],tblPrices[Products],0), 0)* tblAmazonUnits[[#This Row],[cv_2022]]/10^6</f>
        <v>0</v>
      </c>
      <c r="R73" s="62" cm="1">
        <f t="array" ref="R73">INDEX(tblPrices[cv_2023], MATCH(tblAmazonUnits[[#This Row],[Products]],tblPrices[Products],0), 0)* tblAmazonUnits[[#This Row],[cv_2023]]/10^6</f>
        <v>0</v>
      </c>
      <c r="S73" s="62" cm="1">
        <f t="array" ref="S73">INDEX(tblPrices[cv_2024], MATCH(tblAmazonUnits[[#This Row],[Products]],tblPrices[Products],0), 0)* tblAmazonUnits[[#This Row],[cv_2024]]/10^6</f>
        <v>0</v>
      </c>
      <c r="T73" s="62" cm="1">
        <f t="array" ref="T73">INDEX(tblPrices[cv_2025], MATCH(tblAmazonUnits[[#This Row],[Products]],tblPrices[Products],0), 0)* tblAmazonUnits[[#This Row],[cv_2025]]/10^6</f>
        <v>0</v>
      </c>
      <c r="U73" s="62" cm="1">
        <f t="array" ref="U73">INDEX(tblPrices[cv_2026], MATCH(tblAmazonUnits[[#This Row],[Products]],tblPrices[Products],0), 0)* tblAmazonUnits[[#This Row],[cv_2026]]/10^6</f>
        <v>0</v>
      </c>
      <c r="V73" s="62" cm="1">
        <f t="array" ref="V73">INDEX(tblPrices[cv_2027], MATCH(tblAmazonUnits[[#This Row],[Products]],tblPrices[Products],0), 0)* tblAmazonUnits[[#This Row],[cv_2027]]/10^6</f>
        <v>0</v>
      </c>
      <c r="W73" s="62" cm="1">
        <f t="array" ref="W73">INDEX(tblPrices[cv_2028], MATCH(tblAmazonUnits[[#This Row],[Products]],tblPrices[Products],0), 0)* tblAmazonUnits[[#This Row],[cv_2028]]/10^6</f>
        <v>0</v>
      </c>
      <c r="X73" s="1">
        <f>VLOOKUP(A73,Products!$A$29:$F$110,6,FALSE)</f>
        <v>200</v>
      </c>
    </row>
    <row r="74" spans="1:24" s="1" customFormat="1" ht="13.15">
      <c r="A74" s="16" t="s">
        <v>31</v>
      </c>
      <c r="B74" s="8">
        <v>5250</v>
      </c>
      <c r="C74" s="8">
        <v>10449</v>
      </c>
      <c r="D74" s="8"/>
      <c r="E74" s="8"/>
      <c r="F74" s="8"/>
      <c r="G74" s="8"/>
      <c r="H74" s="8"/>
      <c r="I74" s="8"/>
      <c r="J74" s="8"/>
      <c r="K74" s="8"/>
      <c r="L74" s="8"/>
      <c r="M74" s="62" cm="1">
        <f t="array" ref="M74">INDEX(tblPrices[cv_2018], MATCH(tblAmazonUnits[[#This Row],[Products]],tblPrices[Products],0), 0)* tblAmazonUnits[[#This Row],[cv_2018]]/10^6</f>
        <v>0</v>
      </c>
      <c r="N74" s="62" cm="1">
        <f t="array" ref="N74">INDEX(tblPrices[cv_2019], MATCH(tblAmazonUnits[[#This Row],[Products]],tblPrices[Products],0), 0)* tblAmazonUnits[[#This Row],[cv_2019]]/10^6</f>
        <v>91.191272727272732</v>
      </c>
      <c r="O74" s="62" cm="1">
        <f t="array" ref="O74">INDEX(tblPrices[cv_2020], MATCH(tblAmazonUnits[[#This Row],[Products]],tblPrices[Products],0), 0)* tblAmazonUnits[[#This Row],[cv_2020]]/10^6</f>
        <v>0</v>
      </c>
      <c r="P74" s="62" cm="1">
        <f t="array" ref="P74">INDEX(tblPrices[cv_2021], MATCH(tblAmazonUnits[[#This Row],[Products]],tblPrices[Products],0), 0)* tblAmazonUnits[[#This Row],[cv_2021]]/10^6</f>
        <v>0</v>
      </c>
      <c r="Q74" s="62" cm="1">
        <f t="array" ref="Q74">INDEX(tblPrices[cv_2022], MATCH(tblAmazonUnits[[#This Row],[Products]],tblPrices[Products],0), 0)* tblAmazonUnits[[#This Row],[cv_2022]]/10^6</f>
        <v>0</v>
      </c>
      <c r="R74" s="62" cm="1">
        <f t="array" ref="R74">INDEX(tblPrices[cv_2023], MATCH(tblAmazonUnits[[#This Row],[Products]],tblPrices[Products],0), 0)* tblAmazonUnits[[#This Row],[cv_2023]]/10^6</f>
        <v>0</v>
      </c>
      <c r="S74" s="62" cm="1">
        <f t="array" ref="S74">INDEX(tblPrices[cv_2024], MATCH(tblAmazonUnits[[#This Row],[Products]],tblPrices[Products],0), 0)* tblAmazonUnits[[#This Row],[cv_2024]]/10^6</f>
        <v>0</v>
      </c>
      <c r="T74" s="62" cm="1">
        <f t="array" ref="T74">INDEX(tblPrices[cv_2025], MATCH(tblAmazonUnits[[#This Row],[Products]],tblPrices[Products],0), 0)* tblAmazonUnits[[#This Row],[cv_2025]]/10^6</f>
        <v>0</v>
      </c>
      <c r="U74" s="62" cm="1">
        <f t="array" ref="U74">INDEX(tblPrices[cv_2026], MATCH(tblAmazonUnits[[#This Row],[Products]],tblPrices[Products],0), 0)* tblAmazonUnits[[#This Row],[cv_2026]]/10^6</f>
        <v>0</v>
      </c>
      <c r="V74" s="62" cm="1">
        <f t="array" ref="V74">INDEX(tblPrices[cv_2027], MATCH(tblAmazonUnits[[#This Row],[Products]],tblPrices[Products],0), 0)* tblAmazonUnits[[#This Row],[cv_2027]]/10^6</f>
        <v>0</v>
      </c>
      <c r="W74" s="62" cm="1">
        <f t="array" ref="W74">INDEX(tblPrices[cv_2028], MATCH(tblAmazonUnits[[#This Row],[Products]],tblPrices[Products],0), 0)* tblAmazonUnits[[#This Row],[cv_2028]]/10^6</f>
        <v>0</v>
      </c>
      <c r="X74" s="1">
        <f>VLOOKUP(A74,Products!$A$29:$F$110,6,FALSE)</f>
        <v>400</v>
      </c>
    </row>
    <row r="75" spans="1:24" s="1" customFormat="1" ht="13.15">
      <c r="A75" s="16" t="s">
        <v>32</v>
      </c>
      <c r="B75" s="8">
        <v>0</v>
      </c>
      <c r="C75" s="8">
        <v>0</v>
      </c>
      <c r="D75" s="8"/>
      <c r="E75" s="8"/>
      <c r="F75" s="8"/>
      <c r="G75" s="8"/>
      <c r="H75" s="8"/>
      <c r="I75" s="8"/>
      <c r="J75" s="8"/>
      <c r="K75" s="8"/>
      <c r="L75" s="8"/>
      <c r="M75" s="62" cm="1">
        <f t="array" ref="M75">INDEX(tblPrices[cv_2018], MATCH(tblAmazonUnits[[#This Row],[Products]],tblPrices[Products],0), 0)* tblAmazonUnits[[#This Row],[cv_2018]]/10^6</f>
        <v>0</v>
      </c>
      <c r="N75" s="62" cm="1">
        <f t="array" ref="N75">INDEX(tblPrices[cv_2019], MATCH(tblAmazonUnits[[#This Row],[Products]],tblPrices[Products],0), 0)* tblAmazonUnits[[#This Row],[cv_2019]]/10^6</f>
        <v>0</v>
      </c>
      <c r="O75" s="62" cm="1">
        <f t="array" ref="O75">INDEX(tblPrices[cv_2020], MATCH(tblAmazonUnits[[#This Row],[Products]],tblPrices[Products],0), 0)* tblAmazonUnits[[#This Row],[cv_2020]]/10^6</f>
        <v>0</v>
      </c>
      <c r="P75" s="62" cm="1">
        <f t="array" ref="P75">INDEX(tblPrices[cv_2021], MATCH(tblAmazonUnits[[#This Row],[Products]],tblPrices[Products],0), 0)* tblAmazonUnits[[#This Row],[cv_2021]]/10^6</f>
        <v>0</v>
      </c>
      <c r="Q75" s="62" cm="1">
        <f t="array" ref="Q75">INDEX(tblPrices[cv_2022], MATCH(tblAmazonUnits[[#This Row],[Products]],tblPrices[Products],0), 0)* tblAmazonUnits[[#This Row],[cv_2022]]/10^6</f>
        <v>0</v>
      </c>
      <c r="R75" s="62" cm="1">
        <f t="array" ref="R75">INDEX(tblPrices[cv_2023], MATCH(tblAmazonUnits[[#This Row],[Products]],tblPrices[Products],0), 0)* tblAmazonUnits[[#This Row],[cv_2023]]/10^6</f>
        <v>0</v>
      </c>
      <c r="S75" s="62" cm="1">
        <f t="array" ref="S75">INDEX(tblPrices[cv_2024], MATCH(tblAmazonUnits[[#This Row],[Products]],tblPrices[Products],0), 0)* tblAmazonUnits[[#This Row],[cv_2024]]/10^6</f>
        <v>0</v>
      </c>
      <c r="T75" s="62" cm="1">
        <f t="array" ref="T75">INDEX(tblPrices[cv_2025], MATCH(tblAmazonUnits[[#This Row],[Products]],tblPrices[Products],0), 0)* tblAmazonUnits[[#This Row],[cv_2025]]/10^6</f>
        <v>0</v>
      </c>
      <c r="U75" s="62" cm="1">
        <f t="array" ref="U75">INDEX(tblPrices[cv_2026], MATCH(tblAmazonUnits[[#This Row],[Products]],tblPrices[Products],0), 0)* tblAmazonUnits[[#This Row],[cv_2026]]/10^6</f>
        <v>0</v>
      </c>
      <c r="V75" s="62" cm="1">
        <f t="array" ref="V75">INDEX(tblPrices[cv_2027], MATCH(tblAmazonUnits[[#This Row],[Products]],tblPrices[Products],0), 0)* tblAmazonUnits[[#This Row],[cv_2027]]/10^6</f>
        <v>0</v>
      </c>
      <c r="W75" s="62" cm="1">
        <f t="array" ref="W75">INDEX(tblPrices[cv_2028], MATCH(tblAmazonUnits[[#This Row],[Products]],tblPrices[Products],0), 0)* tblAmazonUnits[[#This Row],[cv_2028]]/10^6</f>
        <v>0</v>
      </c>
      <c r="X75" s="1">
        <f>VLOOKUP(A75,Products!$A$29:$F$110,6,FALSE)</f>
        <v>400</v>
      </c>
    </row>
    <row r="76" spans="1:24" s="1" customFormat="1" ht="13.15">
      <c r="A76" s="16" t="s">
        <v>33</v>
      </c>
      <c r="B76" s="8">
        <v>0</v>
      </c>
      <c r="C76" s="8">
        <v>100</v>
      </c>
      <c r="D76" s="8"/>
      <c r="E76" s="8"/>
      <c r="F76" s="8"/>
      <c r="G76" s="8"/>
      <c r="H76" s="8"/>
      <c r="I76" s="8"/>
      <c r="J76" s="8"/>
      <c r="K76" s="8"/>
      <c r="L76" s="8"/>
      <c r="M76" s="62" cm="1">
        <f t="array" ref="M76">INDEX(tblPrices[cv_2018], MATCH(tblAmazonUnits[[#This Row],[Products]],tblPrices[Products],0), 0)* tblAmazonUnits[[#This Row],[cv_2018]]/10^6</f>
        <v>0</v>
      </c>
      <c r="N76" s="62" cm="1">
        <f t="array" ref="N76">INDEX(tblPrices[cv_2019], MATCH(tblAmazonUnits[[#This Row],[Products]],tblPrices[Products],0), 0)* tblAmazonUnits[[#This Row],[cv_2019]]/10^6</f>
        <v>0.82</v>
      </c>
      <c r="O76" s="62" cm="1">
        <f t="array" ref="O76">INDEX(tblPrices[cv_2020], MATCH(tblAmazonUnits[[#This Row],[Products]],tblPrices[Products],0), 0)* tblAmazonUnits[[#This Row],[cv_2020]]/10^6</f>
        <v>0</v>
      </c>
      <c r="P76" s="62" cm="1">
        <f t="array" ref="P76">INDEX(tblPrices[cv_2021], MATCH(tblAmazonUnits[[#This Row],[Products]],tblPrices[Products],0), 0)* tblAmazonUnits[[#This Row],[cv_2021]]/10^6</f>
        <v>0</v>
      </c>
      <c r="Q76" s="62" cm="1">
        <f t="array" ref="Q76">INDEX(tblPrices[cv_2022], MATCH(tblAmazonUnits[[#This Row],[Products]],tblPrices[Products],0), 0)* tblAmazonUnits[[#This Row],[cv_2022]]/10^6</f>
        <v>0</v>
      </c>
      <c r="R76" s="62" cm="1">
        <f t="array" ref="R76">INDEX(tblPrices[cv_2023], MATCH(tblAmazonUnits[[#This Row],[Products]],tblPrices[Products],0), 0)* tblAmazonUnits[[#This Row],[cv_2023]]/10^6</f>
        <v>0</v>
      </c>
      <c r="S76" s="62" cm="1">
        <f t="array" ref="S76">INDEX(tblPrices[cv_2024], MATCH(tblAmazonUnits[[#This Row],[Products]],tblPrices[Products],0), 0)* tblAmazonUnits[[#This Row],[cv_2024]]/10^6</f>
        <v>0</v>
      </c>
      <c r="T76" s="62" cm="1">
        <f t="array" ref="T76">INDEX(tblPrices[cv_2025], MATCH(tblAmazonUnits[[#This Row],[Products]],tblPrices[Products],0), 0)* tblAmazonUnits[[#This Row],[cv_2025]]/10^6</f>
        <v>0</v>
      </c>
      <c r="U76" s="62" cm="1">
        <f t="array" ref="U76">INDEX(tblPrices[cv_2026], MATCH(tblAmazonUnits[[#This Row],[Products]],tblPrices[Products],0), 0)* tblAmazonUnits[[#This Row],[cv_2026]]/10^6</f>
        <v>0</v>
      </c>
      <c r="V76" s="62" cm="1">
        <f t="array" ref="V76">INDEX(tblPrices[cv_2027], MATCH(tblAmazonUnits[[#This Row],[Products]],tblPrices[Products],0), 0)* tblAmazonUnits[[#This Row],[cv_2027]]/10^6</f>
        <v>0</v>
      </c>
      <c r="W76" s="62" cm="1">
        <f t="array" ref="W76">INDEX(tblPrices[cv_2028], MATCH(tblAmazonUnits[[#This Row],[Products]],tblPrices[Products],0), 0)* tblAmazonUnits[[#This Row],[cv_2028]]/10^6</f>
        <v>0</v>
      </c>
      <c r="X76" s="1">
        <f>VLOOKUP(A76,Products!$A$29:$F$110,6,FALSE)</f>
        <v>400</v>
      </c>
    </row>
    <row r="77" spans="1:24" s="1" customFormat="1" ht="13.15">
      <c r="A77" s="16" t="s">
        <v>34</v>
      </c>
      <c r="B77" s="8">
        <v>0</v>
      </c>
      <c r="C77" s="8">
        <v>0</v>
      </c>
      <c r="D77" s="8"/>
      <c r="E77" s="8"/>
      <c r="F77" s="8"/>
      <c r="G77" s="8"/>
      <c r="H77" s="8"/>
      <c r="I77" s="8"/>
      <c r="J77" s="8"/>
      <c r="K77" s="8"/>
      <c r="L77" s="8"/>
      <c r="M77" s="62" cm="1">
        <f t="array" ref="M77">INDEX(tblPrices[cv_2018], MATCH(tblAmazonUnits[[#This Row],[Products]],tblPrices[Products],0), 0)* tblAmazonUnits[[#This Row],[cv_2018]]/10^6</f>
        <v>0</v>
      </c>
      <c r="N77" s="62" cm="1">
        <f t="array" ref="N77">INDEX(tblPrices[cv_2019], MATCH(tblAmazonUnits[[#This Row],[Products]],tblPrices[Products],0), 0)* tblAmazonUnits[[#This Row],[cv_2019]]/10^6</f>
        <v>0</v>
      </c>
      <c r="O77" s="62" cm="1">
        <f t="array" ref="O77">INDEX(tblPrices[cv_2020], MATCH(tblAmazonUnits[[#This Row],[Products]],tblPrices[Products],0), 0)* tblAmazonUnits[[#This Row],[cv_2020]]/10^6</f>
        <v>0</v>
      </c>
      <c r="P77" s="62" cm="1">
        <f t="array" ref="P77">INDEX(tblPrices[cv_2021], MATCH(tblAmazonUnits[[#This Row],[Products]],tblPrices[Products],0), 0)* tblAmazonUnits[[#This Row],[cv_2021]]/10^6</f>
        <v>0</v>
      </c>
      <c r="Q77" s="62" cm="1">
        <f t="array" ref="Q77">INDEX(tblPrices[cv_2022], MATCH(tblAmazonUnits[[#This Row],[Products]],tblPrices[Products],0), 0)* tblAmazonUnits[[#This Row],[cv_2022]]/10^6</f>
        <v>0</v>
      </c>
      <c r="R77" s="62" cm="1">
        <f t="array" ref="R77">INDEX(tblPrices[cv_2023], MATCH(tblAmazonUnits[[#This Row],[Products]],tblPrices[Products],0), 0)* tblAmazonUnits[[#This Row],[cv_2023]]/10^6</f>
        <v>0</v>
      </c>
      <c r="S77" s="62" cm="1">
        <f t="array" ref="S77">INDEX(tblPrices[cv_2024], MATCH(tblAmazonUnits[[#This Row],[Products]],tblPrices[Products],0), 0)* tblAmazonUnits[[#This Row],[cv_2024]]/10^6</f>
        <v>0</v>
      </c>
      <c r="T77" s="62" cm="1">
        <f t="array" ref="T77">INDEX(tblPrices[cv_2025], MATCH(tblAmazonUnits[[#This Row],[Products]],tblPrices[Products],0), 0)* tblAmazonUnits[[#This Row],[cv_2025]]/10^6</f>
        <v>0</v>
      </c>
      <c r="U77" s="62" cm="1">
        <f t="array" ref="U77">INDEX(tblPrices[cv_2026], MATCH(tblAmazonUnits[[#This Row],[Products]],tblPrices[Products],0), 0)* tblAmazonUnits[[#This Row],[cv_2026]]/10^6</f>
        <v>0</v>
      </c>
      <c r="V77" s="62" cm="1">
        <f t="array" ref="V77">INDEX(tblPrices[cv_2027], MATCH(tblAmazonUnits[[#This Row],[Products]],tblPrices[Products],0), 0)* tblAmazonUnits[[#This Row],[cv_2027]]/10^6</f>
        <v>0</v>
      </c>
      <c r="W77" s="62" cm="1">
        <f t="array" ref="W77">INDEX(tblPrices[cv_2028], MATCH(tblAmazonUnits[[#This Row],[Products]],tblPrices[Products],0), 0)* tblAmazonUnits[[#This Row],[cv_2028]]/10^6</f>
        <v>0</v>
      </c>
      <c r="X77" s="1">
        <f>VLOOKUP(A77,Products!$A$29:$F$110,6,FALSE)</f>
        <v>400</v>
      </c>
    </row>
    <row r="78" spans="1:24" s="1" customFormat="1" ht="13.15">
      <c r="A78" s="16" t="s">
        <v>35</v>
      </c>
      <c r="B78" s="8">
        <v>0</v>
      </c>
      <c r="C78" s="8">
        <v>13.120000000000003</v>
      </c>
      <c r="D78" s="8"/>
      <c r="E78" s="8"/>
      <c r="F78" s="8"/>
      <c r="G78" s="8"/>
      <c r="H78" s="8"/>
      <c r="I78" s="8"/>
      <c r="J78" s="8"/>
      <c r="K78" s="8"/>
      <c r="L78" s="8"/>
      <c r="M78" s="62" cm="1">
        <f t="array" ref="M78">INDEX(tblPrices[cv_2018], MATCH(tblAmazonUnits[[#This Row],[Products]],tblPrices[Products],0), 0)* tblAmazonUnits[[#This Row],[cv_2018]]/10^6</f>
        <v>0</v>
      </c>
      <c r="N78" s="62" cm="1">
        <f t="array" ref="N78">INDEX(tblPrices[cv_2019], MATCH(tblAmazonUnits[[#This Row],[Products]],tblPrices[Products],0), 0)* tblAmazonUnits[[#This Row],[cv_2019]]/10^6</f>
        <v>0.13120000000000004</v>
      </c>
      <c r="O78" s="62" cm="1">
        <f t="array" ref="O78">INDEX(tblPrices[cv_2020], MATCH(tblAmazonUnits[[#This Row],[Products]],tblPrices[Products],0), 0)* tblAmazonUnits[[#This Row],[cv_2020]]/10^6</f>
        <v>0</v>
      </c>
      <c r="P78" s="62" cm="1">
        <f t="array" ref="P78">INDEX(tblPrices[cv_2021], MATCH(tblAmazonUnits[[#This Row],[Products]],tblPrices[Products],0), 0)* tblAmazonUnits[[#This Row],[cv_2021]]/10^6</f>
        <v>0</v>
      </c>
      <c r="Q78" s="62" cm="1">
        <f t="array" ref="Q78">INDEX(tblPrices[cv_2022], MATCH(tblAmazonUnits[[#This Row],[Products]],tblPrices[Products],0), 0)* tblAmazonUnits[[#This Row],[cv_2022]]/10^6</f>
        <v>0</v>
      </c>
      <c r="R78" s="62" cm="1">
        <f t="array" ref="R78">INDEX(tblPrices[cv_2023], MATCH(tblAmazonUnits[[#This Row],[Products]],tblPrices[Products],0), 0)* tblAmazonUnits[[#This Row],[cv_2023]]/10^6</f>
        <v>0</v>
      </c>
      <c r="S78" s="62" cm="1">
        <f t="array" ref="S78">INDEX(tblPrices[cv_2024], MATCH(tblAmazonUnits[[#This Row],[Products]],tblPrices[Products],0), 0)* tblAmazonUnits[[#This Row],[cv_2024]]/10^6</f>
        <v>0</v>
      </c>
      <c r="T78" s="62" cm="1">
        <f t="array" ref="T78">INDEX(tblPrices[cv_2025], MATCH(tblAmazonUnits[[#This Row],[Products]],tblPrices[Products],0), 0)* tblAmazonUnits[[#This Row],[cv_2025]]/10^6</f>
        <v>0</v>
      </c>
      <c r="U78" s="62" cm="1">
        <f t="array" ref="U78">INDEX(tblPrices[cv_2026], MATCH(tblAmazonUnits[[#This Row],[Products]],tblPrices[Products],0), 0)* tblAmazonUnits[[#This Row],[cv_2026]]/10^6</f>
        <v>0</v>
      </c>
      <c r="V78" s="62" cm="1">
        <f t="array" ref="V78">INDEX(tblPrices[cv_2027], MATCH(tblAmazonUnits[[#This Row],[Products]],tblPrices[Products],0), 0)* tblAmazonUnits[[#This Row],[cv_2027]]/10^6</f>
        <v>0</v>
      </c>
      <c r="W78" s="62" cm="1">
        <f t="array" ref="W78">INDEX(tblPrices[cv_2028], MATCH(tblAmazonUnits[[#This Row],[Products]],tblPrices[Products],0), 0)* tblAmazonUnits[[#This Row],[cv_2028]]/10^6</f>
        <v>0</v>
      </c>
      <c r="X78" s="1">
        <f>VLOOKUP(A78,Products!$A$29:$F$110,6,FALSE)</f>
        <v>600</v>
      </c>
    </row>
    <row r="79" spans="1:24" s="1" customFormat="1" ht="13.15">
      <c r="A79" s="16" t="s">
        <v>36</v>
      </c>
      <c r="B79" s="8">
        <v>0</v>
      </c>
      <c r="C79" s="8">
        <v>0</v>
      </c>
      <c r="D79" s="8"/>
      <c r="E79" s="8"/>
      <c r="F79" s="8"/>
      <c r="G79" s="8"/>
      <c r="H79" s="8"/>
      <c r="I79" s="8"/>
      <c r="J79" s="8"/>
      <c r="K79" s="8"/>
      <c r="L79" s="8"/>
      <c r="M79" s="62" cm="1">
        <f t="array" ref="M79">INDEX(tblPrices[cv_2018], MATCH(tblAmazonUnits[[#This Row],[Products]],tblPrices[Products],0), 0)* tblAmazonUnits[[#This Row],[cv_2018]]/10^6</f>
        <v>0</v>
      </c>
      <c r="N79" s="62" cm="1">
        <f t="array" ref="N79">INDEX(tblPrices[cv_2019], MATCH(tblAmazonUnits[[#This Row],[Products]],tblPrices[Products],0), 0)* tblAmazonUnits[[#This Row],[cv_2019]]/10^6</f>
        <v>0</v>
      </c>
      <c r="O79" s="62" cm="1">
        <f t="array" ref="O79">INDEX(tblPrices[cv_2020], MATCH(tblAmazonUnits[[#This Row],[Products]],tblPrices[Products],0), 0)* tblAmazonUnits[[#This Row],[cv_2020]]/10^6</f>
        <v>0</v>
      </c>
      <c r="P79" s="62" cm="1">
        <f t="array" ref="P79">INDEX(tblPrices[cv_2021], MATCH(tblAmazonUnits[[#This Row],[Products]],tblPrices[Products],0), 0)* tblAmazonUnits[[#This Row],[cv_2021]]/10^6</f>
        <v>0</v>
      </c>
      <c r="Q79" s="62" cm="1">
        <f t="array" ref="Q79">INDEX(tblPrices[cv_2022], MATCH(tblAmazonUnits[[#This Row],[Products]],tblPrices[Products],0), 0)* tblAmazonUnits[[#This Row],[cv_2022]]/10^6</f>
        <v>0</v>
      </c>
      <c r="R79" s="62" cm="1">
        <f t="array" ref="R79">INDEX(tblPrices[cv_2023], MATCH(tblAmazonUnits[[#This Row],[Products]],tblPrices[Products],0), 0)* tblAmazonUnits[[#This Row],[cv_2023]]/10^6</f>
        <v>0</v>
      </c>
      <c r="S79" s="62" cm="1">
        <f t="array" ref="S79">INDEX(tblPrices[cv_2024], MATCH(tblAmazonUnits[[#This Row],[Products]],tblPrices[Products],0), 0)* tblAmazonUnits[[#This Row],[cv_2024]]/10^6</f>
        <v>0</v>
      </c>
      <c r="T79" s="62" cm="1">
        <f t="array" ref="T79">INDEX(tblPrices[cv_2025], MATCH(tblAmazonUnits[[#This Row],[Products]],tblPrices[Products],0), 0)* tblAmazonUnits[[#This Row],[cv_2025]]/10^6</f>
        <v>0</v>
      </c>
      <c r="U79" s="62" cm="1">
        <f t="array" ref="U79">INDEX(tblPrices[cv_2026], MATCH(tblAmazonUnits[[#This Row],[Products]],tblPrices[Products],0), 0)* tblAmazonUnits[[#This Row],[cv_2026]]/10^6</f>
        <v>0</v>
      </c>
      <c r="V79" s="62" cm="1">
        <f t="array" ref="V79">INDEX(tblPrices[cv_2027], MATCH(tblAmazonUnits[[#This Row],[Products]],tblPrices[Products],0), 0)* tblAmazonUnits[[#This Row],[cv_2027]]/10^6</f>
        <v>0</v>
      </c>
      <c r="W79" s="62" cm="1">
        <f t="array" ref="W79">INDEX(tblPrices[cv_2028], MATCH(tblAmazonUnits[[#This Row],[Products]],tblPrices[Products],0), 0)* tblAmazonUnits[[#This Row],[cv_2028]]/10^6</f>
        <v>0</v>
      </c>
      <c r="X79" s="1">
        <f>VLOOKUP(A79,Products!$A$29:$F$110,6,FALSE)</f>
        <v>800</v>
      </c>
    </row>
    <row r="80" spans="1:24" s="1" customFormat="1" ht="13.15">
      <c r="A80" s="16" t="s">
        <v>37</v>
      </c>
      <c r="B80" s="8">
        <v>0</v>
      </c>
      <c r="C80" s="8">
        <v>0</v>
      </c>
      <c r="D80" s="8"/>
      <c r="E80" s="8"/>
      <c r="F80" s="8"/>
      <c r="G80" s="8"/>
      <c r="H80" s="8"/>
      <c r="I80" s="8"/>
      <c r="J80" s="8"/>
      <c r="K80" s="8"/>
      <c r="L80" s="8"/>
      <c r="M80" s="62" cm="1">
        <f t="array" ref="M80">INDEX(tblPrices[cv_2018], MATCH(tblAmazonUnits[[#This Row],[Products]],tblPrices[Products],0), 0)* tblAmazonUnits[[#This Row],[cv_2018]]/10^6</f>
        <v>0</v>
      </c>
      <c r="N80" s="62" cm="1">
        <f t="array" ref="N80">INDEX(tblPrices[cv_2019], MATCH(tblAmazonUnits[[#This Row],[Products]],tblPrices[Products],0), 0)* tblAmazonUnits[[#This Row],[cv_2019]]/10^6</f>
        <v>0</v>
      </c>
      <c r="O80" s="62" cm="1">
        <f t="array" ref="O80">INDEX(tblPrices[cv_2020], MATCH(tblAmazonUnits[[#This Row],[Products]],tblPrices[Products],0), 0)* tblAmazonUnits[[#This Row],[cv_2020]]/10^6</f>
        <v>0</v>
      </c>
      <c r="P80" s="62" cm="1">
        <f t="array" ref="P80">INDEX(tblPrices[cv_2021], MATCH(tblAmazonUnits[[#This Row],[Products]],tblPrices[Products],0), 0)* tblAmazonUnits[[#This Row],[cv_2021]]/10^6</f>
        <v>0</v>
      </c>
      <c r="Q80" s="62" cm="1">
        <f t="array" ref="Q80">INDEX(tblPrices[cv_2022], MATCH(tblAmazonUnits[[#This Row],[Products]],tblPrices[Products],0), 0)* tblAmazonUnits[[#This Row],[cv_2022]]/10^6</f>
        <v>0</v>
      </c>
      <c r="R80" s="62" cm="1">
        <f t="array" ref="R80">INDEX(tblPrices[cv_2023], MATCH(tblAmazonUnits[[#This Row],[Products]],tblPrices[Products],0), 0)* tblAmazonUnits[[#This Row],[cv_2023]]/10^6</f>
        <v>0</v>
      </c>
      <c r="S80" s="62" cm="1">
        <f t="array" ref="S80">INDEX(tblPrices[cv_2024], MATCH(tblAmazonUnits[[#This Row],[Products]],tblPrices[Products],0), 0)* tblAmazonUnits[[#This Row],[cv_2024]]/10^6</f>
        <v>0</v>
      </c>
      <c r="T80" s="62" cm="1">
        <f t="array" ref="T80">INDEX(tblPrices[cv_2025], MATCH(tblAmazonUnits[[#This Row],[Products]],tblPrices[Products],0), 0)* tblAmazonUnits[[#This Row],[cv_2025]]/10^6</f>
        <v>0</v>
      </c>
      <c r="U80" s="62" cm="1">
        <f t="array" ref="U80">INDEX(tblPrices[cv_2026], MATCH(tblAmazonUnits[[#This Row],[Products]],tblPrices[Products],0), 0)* tblAmazonUnits[[#This Row],[cv_2026]]/10^6</f>
        <v>0</v>
      </c>
      <c r="V80" s="62" cm="1">
        <f t="array" ref="V80">INDEX(tblPrices[cv_2027], MATCH(tblAmazonUnits[[#This Row],[Products]],tblPrices[Products],0), 0)* tblAmazonUnits[[#This Row],[cv_2027]]/10^6</f>
        <v>0</v>
      </c>
      <c r="W80" s="62" cm="1">
        <f t="array" ref="W80">INDEX(tblPrices[cv_2028], MATCH(tblAmazonUnits[[#This Row],[Products]],tblPrices[Products],0), 0)* tblAmazonUnits[[#This Row],[cv_2028]]/10^6</f>
        <v>0</v>
      </c>
      <c r="X80" s="1">
        <f>VLOOKUP(A80,Products!$A$29:$F$110,6,FALSE)</f>
        <v>800</v>
      </c>
    </row>
    <row r="81" spans="1:24" s="1" customFormat="1" ht="13.15">
      <c r="A81" s="16" t="s">
        <v>38</v>
      </c>
      <c r="B81" s="8">
        <v>0</v>
      </c>
      <c r="C81" s="8">
        <v>0</v>
      </c>
      <c r="D81" s="8"/>
      <c r="E81" s="8"/>
      <c r="F81" s="8"/>
      <c r="G81" s="8"/>
      <c r="H81" s="8"/>
      <c r="I81" s="8"/>
      <c r="J81" s="8"/>
      <c r="K81" s="8"/>
      <c r="L81" s="8"/>
      <c r="M81" s="62" cm="1">
        <f t="array" ref="M81">INDEX(tblPrices[cv_2018], MATCH(tblAmazonUnits[[#This Row],[Products]],tblPrices[Products],0), 0)* tblAmazonUnits[[#This Row],[cv_2018]]/10^6</f>
        <v>0</v>
      </c>
      <c r="N81" s="62" cm="1">
        <f t="array" ref="N81">INDEX(tblPrices[cv_2019], MATCH(tblAmazonUnits[[#This Row],[Products]],tblPrices[Products],0), 0)* tblAmazonUnits[[#This Row],[cv_2019]]/10^6</f>
        <v>0</v>
      </c>
      <c r="O81" s="62" cm="1">
        <f t="array" ref="O81">INDEX(tblPrices[cv_2020], MATCH(tblAmazonUnits[[#This Row],[Products]],tblPrices[Products],0), 0)* tblAmazonUnits[[#This Row],[cv_2020]]/10^6</f>
        <v>0</v>
      </c>
      <c r="P81" s="62" cm="1">
        <f t="array" ref="P81">INDEX(tblPrices[cv_2021], MATCH(tblAmazonUnits[[#This Row],[Products]],tblPrices[Products],0), 0)* tblAmazonUnits[[#This Row],[cv_2021]]/10^6</f>
        <v>0</v>
      </c>
      <c r="Q81" s="62" cm="1">
        <f t="array" ref="Q81">INDEX(tblPrices[cv_2022], MATCH(tblAmazonUnits[[#This Row],[Products]],tblPrices[Products],0), 0)* tblAmazonUnits[[#This Row],[cv_2022]]/10^6</f>
        <v>0</v>
      </c>
      <c r="R81" s="62" cm="1">
        <f t="array" ref="R81">INDEX(tblPrices[cv_2023], MATCH(tblAmazonUnits[[#This Row],[Products]],tblPrices[Products],0), 0)* tblAmazonUnits[[#This Row],[cv_2023]]/10^6</f>
        <v>0</v>
      </c>
      <c r="S81" s="62" cm="1">
        <f t="array" ref="S81">INDEX(tblPrices[cv_2024], MATCH(tblAmazonUnits[[#This Row],[Products]],tblPrices[Products],0), 0)* tblAmazonUnits[[#This Row],[cv_2024]]/10^6</f>
        <v>0</v>
      </c>
      <c r="T81" s="62" cm="1">
        <f t="array" ref="T81">INDEX(tblPrices[cv_2025], MATCH(tblAmazonUnits[[#This Row],[Products]],tblPrices[Products],0), 0)* tblAmazonUnits[[#This Row],[cv_2025]]/10^6</f>
        <v>0</v>
      </c>
      <c r="U81" s="62" cm="1">
        <f t="array" ref="U81">INDEX(tblPrices[cv_2026], MATCH(tblAmazonUnits[[#This Row],[Products]],tblPrices[Products],0), 0)* tblAmazonUnits[[#This Row],[cv_2026]]/10^6</f>
        <v>0</v>
      </c>
      <c r="V81" s="62" cm="1">
        <f t="array" ref="V81">INDEX(tblPrices[cv_2027], MATCH(tblAmazonUnits[[#This Row],[Products]],tblPrices[Products],0), 0)* tblAmazonUnits[[#This Row],[cv_2027]]/10^6</f>
        <v>0</v>
      </c>
      <c r="W81" s="62" cm="1">
        <f t="array" ref="W81">INDEX(tblPrices[cv_2028], MATCH(tblAmazonUnits[[#This Row],[Products]],tblPrices[Products],0), 0)* tblAmazonUnits[[#This Row],[cv_2028]]/10^6</f>
        <v>0</v>
      </c>
      <c r="X81" s="1">
        <f>VLOOKUP(A81,Products!$A$29:$F$110,6,FALSE)</f>
        <v>1200</v>
      </c>
    </row>
    <row r="82" spans="1:24" s="1" customFormat="1" ht="13.15">
      <c r="A82" s="16" t="s">
        <v>39</v>
      </c>
      <c r="B82" s="8">
        <v>0</v>
      </c>
      <c r="C82" s="8">
        <v>0</v>
      </c>
      <c r="D82" s="8"/>
      <c r="E82" s="8"/>
      <c r="F82" s="8"/>
      <c r="G82" s="8"/>
      <c r="H82" s="8"/>
      <c r="I82" s="8"/>
      <c r="J82" s="8"/>
      <c r="K82" s="8"/>
      <c r="L82" s="8"/>
      <c r="M82" s="62" cm="1">
        <f t="array" ref="M82">INDEX(tblPrices[cv_2018], MATCH(tblAmazonUnits[[#This Row],[Products]],tblPrices[Products],0), 0)* tblAmazonUnits[[#This Row],[cv_2018]]/10^6</f>
        <v>0</v>
      </c>
      <c r="N82" s="62" cm="1">
        <f t="array" ref="N82">INDEX(tblPrices[cv_2019], MATCH(tblAmazonUnits[[#This Row],[Products]],tblPrices[Products],0), 0)* tblAmazonUnits[[#This Row],[cv_2019]]/10^6</f>
        <v>0</v>
      </c>
      <c r="O82" s="62" cm="1">
        <f t="array" ref="O82">INDEX(tblPrices[cv_2020], MATCH(tblAmazonUnits[[#This Row],[Products]],tblPrices[Products],0), 0)* tblAmazonUnits[[#This Row],[cv_2020]]/10^6</f>
        <v>0</v>
      </c>
      <c r="P82" s="62" cm="1">
        <f t="array" ref="P82">INDEX(tblPrices[cv_2021], MATCH(tblAmazonUnits[[#This Row],[Products]],tblPrices[Products],0), 0)* tblAmazonUnits[[#This Row],[cv_2021]]/10^6</f>
        <v>0</v>
      </c>
      <c r="Q82" s="62" cm="1">
        <f t="array" ref="Q82">INDEX(tblPrices[cv_2022], MATCH(tblAmazonUnits[[#This Row],[Products]],tblPrices[Products],0), 0)* tblAmazonUnits[[#This Row],[cv_2022]]/10^6</f>
        <v>0</v>
      </c>
      <c r="R82" s="62" cm="1">
        <f t="array" ref="R82">INDEX(tblPrices[cv_2023], MATCH(tblAmazonUnits[[#This Row],[Products]],tblPrices[Products],0), 0)* tblAmazonUnits[[#This Row],[cv_2023]]/10^6</f>
        <v>0</v>
      </c>
      <c r="S82" s="62" cm="1">
        <f t="array" ref="S82">INDEX(tblPrices[cv_2024], MATCH(tblAmazonUnits[[#This Row],[Products]],tblPrices[Products],0), 0)* tblAmazonUnits[[#This Row],[cv_2024]]/10^6</f>
        <v>0</v>
      </c>
      <c r="T82" s="62" cm="1">
        <f t="array" ref="T82">INDEX(tblPrices[cv_2025], MATCH(tblAmazonUnits[[#This Row],[Products]],tblPrices[Products],0), 0)* tblAmazonUnits[[#This Row],[cv_2025]]/10^6</f>
        <v>0</v>
      </c>
      <c r="U82" s="62" cm="1">
        <f t="array" ref="U82">INDEX(tblPrices[cv_2026], MATCH(tblAmazonUnits[[#This Row],[Products]],tblPrices[Products],0), 0)* tblAmazonUnits[[#This Row],[cv_2026]]/10^6</f>
        <v>0</v>
      </c>
      <c r="V82" s="62" cm="1">
        <f t="array" ref="V82">INDEX(tblPrices[cv_2027], MATCH(tblAmazonUnits[[#This Row],[Products]],tblPrices[Products],0), 0)* tblAmazonUnits[[#This Row],[cv_2027]]/10^6</f>
        <v>0</v>
      </c>
      <c r="W82" s="62" cm="1">
        <f t="array" ref="W82">INDEX(tblPrices[cv_2028], MATCH(tblAmazonUnits[[#This Row],[Products]],tblPrices[Products],0), 0)* tblAmazonUnits[[#This Row],[cv_2028]]/10^6</f>
        <v>0</v>
      </c>
      <c r="X82" s="1">
        <f>VLOOKUP(A82,Products!$A$29:$F$110,6,FALSE)</f>
        <v>1600</v>
      </c>
    </row>
    <row r="83" spans="1:24">
      <c r="A83" s="1" t="s">
        <v>46</v>
      </c>
      <c r="B83" s="2">
        <f t="shared" ref="B83:W83" si="0">SUM(B41:B82)</f>
        <v>760892.20071405498</v>
      </c>
      <c r="C83" s="2">
        <f t="shared" si="0"/>
        <v>967245.59832871659</v>
      </c>
      <c r="D83" s="2">
        <f t="shared" si="0"/>
        <v>0</v>
      </c>
      <c r="E83" s="2">
        <f t="shared" si="0"/>
        <v>0</v>
      </c>
      <c r="F83" s="2">
        <f t="shared" si="0"/>
        <v>0</v>
      </c>
      <c r="G83" s="2">
        <f t="shared" si="0"/>
        <v>0</v>
      </c>
      <c r="H83" s="2">
        <f t="shared" si="0"/>
        <v>0</v>
      </c>
      <c r="I83" s="2">
        <f t="shared" si="0"/>
        <v>0</v>
      </c>
      <c r="J83" s="2">
        <f t="shared" si="0"/>
        <v>0</v>
      </c>
      <c r="K83" s="2">
        <f t="shared" si="0"/>
        <v>0</v>
      </c>
      <c r="L83" s="2">
        <f t="shared" si="0"/>
        <v>0</v>
      </c>
      <c r="M83" s="63">
        <f t="shared" si="0"/>
        <v>349.78065894045426</v>
      </c>
      <c r="N83" s="63">
        <f t="shared" si="0"/>
        <v>414.84087566317208</v>
      </c>
      <c r="O83" s="63">
        <f t="shared" si="0"/>
        <v>0</v>
      </c>
      <c r="P83" s="63">
        <f t="shared" si="0"/>
        <v>0</v>
      </c>
      <c r="Q83" s="63">
        <f t="shared" si="0"/>
        <v>0</v>
      </c>
      <c r="R83" s="63">
        <f t="shared" si="0"/>
        <v>0</v>
      </c>
      <c r="S83" s="63">
        <f t="shared" si="0"/>
        <v>0</v>
      </c>
      <c r="T83" s="63">
        <f t="shared" si="0"/>
        <v>0</v>
      </c>
      <c r="U83" s="63">
        <f t="shared" si="0"/>
        <v>0</v>
      </c>
      <c r="V83" s="63">
        <f t="shared" si="0"/>
        <v>0</v>
      </c>
      <c r="W83" s="63">
        <f t="shared" si="0"/>
        <v>0</v>
      </c>
    </row>
    <row r="84" spans="1:24">
      <c r="A84" s="1"/>
      <c r="B84" s="1"/>
      <c r="C84" s="1"/>
      <c r="D84" s="1"/>
      <c r="E84" s="1"/>
      <c r="F84" s="1"/>
      <c r="G84" s="1"/>
      <c r="H84" s="1"/>
      <c r="I84" s="1"/>
      <c r="J84" s="1"/>
      <c r="K84" s="1"/>
      <c r="L84" s="1"/>
      <c r="M84" s="1"/>
      <c r="N84" s="1"/>
      <c r="O84" s="1"/>
      <c r="P84" s="1"/>
      <c r="Q84" s="1"/>
      <c r="R84" s="1"/>
      <c r="S84" s="1"/>
      <c r="T84" s="1"/>
      <c r="U84" s="1"/>
      <c r="V84" s="1"/>
      <c r="W84" s="1"/>
    </row>
    <row r="86" spans="1:24">
      <c r="A86" s="175" t="s">
        <v>431</v>
      </c>
      <c r="B86" s="68">
        <v>2018</v>
      </c>
      <c r="C86" s="50">
        <v>2019</v>
      </c>
      <c r="D86" s="50">
        <v>2020</v>
      </c>
      <c r="E86" s="50">
        <v>2021</v>
      </c>
      <c r="F86" s="50">
        <v>2022</v>
      </c>
      <c r="G86" s="50">
        <v>2023</v>
      </c>
      <c r="H86" s="50">
        <v>2024</v>
      </c>
      <c r="I86" s="50">
        <v>2025</v>
      </c>
      <c r="J86" s="50">
        <v>2026</v>
      </c>
      <c r="K86" s="50">
        <v>2027</v>
      </c>
      <c r="L86" s="50">
        <v>2028</v>
      </c>
      <c r="M86" s="68">
        <v>2018</v>
      </c>
      <c r="N86" s="50">
        <v>2019</v>
      </c>
      <c r="O86" s="50">
        <v>2020</v>
      </c>
      <c r="P86" s="50">
        <v>2021</v>
      </c>
      <c r="Q86" s="50">
        <v>2022</v>
      </c>
      <c r="R86" s="50">
        <v>2023</v>
      </c>
      <c r="S86" s="50">
        <v>2024</v>
      </c>
      <c r="T86" s="50">
        <v>2025</v>
      </c>
      <c r="U86" s="50">
        <v>2026</v>
      </c>
      <c r="V86" s="50">
        <v>2027</v>
      </c>
      <c r="W86" s="50">
        <v>2028</v>
      </c>
      <c r="X86" s="1"/>
    </row>
    <row r="87" spans="1:24">
      <c r="A87" s="65" t="s">
        <v>80</v>
      </c>
      <c r="B87" s="2">
        <f t="shared" ref="B87:W87" si="1">SUMIF($X$41:$X$63,40,B$41:B$63)</f>
        <v>32618.520000000004</v>
      </c>
      <c r="C87" s="2">
        <f t="shared" si="1"/>
        <v>25847.4</v>
      </c>
      <c r="D87" s="2">
        <f t="shared" si="1"/>
        <v>0</v>
      </c>
      <c r="E87" s="2">
        <f t="shared" si="1"/>
        <v>0</v>
      </c>
      <c r="F87" s="2">
        <f t="shared" si="1"/>
        <v>0</v>
      </c>
      <c r="G87" s="2">
        <f t="shared" si="1"/>
        <v>0</v>
      </c>
      <c r="H87" s="2">
        <f t="shared" si="1"/>
        <v>0</v>
      </c>
      <c r="I87" s="2">
        <f t="shared" si="1"/>
        <v>0</v>
      </c>
      <c r="J87" s="2">
        <f t="shared" si="1"/>
        <v>0</v>
      </c>
      <c r="K87" s="2">
        <f t="shared" si="1"/>
        <v>0</v>
      </c>
      <c r="L87" s="2">
        <f t="shared" si="1"/>
        <v>0</v>
      </c>
      <c r="M87" s="71">
        <f t="shared" si="1"/>
        <v>9.9057936312000017</v>
      </c>
      <c r="N87" s="74">
        <f t="shared" si="1"/>
        <v>6.5505447531529972</v>
      </c>
      <c r="O87" s="74">
        <f t="shared" si="1"/>
        <v>0</v>
      </c>
      <c r="P87" s="74">
        <f t="shared" si="1"/>
        <v>0</v>
      </c>
      <c r="Q87" s="74">
        <f t="shared" si="1"/>
        <v>0</v>
      </c>
      <c r="R87" s="74">
        <f t="shared" si="1"/>
        <v>0</v>
      </c>
      <c r="S87" s="74">
        <f t="shared" si="1"/>
        <v>0</v>
      </c>
      <c r="T87" s="74">
        <f t="shared" si="1"/>
        <v>0</v>
      </c>
      <c r="U87" s="74">
        <f t="shared" si="1"/>
        <v>0</v>
      </c>
      <c r="V87" s="74">
        <f t="shared" si="1"/>
        <v>0</v>
      </c>
      <c r="W87" s="74">
        <f t="shared" si="1"/>
        <v>0</v>
      </c>
      <c r="X87" s="1"/>
    </row>
    <row r="88" spans="1:24">
      <c r="A88" s="65" t="s">
        <v>205</v>
      </c>
      <c r="B88" s="2">
        <f t="shared" ref="B88:W88" si="2">SUMIF($X$41:$X$63,100,B$41:B$63)</f>
        <v>549585.36423599441</v>
      </c>
      <c r="C88" s="2">
        <f t="shared" si="2"/>
        <v>751778.49230000004</v>
      </c>
      <c r="D88" s="2">
        <f t="shared" si="2"/>
        <v>0</v>
      </c>
      <c r="E88" s="2">
        <f t="shared" si="2"/>
        <v>0</v>
      </c>
      <c r="F88" s="2">
        <f t="shared" si="2"/>
        <v>0</v>
      </c>
      <c r="G88" s="2">
        <f t="shared" si="2"/>
        <v>0</v>
      </c>
      <c r="H88" s="2">
        <f t="shared" si="2"/>
        <v>0</v>
      </c>
      <c r="I88" s="2">
        <f t="shared" si="2"/>
        <v>0</v>
      </c>
      <c r="J88" s="2">
        <f t="shared" si="2"/>
        <v>0</v>
      </c>
      <c r="K88" s="2">
        <f t="shared" si="2"/>
        <v>0</v>
      </c>
      <c r="L88" s="2">
        <f t="shared" si="2"/>
        <v>0</v>
      </c>
      <c r="M88" s="69">
        <f t="shared" si="2"/>
        <v>135.83671097071553</v>
      </c>
      <c r="N88" s="75">
        <f t="shared" si="2"/>
        <v>139.52835403860735</v>
      </c>
      <c r="O88" s="75">
        <f t="shared" si="2"/>
        <v>0</v>
      </c>
      <c r="P88" s="75">
        <f t="shared" si="2"/>
        <v>0</v>
      </c>
      <c r="Q88" s="75">
        <f t="shared" si="2"/>
        <v>0</v>
      </c>
      <c r="R88" s="75">
        <f t="shared" si="2"/>
        <v>0</v>
      </c>
      <c r="S88" s="75">
        <f t="shared" si="2"/>
        <v>0</v>
      </c>
      <c r="T88" s="75">
        <f t="shared" si="2"/>
        <v>0</v>
      </c>
      <c r="U88" s="75">
        <f t="shared" si="2"/>
        <v>0</v>
      </c>
      <c r="V88" s="75">
        <f t="shared" si="2"/>
        <v>0</v>
      </c>
      <c r="W88" s="75">
        <f t="shared" si="2"/>
        <v>0</v>
      </c>
      <c r="X88" s="1"/>
    </row>
    <row r="89" spans="1:24">
      <c r="A89" s="65" t="s">
        <v>206</v>
      </c>
      <c r="B89" s="2">
        <f t="shared" ref="B89:W89" si="3">SUMIF($X$41:$X$63,200,B$41:B$63)</f>
        <v>0</v>
      </c>
      <c r="C89" s="2">
        <f t="shared" si="3"/>
        <v>0</v>
      </c>
      <c r="D89" s="2">
        <f t="shared" si="3"/>
        <v>0</v>
      </c>
      <c r="E89" s="2">
        <f t="shared" si="3"/>
        <v>0</v>
      </c>
      <c r="F89" s="2">
        <f t="shared" si="3"/>
        <v>0</v>
      </c>
      <c r="G89" s="2">
        <f t="shared" si="3"/>
        <v>0</v>
      </c>
      <c r="H89" s="2">
        <f t="shared" si="3"/>
        <v>0</v>
      </c>
      <c r="I89" s="2">
        <f t="shared" si="3"/>
        <v>0</v>
      </c>
      <c r="J89" s="2">
        <f t="shared" si="3"/>
        <v>0</v>
      </c>
      <c r="K89" s="2">
        <f t="shared" si="3"/>
        <v>0</v>
      </c>
      <c r="L89" s="2">
        <f t="shared" si="3"/>
        <v>0</v>
      </c>
      <c r="M89" s="69">
        <f t="shared" si="3"/>
        <v>0</v>
      </c>
      <c r="N89" s="75">
        <f t="shared" si="3"/>
        <v>0</v>
      </c>
      <c r="O89" s="75">
        <f t="shared" si="3"/>
        <v>0</v>
      </c>
      <c r="P89" s="75">
        <f t="shared" si="3"/>
        <v>0</v>
      </c>
      <c r="Q89" s="75">
        <f t="shared" si="3"/>
        <v>0</v>
      </c>
      <c r="R89" s="75">
        <f t="shared" si="3"/>
        <v>0</v>
      </c>
      <c r="S89" s="75">
        <f t="shared" si="3"/>
        <v>0</v>
      </c>
      <c r="T89" s="75">
        <f t="shared" si="3"/>
        <v>0</v>
      </c>
      <c r="U89" s="75">
        <f t="shared" si="3"/>
        <v>0</v>
      </c>
      <c r="V89" s="75">
        <f t="shared" si="3"/>
        <v>0</v>
      </c>
      <c r="W89" s="75">
        <f t="shared" si="3"/>
        <v>0</v>
      </c>
      <c r="X89" s="1"/>
    </row>
    <row r="90" spans="1:24">
      <c r="A90" s="65" t="s">
        <v>207</v>
      </c>
      <c r="B90" s="2">
        <f t="shared" ref="B90:W90" si="4">SUMIF($X$41:$X$63,400,B$41:B$63)</f>
        <v>2100</v>
      </c>
      <c r="C90" s="2">
        <f t="shared" si="4"/>
        <v>29639.254769230771</v>
      </c>
      <c r="D90" s="2">
        <f t="shared" si="4"/>
        <v>0</v>
      </c>
      <c r="E90" s="2">
        <f t="shared" si="4"/>
        <v>0</v>
      </c>
      <c r="F90" s="2">
        <f t="shared" si="4"/>
        <v>0</v>
      </c>
      <c r="G90" s="2">
        <f t="shared" si="4"/>
        <v>0</v>
      </c>
      <c r="H90" s="2">
        <f t="shared" si="4"/>
        <v>0</v>
      </c>
      <c r="I90" s="2">
        <f t="shared" si="4"/>
        <v>0</v>
      </c>
      <c r="J90" s="2">
        <f t="shared" si="4"/>
        <v>0</v>
      </c>
      <c r="K90" s="2">
        <f t="shared" si="4"/>
        <v>0</v>
      </c>
      <c r="L90" s="2">
        <f t="shared" si="4"/>
        <v>0</v>
      </c>
      <c r="M90" s="69">
        <f t="shared" si="4"/>
        <v>3</v>
      </c>
      <c r="N90" s="75">
        <f t="shared" si="4"/>
        <v>26.229305086048001</v>
      </c>
      <c r="O90" s="75">
        <f t="shared" si="4"/>
        <v>0</v>
      </c>
      <c r="P90" s="75">
        <f t="shared" si="4"/>
        <v>0</v>
      </c>
      <c r="Q90" s="75">
        <f t="shared" si="4"/>
        <v>0</v>
      </c>
      <c r="R90" s="75">
        <f t="shared" si="4"/>
        <v>0</v>
      </c>
      <c r="S90" s="75">
        <f t="shared" si="4"/>
        <v>0</v>
      </c>
      <c r="T90" s="75">
        <f t="shared" si="4"/>
        <v>0</v>
      </c>
      <c r="U90" s="75">
        <f t="shared" si="4"/>
        <v>0</v>
      </c>
      <c r="V90" s="75">
        <f t="shared" si="4"/>
        <v>0</v>
      </c>
      <c r="W90" s="75">
        <f t="shared" si="4"/>
        <v>0</v>
      </c>
      <c r="X90" s="1"/>
    </row>
    <row r="91" spans="1:24">
      <c r="A91" s="65" t="s">
        <v>209</v>
      </c>
      <c r="B91" s="2">
        <f t="shared" ref="B91:W91" si="5">SUMIF($X$41:$X$63,800,B$41:B$63)</f>
        <v>0</v>
      </c>
      <c r="C91" s="2">
        <f t="shared" si="5"/>
        <v>0</v>
      </c>
      <c r="D91" s="2">
        <f t="shared" si="5"/>
        <v>0</v>
      </c>
      <c r="E91" s="2">
        <f t="shared" si="5"/>
        <v>0</v>
      </c>
      <c r="F91" s="2">
        <f t="shared" si="5"/>
        <v>0</v>
      </c>
      <c r="G91" s="2">
        <f t="shared" si="5"/>
        <v>0</v>
      </c>
      <c r="H91" s="2">
        <f t="shared" si="5"/>
        <v>0</v>
      </c>
      <c r="I91" s="2">
        <f t="shared" si="5"/>
        <v>0</v>
      </c>
      <c r="J91" s="2">
        <f t="shared" si="5"/>
        <v>0</v>
      </c>
      <c r="K91" s="2">
        <f t="shared" si="5"/>
        <v>0</v>
      </c>
      <c r="L91" s="2">
        <f t="shared" si="5"/>
        <v>0</v>
      </c>
      <c r="M91" s="69">
        <f t="shared" si="5"/>
        <v>0</v>
      </c>
      <c r="N91" s="75">
        <f t="shared" si="5"/>
        <v>0</v>
      </c>
      <c r="O91" s="75">
        <f t="shared" si="5"/>
        <v>0</v>
      </c>
      <c r="P91" s="75">
        <f t="shared" si="5"/>
        <v>0</v>
      </c>
      <c r="Q91" s="75">
        <f t="shared" si="5"/>
        <v>0</v>
      </c>
      <c r="R91" s="75">
        <f t="shared" si="5"/>
        <v>0</v>
      </c>
      <c r="S91" s="75">
        <f t="shared" si="5"/>
        <v>0</v>
      </c>
      <c r="T91" s="75">
        <f t="shared" si="5"/>
        <v>0</v>
      </c>
      <c r="U91" s="75">
        <f t="shared" si="5"/>
        <v>0</v>
      </c>
      <c r="V91" s="75">
        <f t="shared" si="5"/>
        <v>0</v>
      </c>
      <c r="W91" s="75">
        <f t="shared" si="5"/>
        <v>0</v>
      </c>
    </row>
    <row r="92" spans="1:24">
      <c r="A92" s="65" t="s">
        <v>211</v>
      </c>
      <c r="B92" s="2">
        <f t="shared" ref="B92:W92" si="6">SUMIF($X$41:$X$63,1600,B$41:B$63)</f>
        <v>0</v>
      </c>
      <c r="C92" s="2">
        <f t="shared" si="6"/>
        <v>0</v>
      </c>
      <c r="D92" s="2">
        <f t="shared" si="6"/>
        <v>0</v>
      </c>
      <c r="E92" s="2">
        <f t="shared" si="6"/>
        <v>0</v>
      </c>
      <c r="F92" s="2">
        <f t="shared" si="6"/>
        <v>0</v>
      </c>
      <c r="G92" s="2">
        <f t="shared" si="6"/>
        <v>0</v>
      </c>
      <c r="H92" s="2">
        <f t="shared" si="6"/>
        <v>0</v>
      </c>
      <c r="I92" s="2">
        <f t="shared" si="6"/>
        <v>0</v>
      </c>
      <c r="J92" s="2">
        <f t="shared" si="6"/>
        <v>0</v>
      </c>
      <c r="K92" s="2">
        <f t="shared" si="6"/>
        <v>0</v>
      </c>
      <c r="L92" s="2">
        <f t="shared" si="6"/>
        <v>0</v>
      </c>
      <c r="M92" s="69">
        <f t="shared" si="6"/>
        <v>0</v>
      </c>
      <c r="N92" s="75">
        <f t="shared" si="6"/>
        <v>0</v>
      </c>
      <c r="O92" s="75">
        <f t="shared" si="6"/>
        <v>0</v>
      </c>
      <c r="P92" s="75">
        <f t="shared" si="6"/>
        <v>0</v>
      </c>
      <c r="Q92" s="75">
        <f t="shared" si="6"/>
        <v>0</v>
      </c>
      <c r="R92" s="75">
        <f t="shared" si="6"/>
        <v>0</v>
      </c>
      <c r="S92" s="75">
        <f t="shared" si="6"/>
        <v>0</v>
      </c>
      <c r="T92" s="75">
        <f t="shared" si="6"/>
        <v>0</v>
      </c>
      <c r="U92" s="75">
        <f t="shared" si="6"/>
        <v>0</v>
      </c>
      <c r="V92" s="75">
        <f t="shared" si="6"/>
        <v>0</v>
      </c>
      <c r="W92" s="75">
        <f t="shared" si="6"/>
        <v>0</v>
      </c>
    </row>
    <row r="93" spans="1:24">
      <c r="A93" s="65" t="s">
        <v>276</v>
      </c>
      <c r="B93" s="2">
        <f>SUM(B41:B63)</f>
        <v>719325.14455236145</v>
      </c>
      <c r="C93" s="2">
        <f t="shared" ref="C93:W93" si="7">SUM(C41:C63)</f>
        <v>922722.90318453871</v>
      </c>
      <c r="D93" s="2">
        <f t="shared" si="7"/>
        <v>0</v>
      </c>
      <c r="E93" s="2">
        <f t="shared" si="7"/>
        <v>0</v>
      </c>
      <c r="F93" s="2">
        <f t="shared" si="7"/>
        <v>0</v>
      </c>
      <c r="G93" s="2">
        <f t="shared" si="7"/>
        <v>0</v>
      </c>
      <c r="H93" s="2">
        <f t="shared" si="7"/>
        <v>0</v>
      </c>
      <c r="I93" s="2">
        <f t="shared" si="7"/>
        <v>0</v>
      </c>
      <c r="J93" s="2">
        <f t="shared" si="7"/>
        <v>0</v>
      </c>
      <c r="K93" s="2">
        <f t="shared" si="7"/>
        <v>0</v>
      </c>
      <c r="L93" s="2">
        <f t="shared" si="7"/>
        <v>0</v>
      </c>
      <c r="M93" s="69">
        <f t="shared" si="7"/>
        <v>150.74228700860203</v>
      </c>
      <c r="N93" s="75">
        <f t="shared" si="7"/>
        <v>173.88213389821485</v>
      </c>
      <c r="O93" s="75">
        <f t="shared" si="7"/>
        <v>0</v>
      </c>
      <c r="P93" s="75">
        <f t="shared" si="7"/>
        <v>0</v>
      </c>
      <c r="Q93" s="75">
        <f t="shared" si="7"/>
        <v>0</v>
      </c>
      <c r="R93" s="75">
        <f t="shared" si="7"/>
        <v>0</v>
      </c>
      <c r="S93" s="75">
        <f t="shared" si="7"/>
        <v>0</v>
      </c>
      <c r="T93" s="75">
        <f t="shared" si="7"/>
        <v>0</v>
      </c>
      <c r="U93" s="75">
        <f t="shared" si="7"/>
        <v>0</v>
      </c>
      <c r="V93" s="75">
        <f t="shared" si="7"/>
        <v>0</v>
      </c>
      <c r="W93" s="75">
        <f t="shared" si="7"/>
        <v>0</v>
      </c>
    </row>
    <row r="94" spans="1:24">
      <c r="A94" s="65"/>
    </row>
    <row r="95" spans="1:24">
      <c r="A95" s="176" t="s">
        <v>428</v>
      </c>
      <c r="B95" s="68">
        <v>2018</v>
      </c>
      <c r="C95" s="50">
        <v>2019</v>
      </c>
      <c r="D95" s="50">
        <v>2020</v>
      </c>
      <c r="E95" s="50">
        <v>2021</v>
      </c>
      <c r="F95" s="50">
        <v>2022</v>
      </c>
      <c r="G95" s="50">
        <v>2023</v>
      </c>
      <c r="H95" s="50">
        <v>2024</v>
      </c>
      <c r="I95" s="50">
        <v>2025</v>
      </c>
      <c r="J95" s="50">
        <v>2026</v>
      </c>
      <c r="K95" s="50">
        <v>2027</v>
      </c>
      <c r="L95" s="50">
        <v>2028</v>
      </c>
      <c r="M95" s="68">
        <v>2018</v>
      </c>
      <c r="N95" s="50">
        <v>2019</v>
      </c>
      <c r="O95" s="50">
        <v>2020</v>
      </c>
      <c r="P95" s="50">
        <v>2021</v>
      </c>
      <c r="Q95" s="50">
        <v>2022</v>
      </c>
      <c r="R95" s="50">
        <v>2023</v>
      </c>
      <c r="S95" s="50">
        <v>2024</v>
      </c>
      <c r="T95" s="50">
        <v>2025</v>
      </c>
      <c r="U95" s="50">
        <v>2026</v>
      </c>
      <c r="V95" s="50">
        <v>2027</v>
      </c>
      <c r="W95" s="50">
        <v>2028</v>
      </c>
    </row>
    <row r="96" spans="1:24">
      <c r="A96" s="65" t="s">
        <v>205</v>
      </c>
      <c r="B96" s="2">
        <f t="shared" ref="B96:W96" si="8">SUMIF($X$64:$X$82,100,B$64:B$82)</f>
        <v>17883.789197759106</v>
      </c>
      <c r="C96" s="2">
        <f t="shared" si="8"/>
        <v>11126.182800000002</v>
      </c>
      <c r="D96" s="2">
        <f t="shared" si="8"/>
        <v>0</v>
      </c>
      <c r="E96" s="2">
        <f t="shared" si="8"/>
        <v>0</v>
      </c>
      <c r="F96" s="2">
        <f t="shared" si="8"/>
        <v>0</v>
      </c>
      <c r="G96" s="2">
        <f t="shared" si="8"/>
        <v>0</v>
      </c>
      <c r="H96" s="2">
        <f t="shared" si="8"/>
        <v>0</v>
      </c>
      <c r="I96" s="2">
        <f t="shared" si="8"/>
        <v>0</v>
      </c>
      <c r="J96" s="2">
        <f t="shared" si="8"/>
        <v>0</v>
      </c>
      <c r="K96" s="2">
        <f t="shared" si="8"/>
        <v>0</v>
      </c>
      <c r="L96" s="2">
        <f t="shared" si="8"/>
        <v>0</v>
      </c>
      <c r="M96" s="69">
        <f t="shared" si="8"/>
        <v>138.93259280826334</v>
      </c>
      <c r="N96" s="63">
        <f t="shared" si="8"/>
        <v>67.504101120000016</v>
      </c>
      <c r="O96" s="63">
        <f t="shared" si="8"/>
        <v>0</v>
      </c>
      <c r="P96" s="63">
        <f t="shared" si="8"/>
        <v>0</v>
      </c>
      <c r="Q96" s="63">
        <f t="shared" si="8"/>
        <v>0</v>
      </c>
      <c r="R96" s="63">
        <f t="shared" si="8"/>
        <v>0</v>
      </c>
      <c r="S96" s="63">
        <f t="shared" si="8"/>
        <v>0</v>
      </c>
      <c r="T96" s="63">
        <f t="shared" si="8"/>
        <v>0</v>
      </c>
      <c r="U96" s="63">
        <f t="shared" si="8"/>
        <v>0</v>
      </c>
      <c r="V96" s="63">
        <f t="shared" si="8"/>
        <v>0</v>
      </c>
      <c r="W96" s="63">
        <f t="shared" si="8"/>
        <v>0</v>
      </c>
    </row>
    <row r="97" spans="1:23">
      <c r="A97" s="65" t="s">
        <v>206</v>
      </c>
      <c r="B97" s="2">
        <f t="shared" ref="B97:W97" si="9">SUMIF($X$64:$X$82,200,B$64:B$82)</f>
        <v>6891.440163934426</v>
      </c>
      <c r="C97" s="2">
        <f t="shared" si="9"/>
        <v>13025.030399999996</v>
      </c>
      <c r="D97" s="2">
        <f t="shared" si="9"/>
        <v>0</v>
      </c>
      <c r="E97" s="2">
        <f t="shared" si="9"/>
        <v>0</v>
      </c>
      <c r="F97" s="2">
        <f t="shared" si="9"/>
        <v>0</v>
      </c>
      <c r="G97" s="2">
        <f t="shared" si="9"/>
        <v>0</v>
      </c>
      <c r="H97" s="2">
        <f t="shared" si="9"/>
        <v>0</v>
      </c>
      <c r="I97" s="2">
        <f t="shared" si="9"/>
        <v>0</v>
      </c>
      <c r="J97" s="2">
        <f t="shared" si="9"/>
        <v>0</v>
      </c>
      <c r="K97" s="2">
        <f t="shared" si="9"/>
        <v>0</v>
      </c>
      <c r="L97" s="2">
        <f t="shared" si="9"/>
        <v>0</v>
      </c>
      <c r="M97" s="69">
        <f t="shared" si="9"/>
        <v>54.57638763040238</v>
      </c>
      <c r="N97" s="63">
        <f t="shared" si="9"/>
        <v>77.470519156363622</v>
      </c>
      <c r="O97" s="63">
        <f t="shared" si="9"/>
        <v>0</v>
      </c>
      <c r="P97" s="63">
        <f t="shared" si="9"/>
        <v>0</v>
      </c>
      <c r="Q97" s="63">
        <f t="shared" si="9"/>
        <v>0</v>
      </c>
      <c r="R97" s="63">
        <f t="shared" si="9"/>
        <v>0</v>
      </c>
      <c r="S97" s="63">
        <f t="shared" si="9"/>
        <v>0</v>
      </c>
      <c r="T97" s="63">
        <f t="shared" si="9"/>
        <v>0</v>
      </c>
      <c r="U97" s="63">
        <f t="shared" si="9"/>
        <v>0</v>
      </c>
      <c r="V97" s="63">
        <f t="shared" si="9"/>
        <v>0</v>
      </c>
      <c r="W97" s="63">
        <f t="shared" si="9"/>
        <v>0</v>
      </c>
    </row>
    <row r="98" spans="1:23">
      <c r="A98" s="65" t="s">
        <v>207</v>
      </c>
      <c r="B98" s="2">
        <f t="shared" ref="B98:W98" si="10">SUMIF($X$64:$X$82,400,B$64:B$82)</f>
        <v>5250</v>
      </c>
      <c r="C98" s="2">
        <f t="shared" si="10"/>
        <v>10549</v>
      </c>
      <c r="D98" s="2">
        <f t="shared" si="10"/>
        <v>0</v>
      </c>
      <c r="E98" s="2">
        <f t="shared" si="10"/>
        <v>0</v>
      </c>
      <c r="F98" s="2">
        <f t="shared" si="10"/>
        <v>0</v>
      </c>
      <c r="G98" s="2">
        <f t="shared" si="10"/>
        <v>0</v>
      </c>
      <c r="H98" s="2">
        <f t="shared" si="10"/>
        <v>0</v>
      </c>
      <c r="I98" s="2">
        <f t="shared" si="10"/>
        <v>0</v>
      </c>
      <c r="J98" s="2">
        <f t="shared" si="10"/>
        <v>0</v>
      </c>
      <c r="K98" s="2">
        <f t="shared" si="10"/>
        <v>0</v>
      </c>
      <c r="L98" s="2">
        <f t="shared" si="10"/>
        <v>0</v>
      </c>
      <c r="M98" s="69">
        <f t="shared" si="10"/>
        <v>0</v>
      </c>
      <c r="N98" s="63">
        <f t="shared" si="10"/>
        <v>92.011272727272726</v>
      </c>
      <c r="O98" s="63">
        <f t="shared" si="10"/>
        <v>0</v>
      </c>
      <c r="P98" s="63">
        <f t="shared" si="10"/>
        <v>0</v>
      </c>
      <c r="Q98" s="63">
        <f t="shared" si="10"/>
        <v>0</v>
      </c>
      <c r="R98" s="63">
        <f t="shared" si="10"/>
        <v>0</v>
      </c>
      <c r="S98" s="63">
        <f t="shared" si="10"/>
        <v>0</v>
      </c>
      <c r="T98" s="63">
        <f t="shared" si="10"/>
        <v>0</v>
      </c>
      <c r="U98" s="63">
        <f t="shared" si="10"/>
        <v>0</v>
      </c>
      <c r="V98" s="63">
        <f t="shared" si="10"/>
        <v>0</v>
      </c>
      <c r="W98" s="63">
        <f t="shared" si="10"/>
        <v>0</v>
      </c>
    </row>
    <row r="99" spans="1:23">
      <c r="A99" s="65" t="s">
        <v>429</v>
      </c>
      <c r="B99" s="2">
        <f t="shared" ref="B99:W99" si="11">SUMIF($X$64:$X$82,600,B$64:B$82)+SUMIF($X$64:$X$82,800,B$64:B$82)</f>
        <v>0</v>
      </c>
      <c r="C99" s="2">
        <f t="shared" si="11"/>
        <v>13.120000000000003</v>
      </c>
      <c r="D99" s="2">
        <f t="shared" si="11"/>
        <v>0</v>
      </c>
      <c r="E99" s="2">
        <f t="shared" si="11"/>
        <v>0</v>
      </c>
      <c r="F99" s="2">
        <f t="shared" si="11"/>
        <v>0</v>
      </c>
      <c r="G99" s="2">
        <f t="shared" si="11"/>
        <v>0</v>
      </c>
      <c r="H99" s="2">
        <f t="shared" si="11"/>
        <v>0</v>
      </c>
      <c r="I99" s="2">
        <f t="shared" si="11"/>
        <v>0</v>
      </c>
      <c r="J99" s="2">
        <f t="shared" si="11"/>
        <v>0</v>
      </c>
      <c r="K99" s="2">
        <f t="shared" si="11"/>
        <v>0</v>
      </c>
      <c r="L99" s="2">
        <f t="shared" si="11"/>
        <v>0</v>
      </c>
      <c r="M99" s="69">
        <f t="shared" si="11"/>
        <v>0</v>
      </c>
      <c r="N99" s="63">
        <f t="shared" si="11"/>
        <v>0.13120000000000004</v>
      </c>
      <c r="O99" s="63">
        <f t="shared" si="11"/>
        <v>0</v>
      </c>
      <c r="P99" s="63">
        <f t="shared" si="11"/>
        <v>0</v>
      </c>
      <c r="Q99" s="63">
        <f t="shared" si="11"/>
        <v>0</v>
      </c>
      <c r="R99" s="63">
        <f t="shared" si="11"/>
        <v>0</v>
      </c>
      <c r="S99" s="63">
        <f t="shared" si="11"/>
        <v>0</v>
      </c>
      <c r="T99" s="63">
        <f t="shared" si="11"/>
        <v>0</v>
      </c>
      <c r="U99" s="63">
        <f t="shared" si="11"/>
        <v>0</v>
      </c>
      <c r="V99" s="63">
        <f t="shared" si="11"/>
        <v>0</v>
      </c>
      <c r="W99" s="63">
        <f t="shared" si="11"/>
        <v>0</v>
      </c>
    </row>
    <row r="100" spans="1:23">
      <c r="A100" s="65" t="s">
        <v>430</v>
      </c>
      <c r="B100" s="2">
        <f t="shared" ref="B100:W100" si="12">SUMIF($X$64:$X$82,1200,B$64:B$82)+SUMIF($X$64:$X$82,1600,B$64:B$82)</f>
        <v>0</v>
      </c>
      <c r="C100" s="2">
        <f t="shared" si="12"/>
        <v>0</v>
      </c>
      <c r="D100" s="2">
        <f t="shared" si="12"/>
        <v>0</v>
      </c>
      <c r="E100" s="2">
        <f t="shared" si="12"/>
        <v>0</v>
      </c>
      <c r="F100" s="2">
        <f t="shared" si="12"/>
        <v>0</v>
      </c>
      <c r="G100" s="2">
        <f t="shared" si="12"/>
        <v>0</v>
      </c>
      <c r="H100" s="2">
        <f t="shared" si="12"/>
        <v>0</v>
      </c>
      <c r="I100" s="2">
        <f t="shared" si="12"/>
        <v>0</v>
      </c>
      <c r="J100" s="2">
        <f t="shared" si="12"/>
        <v>0</v>
      </c>
      <c r="K100" s="2">
        <f t="shared" si="12"/>
        <v>0</v>
      </c>
      <c r="L100" s="2">
        <f t="shared" si="12"/>
        <v>0</v>
      </c>
      <c r="M100" s="69">
        <f t="shared" si="12"/>
        <v>0</v>
      </c>
      <c r="N100" s="63">
        <f t="shared" si="12"/>
        <v>0</v>
      </c>
      <c r="O100" s="63">
        <f t="shared" si="12"/>
        <v>0</v>
      </c>
      <c r="P100" s="63">
        <f t="shared" si="12"/>
        <v>0</v>
      </c>
      <c r="Q100" s="63">
        <f t="shared" si="12"/>
        <v>0</v>
      </c>
      <c r="R100" s="63">
        <f t="shared" si="12"/>
        <v>0</v>
      </c>
      <c r="S100" s="63">
        <f t="shared" si="12"/>
        <v>0</v>
      </c>
      <c r="T100" s="63">
        <f t="shared" si="12"/>
        <v>0</v>
      </c>
      <c r="U100" s="63">
        <f t="shared" si="12"/>
        <v>0</v>
      </c>
      <c r="V100" s="63">
        <f t="shared" si="12"/>
        <v>0</v>
      </c>
      <c r="W100" s="63">
        <f t="shared" si="12"/>
        <v>0</v>
      </c>
    </row>
    <row r="101" spans="1:23">
      <c r="A101" s="65" t="s">
        <v>277</v>
      </c>
      <c r="B101" s="2">
        <f>SUM(B64:B82)</f>
        <v>41567.056161693537</v>
      </c>
      <c r="C101" s="2">
        <f t="shared" ref="C101:W101" si="13">SUM(C64:C82)</f>
        <v>44522.695144178011</v>
      </c>
      <c r="D101" s="2">
        <f t="shared" si="13"/>
        <v>0</v>
      </c>
      <c r="E101" s="2">
        <f t="shared" si="13"/>
        <v>0</v>
      </c>
      <c r="F101" s="2">
        <f t="shared" si="13"/>
        <v>0</v>
      </c>
      <c r="G101" s="2">
        <f t="shared" si="13"/>
        <v>0</v>
      </c>
      <c r="H101" s="2">
        <f t="shared" si="13"/>
        <v>0</v>
      </c>
      <c r="I101" s="2">
        <f t="shared" si="13"/>
        <v>0</v>
      </c>
      <c r="J101" s="2">
        <f t="shared" si="13"/>
        <v>0</v>
      </c>
      <c r="K101" s="2">
        <f t="shared" si="13"/>
        <v>0</v>
      </c>
      <c r="L101" s="2">
        <f t="shared" si="13"/>
        <v>0</v>
      </c>
      <c r="M101" s="69">
        <f t="shared" si="13"/>
        <v>199.03837193185214</v>
      </c>
      <c r="N101" s="63">
        <f t="shared" si="13"/>
        <v>240.9587417649573</v>
      </c>
      <c r="O101" s="63">
        <f t="shared" si="13"/>
        <v>0</v>
      </c>
      <c r="P101" s="63">
        <f t="shared" si="13"/>
        <v>0</v>
      </c>
      <c r="Q101" s="63">
        <f t="shared" si="13"/>
        <v>0</v>
      </c>
      <c r="R101" s="63">
        <f t="shared" si="13"/>
        <v>0</v>
      </c>
      <c r="S101" s="63">
        <f t="shared" si="13"/>
        <v>0</v>
      </c>
      <c r="T101" s="63">
        <f t="shared" si="13"/>
        <v>0</v>
      </c>
      <c r="U101" s="63">
        <f t="shared" si="13"/>
        <v>0</v>
      </c>
      <c r="V101" s="63">
        <f t="shared" si="13"/>
        <v>0</v>
      </c>
      <c r="W101" s="63">
        <f t="shared" si="13"/>
        <v>0</v>
      </c>
    </row>
    <row r="102" spans="1:23">
      <c r="A102" s="67"/>
      <c r="B102" s="59"/>
      <c r="C102" s="59"/>
      <c r="D102" s="59"/>
      <c r="E102" s="59"/>
      <c r="F102" s="59"/>
      <c r="G102" s="59"/>
      <c r="H102" s="59"/>
      <c r="I102" s="59"/>
      <c r="J102" s="59"/>
      <c r="K102" s="59"/>
      <c r="L102" s="59"/>
      <c r="M102" s="59"/>
      <c r="N102" s="59"/>
      <c r="O102" s="59"/>
      <c r="P102" s="59"/>
      <c r="Q102" s="59"/>
      <c r="R102" s="59"/>
      <c r="S102" s="59"/>
      <c r="T102" s="59"/>
      <c r="U102" s="59"/>
      <c r="V102" s="59"/>
      <c r="W102" s="59"/>
    </row>
    <row r="104" spans="1:23">
      <c r="M104" s="68">
        <v>2018</v>
      </c>
      <c r="N104" s="50">
        <v>2019</v>
      </c>
      <c r="O104" s="50">
        <v>2020</v>
      </c>
      <c r="P104" s="50">
        <v>2021</v>
      </c>
      <c r="Q104" s="50">
        <v>2022</v>
      </c>
      <c r="R104" s="112">
        <v>2023</v>
      </c>
      <c r="S104" s="50">
        <v>2024</v>
      </c>
      <c r="T104" s="50">
        <v>2025</v>
      </c>
      <c r="U104" s="50">
        <v>2026</v>
      </c>
      <c r="V104" s="50">
        <v>2027</v>
      </c>
      <c r="W104" s="50">
        <v>2028</v>
      </c>
    </row>
    <row r="105" spans="1:23">
      <c r="A105" s="25" t="s">
        <v>341</v>
      </c>
      <c r="M105" s="76">
        <v>13426</v>
      </c>
      <c r="N105" s="76">
        <v>16861</v>
      </c>
      <c r="O105" s="76">
        <v>40141</v>
      </c>
      <c r="P105" s="76">
        <v>61053</v>
      </c>
      <c r="Q105" s="76">
        <v>63645</v>
      </c>
      <c r="R105" s="76">
        <f t="shared" ref="R105:W105" si="14">Q105*$R$106</f>
        <v>70009.5</v>
      </c>
      <c r="S105" s="76">
        <f t="shared" si="14"/>
        <v>77010.450000000012</v>
      </c>
      <c r="T105" s="76">
        <f t="shared" si="14"/>
        <v>84711.495000000024</v>
      </c>
      <c r="U105" s="76">
        <f t="shared" si="14"/>
        <v>93182.644500000039</v>
      </c>
      <c r="V105" s="76">
        <f t="shared" si="14"/>
        <v>102500.90895000006</v>
      </c>
      <c r="W105" s="76">
        <f t="shared" si="14"/>
        <v>112750.99984500007</v>
      </c>
    </row>
    <row r="106" spans="1:23">
      <c r="A106" s="25" t="s">
        <v>350</v>
      </c>
      <c r="N106" s="119">
        <f>N105/M105</f>
        <v>1.2558468642931626</v>
      </c>
      <c r="O106" s="119">
        <f>O105/N105</f>
        <v>2.3807010260364154</v>
      </c>
      <c r="P106" s="119">
        <f>P105/O105</f>
        <v>1.5209636032983733</v>
      </c>
      <c r="Q106" s="119">
        <f>Q105/P105</f>
        <v>1.0424549162203331</v>
      </c>
      <c r="R106" s="120">
        <v>1.1000000000000001</v>
      </c>
    </row>
    <row r="107" spans="1:23">
      <c r="A107" s="25" t="str">
        <f>"Ethernet transceivers % of total capex: "&amp;$A$39</f>
        <v>Ethernet transceivers % of total capex: Amazon</v>
      </c>
      <c r="M107" s="111">
        <f t="shared" ref="M107:R107" si="15">M93/M105</f>
        <v>1.1227639431595564E-2</v>
      </c>
      <c r="N107" s="111">
        <f t="shared" si="15"/>
        <v>1.0312682159908359E-2</v>
      </c>
      <c r="O107" s="111">
        <f t="shared" si="15"/>
        <v>0</v>
      </c>
      <c r="P107" s="111">
        <f t="shared" si="15"/>
        <v>0</v>
      </c>
      <c r="Q107" s="111">
        <f t="shared" si="15"/>
        <v>0</v>
      </c>
      <c r="R107" s="111">
        <f t="shared" si="15"/>
        <v>0</v>
      </c>
      <c r="S107" s="111">
        <f t="shared" ref="S107:W107" si="16">S93/S105</f>
        <v>0</v>
      </c>
      <c r="T107" s="111">
        <f t="shared" si="16"/>
        <v>0</v>
      </c>
      <c r="U107" s="111">
        <f t="shared" si="16"/>
        <v>0</v>
      </c>
      <c r="V107" s="111">
        <f t="shared" si="16"/>
        <v>0</v>
      </c>
      <c r="W107" s="111">
        <f t="shared" si="16"/>
        <v>0</v>
      </c>
    </row>
    <row r="108" spans="1:23">
      <c r="A108" s="25" t="str">
        <f>"DWDM transceivers % of total capex: "&amp;$A$39</f>
        <v>DWDM transceivers % of total capex: Amazon</v>
      </c>
      <c r="M108" s="111">
        <f>M101/M105</f>
        <v>1.48248452206057E-2</v>
      </c>
      <c r="N108" s="111">
        <f t="shared" ref="N108:W108" si="17">N101/N105</f>
        <v>1.4290892697049837E-2</v>
      </c>
      <c r="O108" s="111">
        <f t="shared" si="17"/>
        <v>0</v>
      </c>
      <c r="P108" s="111">
        <f t="shared" si="17"/>
        <v>0</v>
      </c>
      <c r="Q108" s="111">
        <f t="shared" si="17"/>
        <v>0</v>
      </c>
      <c r="R108" s="111">
        <f t="shared" si="17"/>
        <v>0</v>
      </c>
      <c r="S108" s="111">
        <f t="shared" si="17"/>
        <v>0</v>
      </c>
      <c r="T108" s="111">
        <f t="shared" si="17"/>
        <v>0</v>
      </c>
      <c r="U108" s="111">
        <f t="shared" si="17"/>
        <v>0</v>
      </c>
      <c r="V108" s="111">
        <f t="shared" si="17"/>
        <v>0</v>
      </c>
      <c r="W108" s="111">
        <f t="shared" si="17"/>
        <v>0</v>
      </c>
    </row>
    <row r="109" spans="1:23">
      <c r="A109" s="25" t="str">
        <f>"Ethernet&amp;DWDM transceivers % of total capex: "&amp;$A$39</f>
        <v>Ethernet&amp;DWDM transceivers % of total capex: Amazon</v>
      </c>
      <c r="M109" s="111">
        <f>M108+M107</f>
        <v>2.6052484652201266E-2</v>
      </c>
      <c r="N109" s="111">
        <f t="shared" ref="N109:W109" si="18">N108+N107</f>
        <v>2.4603574856958195E-2</v>
      </c>
      <c r="O109" s="111">
        <f t="shared" si="18"/>
        <v>0</v>
      </c>
      <c r="P109" s="111">
        <f t="shared" si="18"/>
        <v>0</v>
      </c>
      <c r="Q109" s="111">
        <f t="shared" si="18"/>
        <v>0</v>
      </c>
      <c r="R109" s="111">
        <f t="shared" si="18"/>
        <v>0</v>
      </c>
      <c r="S109" s="111">
        <f t="shared" si="18"/>
        <v>0</v>
      </c>
      <c r="T109" s="111">
        <f t="shared" si="18"/>
        <v>0</v>
      </c>
      <c r="U109" s="111">
        <f t="shared" si="18"/>
        <v>0</v>
      </c>
      <c r="V109" s="111">
        <f t="shared" si="18"/>
        <v>0</v>
      </c>
      <c r="W109" s="111">
        <f t="shared" si="18"/>
        <v>0</v>
      </c>
    </row>
    <row r="110" spans="1:23">
      <c r="M110" s="111"/>
      <c r="N110" s="111"/>
      <c r="O110" s="111"/>
      <c r="P110" s="111"/>
      <c r="Q110" s="111"/>
      <c r="R110" s="111"/>
      <c r="S110" s="111"/>
      <c r="T110" s="111"/>
      <c r="U110" s="111"/>
      <c r="V110" s="111"/>
      <c r="W110" s="111"/>
    </row>
    <row r="111" spans="1:23">
      <c r="A111" t="s">
        <v>275</v>
      </c>
    </row>
    <row r="112" spans="1:23">
      <c r="A112" s="40" t="s">
        <v>213</v>
      </c>
      <c r="B112" s="17">
        <v>2018</v>
      </c>
      <c r="C112" s="17">
        <v>2019</v>
      </c>
      <c r="D112" s="17">
        <v>2020</v>
      </c>
      <c r="E112" s="17">
        <v>2021</v>
      </c>
      <c r="F112" s="17">
        <v>2022</v>
      </c>
      <c r="G112" s="17">
        <v>2023</v>
      </c>
      <c r="H112" s="17">
        <v>2024</v>
      </c>
      <c r="I112" s="17">
        <v>2025</v>
      </c>
      <c r="J112" s="17">
        <v>2026</v>
      </c>
      <c r="K112" s="17">
        <v>2027</v>
      </c>
      <c r="L112" s="17">
        <v>2028</v>
      </c>
    </row>
    <row r="113" spans="1:12">
      <c r="A113" s="25" t="s">
        <v>250</v>
      </c>
      <c r="B113" s="32">
        <f t="shared" ref="B113:L113" si="19">SUMPRODUCT(B41:B63,$X$41:$X$63)/10^6</f>
        <v>58.453489826763111</v>
      </c>
      <c r="C113" s="32">
        <f t="shared" si="19"/>
        <v>89.222024698845388</v>
      </c>
      <c r="D113" s="32">
        <f t="shared" si="19"/>
        <v>0</v>
      </c>
      <c r="E113" s="32">
        <f t="shared" si="19"/>
        <v>0</v>
      </c>
      <c r="F113" s="32">
        <f t="shared" si="19"/>
        <v>0</v>
      </c>
      <c r="G113" s="32">
        <f t="shared" si="19"/>
        <v>0</v>
      </c>
      <c r="H113" s="32">
        <f t="shared" si="19"/>
        <v>0</v>
      </c>
      <c r="I113" s="32">
        <f t="shared" si="19"/>
        <v>0</v>
      </c>
      <c r="J113" s="32">
        <f t="shared" si="19"/>
        <v>0</v>
      </c>
      <c r="K113" s="32">
        <f t="shared" si="19"/>
        <v>0</v>
      </c>
      <c r="L113" s="32">
        <f t="shared" si="19"/>
        <v>0</v>
      </c>
    </row>
    <row r="114" spans="1:12">
      <c r="A114" s="25" t="s">
        <v>251</v>
      </c>
      <c r="B114" s="54">
        <f>B113+136.3</f>
        <v>194.75348982676311</v>
      </c>
      <c r="C114" s="29">
        <f>B114+C113</f>
        <v>283.9755145256085</v>
      </c>
      <c r="D114" s="29">
        <f>C114+D113</f>
        <v>283.9755145256085</v>
      </c>
      <c r="E114" s="29">
        <f t="shared" ref="E114:L114" si="20">D114+E113</f>
        <v>283.9755145256085</v>
      </c>
      <c r="F114" s="29">
        <f t="shared" si="20"/>
        <v>283.9755145256085</v>
      </c>
      <c r="G114" s="29">
        <f t="shared" si="20"/>
        <v>283.9755145256085</v>
      </c>
      <c r="H114" s="29">
        <f t="shared" si="20"/>
        <v>283.9755145256085</v>
      </c>
      <c r="I114" s="29">
        <f t="shared" si="20"/>
        <v>283.9755145256085</v>
      </c>
      <c r="J114" s="29">
        <f t="shared" si="20"/>
        <v>283.9755145256085</v>
      </c>
      <c r="K114" s="29">
        <f t="shared" si="20"/>
        <v>283.9755145256085</v>
      </c>
      <c r="L114" s="29">
        <f t="shared" si="20"/>
        <v>283.9755145256085</v>
      </c>
    </row>
    <row r="115" spans="1:12">
      <c r="A115" s="25" t="s">
        <v>252</v>
      </c>
      <c r="B115" s="26"/>
      <c r="C115" s="31">
        <f>C114/B114-1</f>
        <v>0.45812798927613607</v>
      </c>
      <c r="D115" s="31">
        <f t="shared" ref="D115:L115" si="21">D114/C114-1</f>
        <v>0</v>
      </c>
      <c r="E115" s="31">
        <f t="shared" si="21"/>
        <v>0</v>
      </c>
      <c r="F115" s="31">
        <f t="shared" si="21"/>
        <v>0</v>
      </c>
      <c r="G115" s="31">
        <f t="shared" si="21"/>
        <v>0</v>
      </c>
      <c r="H115" s="31">
        <f t="shared" si="21"/>
        <v>0</v>
      </c>
      <c r="I115" s="31">
        <f t="shared" si="21"/>
        <v>0</v>
      </c>
      <c r="J115" s="31">
        <f t="shared" si="21"/>
        <v>0</v>
      </c>
      <c r="K115" s="31">
        <f t="shared" si="21"/>
        <v>0</v>
      </c>
      <c r="L115" s="31">
        <f t="shared" si="21"/>
        <v>0</v>
      </c>
    </row>
    <row r="117" spans="1:12">
      <c r="A117" s="40" t="s">
        <v>214</v>
      </c>
      <c r="B117" s="17">
        <v>2018</v>
      </c>
      <c r="C117" s="17">
        <v>2019</v>
      </c>
      <c r="D117" s="17">
        <v>2020</v>
      </c>
      <c r="E117" s="17">
        <v>2021</v>
      </c>
      <c r="F117" s="17">
        <v>2022</v>
      </c>
      <c r="G117" s="17">
        <v>2023</v>
      </c>
      <c r="H117" s="17">
        <v>2024</v>
      </c>
      <c r="I117" s="17">
        <v>2025</v>
      </c>
      <c r="J117" s="17">
        <v>2026</v>
      </c>
      <c r="K117" s="17">
        <v>2027</v>
      </c>
      <c r="L117" s="17">
        <v>2028</v>
      </c>
    </row>
    <row r="118" spans="1:12">
      <c r="A118" s="25" t="s">
        <v>250</v>
      </c>
      <c r="B118" s="32">
        <f t="shared" ref="B118:L118" si="22">SUMPRODUCT(B64:B82,$X$64:$X$82)/10^6</f>
        <v>5.3820852205627956</v>
      </c>
      <c r="C118" s="32">
        <f t="shared" si="22"/>
        <v>8.0431899794417809</v>
      </c>
      <c r="D118" s="32">
        <f t="shared" si="22"/>
        <v>0</v>
      </c>
      <c r="E118" s="32">
        <f t="shared" si="22"/>
        <v>0</v>
      </c>
      <c r="F118" s="32">
        <f t="shared" si="22"/>
        <v>0</v>
      </c>
      <c r="G118" s="32">
        <f t="shared" si="22"/>
        <v>0</v>
      </c>
      <c r="H118" s="32">
        <f t="shared" si="22"/>
        <v>0</v>
      </c>
      <c r="I118" s="32">
        <f t="shared" si="22"/>
        <v>0</v>
      </c>
      <c r="J118" s="32">
        <f t="shared" si="22"/>
        <v>0</v>
      </c>
      <c r="K118" s="32">
        <f t="shared" si="22"/>
        <v>0</v>
      </c>
      <c r="L118" s="32">
        <f t="shared" si="22"/>
        <v>0</v>
      </c>
    </row>
    <row r="119" spans="1:12">
      <c r="A119" s="25" t="s">
        <v>251</v>
      </c>
      <c r="B119" s="54">
        <f>B118+8.8</f>
        <v>14.182085220562797</v>
      </c>
      <c r="C119" s="29">
        <f>B119+C118</f>
        <v>22.225275200004578</v>
      </c>
      <c r="D119" s="29">
        <f>C119+D118</f>
        <v>22.225275200004578</v>
      </c>
      <c r="E119" s="29">
        <f t="shared" ref="E119" si="23">D119+E118</f>
        <v>22.225275200004578</v>
      </c>
      <c r="F119" s="29">
        <f t="shared" ref="F119" si="24">E119+F118</f>
        <v>22.225275200004578</v>
      </c>
      <c r="G119" s="29">
        <f t="shared" ref="G119" si="25">F119+G118</f>
        <v>22.225275200004578</v>
      </c>
      <c r="H119" s="29">
        <f t="shared" ref="H119" si="26">G119+H118</f>
        <v>22.225275200004578</v>
      </c>
      <c r="I119" s="29">
        <f t="shared" ref="I119" si="27">H119+I118</f>
        <v>22.225275200004578</v>
      </c>
      <c r="J119" s="29">
        <f t="shared" ref="J119" si="28">I119+J118</f>
        <v>22.225275200004578</v>
      </c>
      <c r="K119" s="29">
        <f t="shared" ref="K119" si="29">J119+K118</f>
        <v>22.225275200004578</v>
      </c>
      <c r="L119" s="29">
        <f t="shared" ref="L119" si="30">K119+L118</f>
        <v>22.225275200004578</v>
      </c>
    </row>
    <row r="120" spans="1:12">
      <c r="A120" s="25" t="s">
        <v>252</v>
      </c>
      <c r="B120" s="26"/>
      <c r="C120" s="31">
        <f>C119/B119-1</f>
        <v>0.56713733237054953</v>
      </c>
      <c r="D120" s="31">
        <f t="shared" ref="D120" si="31">D119/C119-1</f>
        <v>0</v>
      </c>
      <c r="E120" s="31">
        <f t="shared" ref="E120" si="32">E119/D119-1</f>
        <v>0</v>
      </c>
      <c r="F120" s="31">
        <f t="shared" ref="F120" si="33">F119/E119-1</f>
        <v>0</v>
      </c>
      <c r="G120" s="31">
        <f t="shared" ref="G120" si="34">G119/F119-1</f>
        <v>0</v>
      </c>
      <c r="H120" s="31">
        <f t="shared" ref="H120" si="35">H119/G119-1</f>
        <v>0</v>
      </c>
      <c r="I120" s="31">
        <f t="shared" ref="I120" si="36">I119/H119-1</f>
        <v>0</v>
      </c>
      <c r="J120" s="31">
        <f t="shared" ref="J120" si="37">J119/I119-1</f>
        <v>0</v>
      </c>
      <c r="K120" s="31">
        <f t="shared" ref="K120" si="38">K119/J119-1</f>
        <v>0</v>
      </c>
      <c r="L120" s="31">
        <f t="shared" ref="L120" si="39">L119/K119-1</f>
        <v>0</v>
      </c>
    </row>
  </sheetData>
  <mergeCells count="2">
    <mergeCell ref="B39:L39"/>
    <mergeCell ref="M39:W39"/>
  </mergeCells>
  <dataValidations count="1">
    <dataValidation type="list" allowBlank="1" showInputMessage="1" showErrorMessage="1" sqref="A41:A82" xr:uid="{00000000-0002-0000-0600-000000000000}">
      <formula1>INDIRECT("Products[LookupCodes]")</formula1>
    </dataValidation>
  </dataValidations>
  <pageMargins left="0.7" right="0.7" top="0.75" bottom="0.75" header="0.3" footer="0.3"/>
  <pageSetup paperSize="9" orientation="portrait" horizontalDpi="0" verticalDpi="0" r:id="rId1"/>
  <ignoredErrors>
    <ignoredError sqref="W48 T44" calculatedColumn="1"/>
  </ignoredErrors>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J107"/>
  <sheetViews>
    <sheetView zoomScale="50" zoomScaleNormal="50" workbookViewId="0">
      <pane xSplit="1" topLeftCell="B1" activePane="topRight" state="frozen"/>
      <selection activeCell="AS8" sqref="AS8"/>
      <selection pane="topRight" activeCell="A5" sqref="A5"/>
    </sheetView>
  </sheetViews>
  <sheetFormatPr defaultColWidth="8.5" defaultRowHeight="15.75"/>
  <cols>
    <col min="1" max="1" width="35.5" bestFit="1" customWidth="1"/>
    <col min="7" max="12" width="9.1875" customWidth="1"/>
    <col min="18" max="18" width="9.1875" bestFit="1" customWidth="1"/>
    <col min="19" max="23" width="8.5" bestFit="1"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Microsoft</v>
      </c>
    </row>
    <row r="5" spans="1:36" s="1" customFormat="1" ht="14.25">
      <c r="A5" s="19"/>
    </row>
    <row r="8" spans="1:36">
      <c r="B8" s="163" t="str">
        <f>"Ethernet transceivers consumed annually by "&amp;A39</f>
        <v>Ethernet transceivers consumed annually by Microsoft</v>
      </c>
      <c r="C8" s="163"/>
      <c r="D8" s="163"/>
      <c r="E8" s="163"/>
      <c r="F8" s="163"/>
      <c r="G8" s="163"/>
      <c r="H8" s="163"/>
      <c r="I8" s="163"/>
      <c r="J8" s="163" t="str">
        <f>"DWDM transceivers consumed annually by "&amp;A39</f>
        <v>DWDM transceivers consumed annually by Microsoft</v>
      </c>
      <c r="K8" s="163"/>
      <c r="L8" s="163"/>
      <c r="M8" s="163"/>
      <c r="N8" s="163"/>
      <c r="O8" s="163"/>
      <c r="Q8" s="163"/>
      <c r="R8" s="163" t="str">
        <f>"Annual spending on Ethernet transceivers by "&amp;A39</f>
        <v>Annual spending on Ethernet transceivers by Microsoft</v>
      </c>
      <c r="S8" s="163"/>
      <c r="T8" s="163"/>
      <c r="U8" s="163"/>
      <c r="V8" s="163"/>
      <c r="W8" s="163"/>
      <c r="Y8" s="163"/>
      <c r="Z8" s="163" t="str">
        <f>"Annual spending on DWDM transceivers by "&amp;A39</f>
        <v>Annual spending on DWDM transceivers by Microsoft</v>
      </c>
      <c r="AA8" s="163"/>
      <c r="AB8" s="163"/>
      <c r="AC8" s="163"/>
      <c r="AD8" s="163"/>
      <c r="AE8" s="163"/>
      <c r="AF8" s="163"/>
      <c r="AG8" s="163"/>
      <c r="AH8" s="163"/>
      <c r="AI8" s="163"/>
      <c r="AJ8" s="163"/>
    </row>
    <row r="39" spans="1:24">
      <c r="A39" s="12" t="s">
        <v>147</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27" t="s">
        <v>253</v>
      </c>
    </row>
    <row r="41" spans="1:24" s="1" customFormat="1" ht="13.15">
      <c r="A41" s="14" t="s">
        <v>155</v>
      </c>
      <c r="B41" s="8">
        <v>174636.82757425215</v>
      </c>
      <c r="C41" s="8">
        <v>298666.68700284621</v>
      </c>
      <c r="D41" s="8"/>
      <c r="E41" s="8"/>
      <c r="F41" s="8"/>
      <c r="G41" s="8"/>
      <c r="H41" s="8"/>
      <c r="I41" s="8"/>
      <c r="J41" s="8"/>
      <c r="K41" s="8"/>
      <c r="L41" s="8"/>
      <c r="M41" s="62" cm="1">
        <f t="array" ref="M41">INDEX(tblPrices[cv_2018], MATCH(tblMicrosoftUnits[[#This Row],[Products]],tblPrices[Products],0), 0)* tblMicrosoftUnits[[#This Row],[cv_2018]]/10^6</f>
        <v>2.2481207473501303</v>
      </c>
      <c r="N41" s="62" cm="1">
        <f t="array" ref="N41">INDEX(tblPrices[cv_2019], MATCH(tblMicrosoftUnits[[#This Row],[Products]],tblPrices[Products],0), 0)* tblMicrosoftUnits[[#This Row],[cv_2019]]/10^6</f>
        <v>3.554703754283167</v>
      </c>
      <c r="O41" s="62" cm="1">
        <f t="array" ref="O41">INDEX(tblPrices[cv_2020], MATCH(tblMicrosoftUnits[[#This Row],[Products]],tblPrices[Products],0), 0)* tblMicrosoftUnits[[#This Row],[cv_2020]]/10^6</f>
        <v>0</v>
      </c>
      <c r="P41" s="62" cm="1">
        <f t="array" ref="P41">INDEX(tblPrices[cv_2021], MATCH(tblMicrosoftUnits[[#This Row],[Products]],tblPrices[Products],0), 0)* tblMicrosoftUnits[[#This Row],[cv_2021]]/10^6</f>
        <v>0</v>
      </c>
      <c r="Q41" s="62" cm="1">
        <f t="array" ref="Q41">INDEX(tblPrices[cv_2022], MATCH(tblMicrosoftUnits[[#This Row],[Products]],tblPrices[Products],0), 0)* tblMicrosoftUnits[[#This Row],[cv_2022]]/10^6</f>
        <v>0</v>
      </c>
      <c r="R41" s="62" cm="1">
        <f t="array" ref="R41">INDEX(tblPrices[cv_2023], MATCH(tblMicrosoftUnits[[#This Row],[Products]],tblPrices[Products],0), 0)* tblMicrosoftUnits[[#This Row],[cv_2023]]/10^6</f>
        <v>0</v>
      </c>
      <c r="S41" s="62" cm="1">
        <f t="array" ref="S41">INDEX(tblPrices[cv_2024], MATCH(tblMicrosoftUnits[[#This Row],[Products]],tblPrices[Products],0), 0)* tblMicrosoftUnits[[#This Row],[cv_2024]]/10^6</f>
        <v>0</v>
      </c>
      <c r="T41" s="62" cm="1">
        <f t="array" ref="T41">INDEX(tblPrices[cv_2025], MATCH(tblMicrosoftUnits[[#This Row],[Products]],tblPrices[Products],0), 0)* tblMicrosoftUnits[[#This Row],[cv_2025]]/10^6</f>
        <v>0</v>
      </c>
      <c r="U41" s="62" cm="1">
        <f t="array" ref="U41">INDEX(tblPrices[cv_2026], MATCH(tblMicrosoftUnits[[#This Row],[Products]],tblPrices[Products],0), 0)* tblMicrosoftUnits[[#This Row],[cv_2026]]/10^6</f>
        <v>0</v>
      </c>
      <c r="V41" s="62" cm="1">
        <f t="array" ref="V41">INDEX(tblPrices[cv_2027], MATCH(tblMicrosoftUnits[[#This Row],[Products]],tblPrices[Products],0), 0)* tblMicrosoftUnits[[#This Row],[cv_2027]]/10^6</f>
        <v>0</v>
      </c>
      <c r="W41" s="62" cm="1">
        <f t="array" ref="W41">INDEX(tblPrices[cv_2028], MATCH(tblMicrosoftUnits[[#This Row],[Products]],tblPrices[Products],0), 0)* tblMicrosoftUnits[[#This Row],[cv_2028]]/10^6</f>
        <v>0</v>
      </c>
      <c r="X41" s="1">
        <f>VLOOKUP(A41,Products!$A$11:$F$110,6,FALSE)</f>
        <v>10</v>
      </c>
    </row>
    <row r="42" spans="1:24" s="1" customFormat="1" ht="13.15">
      <c r="A42" s="16" t="s">
        <v>158</v>
      </c>
      <c r="B42" s="36">
        <v>27086.588076577929</v>
      </c>
      <c r="C42" s="36">
        <v>46323.914808877737</v>
      </c>
      <c r="D42" s="36"/>
      <c r="E42" s="36"/>
      <c r="F42" s="36"/>
      <c r="G42" s="36"/>
      <c r="H42" s="36"/>
      <c r="I42" s="36"/>
      <c r="J42" s="36"/>
      <c r="K42" s="36"/>
      <c r="L42" s="36"/>
      <c r="M42" s="144" cm="1">
        <f t="array" ref="M42">INDEX(tblPrices[cv_2018], MATCH(tblMicrosoftUnits[[#This Row],[Products]],tblPrices[Products],0), 0)* tblMicrosoftUnits[[#This Row],[cv_2018]]/10^6</f>
        <v>0.65480518535821564</v>
      </c>
      <c r="N42" s="144" cm="1">
        <f t="array" ref="N42">INDEX(tblPrices[cv_2019], MATCH(tblMicrosoftUnits[[#This Row],[Products]],tblPrices[Products],0), 0)* tblMicrosoftUnits[[#This Row],[cv_2019]]/10^6</f>
        <v>1.00185670495641</v>
      </c>
      <c r="O42" s="144" cm="1">
        <f t="array" ref="O42">INDEX(tblPrices[cv_2020], MATCH(tblMicrosoftUnits[[#This Row],[Products]],tblPrices[Products],0), 0)* tblMicrosoftUnits[[#This Row],[cv_2020]]/10^6</f>
        <v>0</v>
      </c>
      <c r="P42" s="144" cm="1">
        <f t="array" ref="P42">INDEX(tblPrices[cv_2021], MATCH(tblMicrosoftUnits[[#This Row],[Products]],tblPrices[Products],0), 0)* tblMicrosoftUnits[[#This Row],[cv_2021]]/10^6</f>
        <v>0</v>
      </c>
      <c r="Q42" s="144" cm="1">
        <f t="array" ref="Q42">INDEX(tblPrices[cv_2022], MATCH(tblMicrosoftUnits[[#This Row],[Products]],tblPrices[Products],0), 0)* tblMicrosoftUnits[[#This Row],[cv_2022]]/10^6</f>
        <v>0</v>
      </c>
      <c r="R42" s="144" cm="1">
        <f t="array" ref="R42">INDEX(tblPrices[cv_2023], MATCH(tblMicrosoftUnits[[#This Row],[Products]],tblPrices[Products],0), 0)* tblMicrosoftUnits[[#This Row],[cv_2023]]/10^6</f>
        <v>0</v>
      </c>
      <c r="S42" s="144" cm="1">
        <f t="array" ref="S42">INDEX(tblPrices[cv_2024], MATCH(tblMicrosoftUnits[[#This Row],[Products]],tblPrices[Products],0), 0)* tblMicrosoftUnits[[#This Row],[cv_2024]]/10^6</f>
        <v>0</v>
      </c>
      <c r="T42" s="144" cm="1">
        <f t="array" ref="T42">INDEX(tblPrices[cv_2025], MATCH(tblMicrosoftUnits[[#This Row],[Products]],tblPrices[Products],0), 0)* tblMicrosoftUnits[[#This Row],[cv_2025]]/10^6</f>
        <v>0</v>
      </c>
      <c r="U42" s="144" cm="1">
        <f t="array" ref="U42">INDEX(tblPrices[cv_2026], MATCH(tblMicrosoftUnits[[#This Row],[Products]],tblPrices[Products],0), 0)* tblMicrosoftUnits[[#This Row],[cv_2026]]/10^6</f>
        <v>0</v>
      </c>
      <c r="V42" s="144" cm="1">
        <f t="array" ref="V42">INDEX(tblPrices[cv_2027], MATCH(tblMicrosoftUnits[[#This Row],[Products]],tblPrices[Products],0), 0)* tblMicrosoftUnits[[#This Row],[cv_2027]]/10^6</f>
        <v>0</v>
      </c>
      <c r="W42" s="144" cm="1">
        <f t="array" ref="W42">INDEX(tblPrices[cv_2028], MATCH(tblMicrosoftUnits[[#This Row],[Products]],tblPrices[Products],0), 0)* tblMicrosoftUnits[[#This Row],[cv_2028]]/10^6</f>
        <v>0</v>
      </c>
      <c r="X42" s="1">
        <f>VLOOKUP(A42,Products!$A$11:$F$110,6,FALSE)</f>
        <v>10</v>
      </c>
    </row>
    <row r="43" spans="1:24" s="1" customFormat="1" ht="13.15">
      <c r="A43" s="16" t="s">
        <v>159</v>
      </c>
      <c r="B43" s="36">
        <v>808.4748237205639</v>
      </c>
      <c r="C43" s="36">
        <v>1382.6665342003248</v>
      </c>
      <c r="D43" s="36"/>
      <c r="E43" s="36"/>
      <c r="F43" s="36"/>
      <c r="G43" s="36"/>
      <c r="H43" s="36"/>
      <c r="I43" s="36"/>
      <c r="J43" s="36"/>
      <c r="K43" s="36"/>
      <c r="L43" s="36"/>
      <c r="M43" s="144" cm="1">
        <f t="array" ref="M43">INDEX(tblPrices[cv_2018], MATCH(tblMicrosoftUnits[[#This Row],[Products]],tblPrices[Products],0), 0)* tblMicrosoftUnits[[#This Row],[cv_2018]]/10^6</f>
        <v>9.6747677321453965E-2</v>
      </c>
      <c r="N43" s="144" cm="1">
        <f t="array" ref="N43">INDEX(tblPrices[cv_2019], MATCH(tblMicrosoftUnits[[#This Row],[Products]],tblPrices[Products],0), 0)* tblMicrosoftUnits[[#This Row],[cv_2019]]/10^6</f>
        <v>0.16522960197994219</v>
      </c>
      <c r="O43" s="144" cm="1">
        <f t="array" ref="O43">INDEX(tblPrices[cv_2020], MATCH(tblMicrosoftUnits[[#This Row],[Products]],tblPrices[Products],0), 0)* tblMicrosoftUnits[[#This Row],[cv_2020]]/10^6</f>
        <v>0</v>
      </c>
      <c r="P43" s="144" cm="1">
        <f t="array" ref="P43">INDEX(tblPrices[cv_2021], MATCH(tblMicrosoftUnits[[#This Row],[Products]],tblPrices[Products],0), 0)* tblMicrosoftUnits[[#This Row],[cv_2021]]/10^6</f>
        <v>0</v>
      </c>
      <c r="Q43" s="144" cm="1">
        <f t="array" ref="Q43">INDEX(tblPrices[cv_2022], MATCH(tblMicrosoftUnits[[#This Row],[Products]],tblPrices[Products],0), 0)* tblMicrosoftUnits[[#This Row],[cv_2022]]/10^6</f>
        <v>0</v>
      </c>
      <c r="R43" s="144" cm="1">
        <f t="array" ref="R43">INDEX(tblPrices[cv_2023], MATCH(tblMicrosoftUnits[[#This Row],[Products]],tblPrices[Products],0), 0)* tblMicrosoftUnits[[#This Row],[cv_2023]]/10^6</f>
        <v>0</v>
      </c>
      <c r="S43" s="144" cm="1">
        <f t="array" ref="S43">INDEX(tblPrices[cv_2024], MATCH(tblMicrosoftUnits[[#This Row],[Products]],tblPrices[Products],0), 0)* tblMicrosoftUnits[[#This Row],[cv_2024]]/10^6</f>
        <v>0</v>
      </c>
      <c r="T43" s="144" cm="1">
        <f t="array" ref="T43">INDEX(tblPrices[cv_2025], MATCH(tblMicrosoftUnits[[#This Row],[Products]],tblPrices[Products],0), 0)* tblMicrosoftUnits[[#This Row],[cv_2025]]/10^6</f>
        <v>0</v>
      </c>
      <c r="U43" s="144" cm="1">
        <f t="array" ref="U43">INDEX(tblPrices[cv_2026], MATCH(tblMicrosoftUnits[[#This Row],[Products]],tblPrices[Products],0), 0)* tblMicrosoftUnits[[#This Row],[cv_2026]]/10^6</f>
        <v>0</v>
      </c>
      <c r="V43" s="144" cm="1">
        <f t="array" ref="V43">INDEX(tblPrices[cv_2027], MATCH(tblMicrosoftUnits[[#This Row],[Products]],tblPrices[Products],0), 0)* tblMicrosoftUnits[[#This Row],[cv_2027]]/10^6</f>
        <v>0</v>
      </c>
      <c r="W43" s="144" cm="1">
        <f t="array" ref="W43">INDEX(tblPrices[cv_2028], MATCH(tblMicrosoftUnits[[#This Row],[Products]],tblPrices[Products],0), 0)* tblMicrosoftUnits[[#This Row],[cv_2028]]/10^6</f>
        <v>0</v>
      </c>
      <c r="X43" s="1">
        <f>VLOOKUP(A43,Products!$A$11:$F$110,6,FALSE)</f>
        <v>10</v>
      </c>
    </row>
    <row r="44" spans="1:24" s="1" customFormat="1" ht="13.15">
      <c r="A44" s="9" t="s">
        <v>168</v>
      </c>
      <c r="B44" s="8">
        <v>100541.6</v>
      </c>
      <c r="C44" s="8">
        <v>59580</v>
      </c>
      <c r="D44" s="8"/>
      <c r="E44" s="8"/>
      <c r="F44" s="8"/>
      <c r="G44" s="8"/>
      <c r="H44" s="8"/>
      <c r="I44" s="8"/>
      <c r="J44" s="8"/>
      <c r="K44" s="8"/>
      <c r="L44" s="8"/>
      <c r="M44" s="62" cm="1">
        <f t="array" ref="M44">INDEX(tblPrices[cv_2018], MATCH(tblMicrosoftUnits[[#This Row],[Products]],tblPrices[Products],0), 0)* tblMicrosoftUnits[[#This Row],[cv_2018]]/10^6</f>
        <v>25.311430000000001</v>
      </c>
      <c r="N44" s="62" cm="1">
        <f t="array" ref="N44">INDEX(tblPrices[cv_2019], MATCH(tblMicrosoftUnits[[#This Row],[Products]],tblPrices[Products],0), 0)* tblMicrosoftUnits[[#This Row],[cv_2019]]/10^6</f>
        <v>13.649742839999998</v>
      </c>
      <c r="O44" s="62" cm="1">
        <f t="array" ref="O44">INDEX(tblPrices[cv_2020], MATCH(tblMicrosoftUnits[[#This Row],[Products]],tblPrices[Products],0), 0)* tblMicrosoftUnits[[#This Row],[cv_2020]]/10^6</f>
        <v>0</v>
      </c>
      <c r="P44" s="62" cm="1">
        <f t="array" ref="P44">INDEX(tblPrices[cv_2021], MATCH(tblMicrosoftUnits[[#This Row],[Products]],tblPrices[Products],0), 0)* tblMicrosoftUnits[[#This Row],[cv_2021]]/10^6</f>
        <v>0</v>
      </c>
      <c r="Q44" s="62" cm="1">
        <f t="array" ref="Q44">INDEX(tblPrices[cv_2022], MATCH(tblMicrosoftUnits[[#This Row],[Products]],tblPrices[Products],0), 0)* tblMicrosoftUnits[[#This Row],[cv_2022]]/10^6</f>
        <v>0</v>
      </c>
      <c r="R44" s="62" cm="1">
        <f t="array" ref="R44">INDEX(tblPrices[cv_2023], MATCH(tblMicrosoftUnits[[#This Row],[Products]],tblPrices[Products],0), 0)* tblMicrosoftUnits[[#This Row],[cv_2023]]/10^6</f>
        <v>0</v>
      </c>
      <c r="S44" s="62" cm="1">
        <f t="array" ref="S44">INDEX(tblPrices[cv_2024], MATCH(tblMicrosoftUnits[[#This Row],[Products]],tblPrices[Products],0), 0)* tblMicrosoftUnits[[#This Row],[cv_2024]]/10^6</f>
        <v>0</v>
      </c>
      <c r="T44" s="62" cm="1">
        <f t="array" ref="T44">INDEX(tblPrices[cv_2025], MATCH(tblMicrosoftUnits[[#This Row],[Products]],tblPrices[Products],0), 0)* tblMicrosoftUnits[[#This Row],[cv_2025]]/10^6</f>
        <v>0</v>
      </c>
      <c r="U44" s="62" cm="1">
        <f t="array" ref="U44">INDEX(tblPrices[cv_2026], MATCH(tblMicrosoftUnits[[#This Row],[Products]],tblPrices[Products],0), 0)* tblMicrosoftUnits[[#This Row],[cv_2026]]/10^6</f>
        <v>0</v>
      </c>
      <c r="V44" s="62" cm="1">
        <f t="array" ref="V44">INDEX(tblPrices[cv_2027], MATCH(tblMicrosoftUnits[[#This Row],[Products]],tblPrices[Products],0), 0)* tblMicrosoftUnits[[#This Row],[cv_2027]]/10^6</f>
        <v>0</v>
      </c>
      <c r="W44" s="62" cm="1">
        <f t="array" ref="W44">INDEX(tblPrices[cv_2028], MATCH(tblMicrosoftUnits[[#This Row],[Products]],tblPrices[Products],0), 0)* tblMicrosoftUnits[[#This Row],[cv_2028]]/10^6</f>
        <v>0</v>
      </c>
      <c r="X44" s="1">
        <f>VLOOKUP(A44,Products!$A$29:$F$110,6,FALSE)</f>
        <v>40</v>
      </c>
    </row>
    <row r="45" spans="1:24" s="1" customFormat="1" ht="13.15">
      <c r="A45" s="9" t="s">
        <v>43</v>
      </c>
      <c r="B45" s="8">
        <v>48859.544999999984</v>
      </c>
      <c r="C45" s="8">
        <v>190738.99999999997</v>
      </c>
      <c r="D45" s="8"/>
      <c r="E45" s="8"/>
      <c r="F45" s="8"/>
      <c r="G45" s="8"/>
      <c r="H45" s="8"/>
      <c r="I45" s="8"/>
      <c r="J45" s="8"/>
      <c r="K45" s="8"/>
      <c r="L45" s="8"/>
      <c r="M45" s="62" cm="1">
        <f t="array" ref="M45">INDEX(tblPrices[cv_2018], MATCH(tblMicrosoftUnits[[#This Row],[Products]],tblPrices[Products],0), 0)* tblMicrosoftUnits[[#This Row],[cv_2018]]/10^6</f>
        <v>9.1865881599999959</v>
      </c>
      <c r="N45" s="62" cm="1">
        <f t="array" ref="N45">INDEX(tblPrices[cv_2019], MATCH(tblMicrosoftUnits[[#This Row],[Products]],tblPrices[Products],0), 0)* tblMicrosoftUnits[[#This Row],[cv_2019]]/10^6</f>
        <v>30.519245742156603</v>
      </c>
      <c r="O45" s="62" cm="1">
        <f t="array" ref="O45">INDEX(tblPrices[cv_2020], MATCH(tblMicrosoftUnits[[#This Row],[Products]],tblPrices[Products],0), 0)* tblMicrosoftUnits[[#This Row],[cv_2020]]/10^6</f>
        <v>0</v>
      </c>
      <c r="P45" s="62" cm="1">
        <f t="array" ref="P45">INDEX(tblPrices[cv_2021], MATCH(tblMicrosoftUnits[[#This Row],[Products]],tblPrices[Products],0), 0)* tblMicrosoftUnits[[#This Row],[cv_2021]]/10^6</f>
        <v>0</v>
      </c>
      <c r="Q45" s="62" cm="1">
        <f t="array" ref="Q45">INDEX(tblPrices[cv_2022], MATCH(tblMicrosoftUnits[[#This Row],[Products]],tblPrices[Products],0), 0)* tblMicrosoftUnits[[#This Row],[cv_2022]]/10^6</f>
        <v>0</v>
      </c>
      <c r="R45" s="62" cm="1">
        <f t="array" ref="R45">INDEX(tblPrices[cv_2023], MATCH(tblMicrosoftUnits[[#This Row],[Products]],tblPrices[Products],0), 0)* tblMicrosoftUnits[[#This Row],[cv_2023]]/10^6</f>
        <v>0</v>
      </c>
      <c r="S45" s="62" cm="1">
        <f t="array" ref="S45">INDEX(tblPrices[cv_2024], MATCH(tblMicrosoftUnits[[#This Row],[Products]],tblPrices[Products],0), 0)* tblMicrosoftUnits[[#This Row],[cv_2024]]/10^6</f>
        <v>0</v>
      </c>
      <c r="T45" s="62" cm="1">
        <f t="array" ref="T45">INDEX(tblPrices[cv_2025], MATCH(tblMicrosoftUnits[[#This Row],[Products]],tblPrices[Products],0), 0)* tblMicrosoftUnits[[#This Row],[cv_2025]]/10^6</f>
        <v>0</v>
      </c>
      <c r="U45" s="62" cm="1">
        <f t="array" ref="U45">INDEX(tblPrices[cv_2026], MATCH(tblMicrosoftUnits[[#This Row],[Products]],tblPrices[Products],0), 0)* tblMicrosoftUnits[[#This Row],[cv_2026]]/10^6</f>
        <v>0</v>
      </c>
      <c r="V45" s="62" cm="1">
        <f t="array" ref="V45">INDEX(tblPrices[cv_2027], MATCH(tblMicrosoftUnits[[#This Row],[Products]],tblPrices[Products],0), 0)* tblMicrosoftUnits[[#This Row],[cv_2027]]/10^6</f>
        <v>0</v>
      </c>
      <c r="W45" s="62" cm="1">
        <f t="array" ref="W45">INDEX(tblPrices[cv_2028], MATCH(tblMicrosoftUnits[[#This Row],[Products]],tblPrices[Products],0), 0)* tblMicrosoftUnits[[#This Row],[cv_2028]]/10^6</f>
        <v>0</v>
      </c>
      <c r="X45" s="1">
        <f>VLOOKUP(A45,Products!$A$29:$F$110,6,FALSE)</f>
        <v>100</v>
      </c>
    </row>
    <row r="46" spans="1:24" s="1" customFormat="1" ht="13.15">
      <c r="A46" s="9" t="s">
        <v>339</v>
      </c>
      <c r="B46" s="8">
        <v>0</v>
      </c>
      <c r="C46" s="8">
        <v>0</v>
      </c>
      <c r="D46" s="8"/>
      <c r="E46" s="8"/>
      <c r="F46" s="8"/>
      <c r="G46" s="8"/>
      <c r="H46" s="8"/>
      <c r="I46" s="8"/>
      <c r="J46" s="8"/>
      <c r="K46" s="8"/>
      <c r="L46" s="8"/>
      <c r="M46" s="62" cm="1">
        <f t="array" ref="M46">INDEX(tblPrices[cv_2018], MATCH(tblMicrosoftUnits[[#This Row],[Products]],tblPrices[Products],0), 0)* tblMicrosoftUnits[[#This Row],[cv_2018]]/10^6</f>
        <v>0</v>
      </c>
      <c r="N46" s="62" cm="1">
        <f t="array" ref="N46">INDEX(tblPrices[cv_2019], MATCH(tblMicrosoftUnits[[#This Row],[Products]],tblPrices[Products],0), 0)* tblMicrosoftUnits[[#This Row],[cv_2019]]/10^6</f>
        <v>0</v>
      </c>
      <c r="O46" s="62" cm="1">
        <f t="array" ref="O46">INDEX(tblPrices[cv_2020], MATCH(tblMicrosoftUnits[[#This Row],[Products]],tblPrices[Products],0), 0)* tblMicrosoftUnits[[#This Row],[cv_2020]]/10^6</f>
        <v>0</v>
      </c>
      <c r="P46" s="62" cm="1">
        <f t="array" ref="P46">INDEX(tblPrices[cv_2021], MATCH(tblMicrosoftUnits[[#This Row],[Products]],tblPrices[Products],0), 0)* tblMicrosoftUnits[[#This Row],[cv_2021]]/10^6</f>
        <v>0</v>
      </c>
      <c r="Q46" s="62" cm="1">
        <f t="array" ref="Q46">INDEX(tblPrices[cv_2022], MATCH(tblMicrosoftUnits[[#This Row],[Products]],tblPrices[Products],0), 0)* tblMicrosoftUnits[[#This Row],[cv_2022]]/10^6</f>
        <v>0</v>
      </c>
      <c r="R46" s="62" cm="1">
        <f t="array" ref="R46">INDEX(tblPrices[cv_2023], MATCH(tblMicrosoftUnits[[#This Row],[Products]],tblPrices[Products],0), 0)* tblMicrosoftUnits[[#This Row],[cv_2023]]/10^6</f>
        <v>0</v>
      </c>
      <c r="S46" s="62" cm="1">
        <f t="array" ref="S46">INDEX(tblPrices[cv_2024], MATCH(tblMicrosoftUnits[[#This Row],[Products]],tblPrices[Products],0), 0)* tblMicrosoftUnits[[#This Row],[cv_2024]]/10^6</f>
        <v>0</v>
      </c>
      <c r="T46" s="62" cm="1">
        <f t="array" ref="T46">INDEX(tblPrices[cv_2025], MATCH(tblMicrosoftUnits[[#This Row],[Products]],tblPrices[Products],0), 0)* tblMicrosoftUnits[[#This Row],[cv_2025]]/10^6</f>
        <v>0</v>
      </c>
      <c r="U46" s="62" cm="1">
        <f t="array" ref="U46">INDEX(tblPrices[cv_2026], MATCH(tblMicrosoftUnits[[#This Row],[Products]],tblPrices[Products],0), 0)* tblMicrosoftUnits[[#This Row],[cv_2026]]/10^6</f>
        <v>0</v>
      </c>
      <c r="V46" s="62" cm="1">
        <f t="array" ref="V46">INDEX(tblPrices[cv_2027], MATCH(tblMicrosoftUnits[[#This Row],[Products]],tblPrices[Products],0), 0)* tblMicrosoftUnits[[#This Row],[cv_2027]]/10^6</f>
        <v>0</v>
      </c>
      <c r="W46" s="62" cm="1">
        <f t="array" ref="W46">INDEX(tblPrices[cv_2028], MATCH(tblMicrosoftUnits[[#This Row],[Products]],tblPrices[Products],0), 0)* tblMicrosoftUnits[[#This Row],[cv_2028]]/10^6</f>
        <v>0</v>
      </c>
      <c r="X46" s="1">
        <f>VLOOKUP(A46,Products!$A$29:$F$110,6,FALSE)</f>
        <v>400</v>
      </c>
    </row>
    <row r="47" spans="1:24" s="1" customFormat="1" ht="13.15">
      <c r="A47" s="9" t="s">
        <v>11</v>
      </c>
      <c r="B47" s="8">
        <v>0</v>
      </c>
      <c r="C47" s="8">
        <v>0</v>
      </c>
      <c r="D47" s="8"/>
      <c r="E47" s="8"/>
      <c r="F47" s="8"/>
      <c r="G47" s="8"/>
      <c r="H47" s="8"/>
      <c r="I47" s="8"/>
      <c r="J47" s="8"/>
      <c r="K47" s="8"/>
      <c r="L47" s="8"/>
      <c r="M47" s="62" cm="1">
        <f t="array" ref="M47">INDEX(tblPrices[cv_2018], MATCH(tblMicrosoftUnits[[#This Row],[Products]],tblPrices[Products],0), 0)* tblMicrosoftUnits[[#This Row],[cv_2018]]/10^6</f>
        <v>0</v>
      </c>
      <c r="N47" s="62" cm="1">
        <f t="array" ref="N47">INDEX(tblPrices[cv_2019], MATCH(tblMicrosoftUnits[[#This Row],[Products]],tblPrices[Products],0), 0)* tblMicrosoftUnits[[#This Row],[cv_2019]]/10^6</f>
        <v>0</v>
      </c>
      <c r="O47" s="62" cm="1">
        <f t="array" ref="O47">INDEX(tblPrices[cv_2020], MATCH(tblMicrosoftUnits[[#This Row],[Products]],tblPrices[Products],0), 0)* tblMicrosoftUnits[[#This Row],[cv_2020]]/10^6</f>
        <v>0</v>
      </c>
      <c r="P47" s="62" cm="1">
        <f t="array" ref="P47">INDEX(tblPrices[cv_2021], MATCH(tblMicrosoftUnits[[#This Row],[Products]],tblPrices[Products],0), 0)* tblMicrosoftUnits[[#This Row],[cv_2021]]/10^6</f>
        <v>0</v>
      </c>
      <c r="Q47" s="62" cm="1">
        <f t="array" ref="Q47">INDEX(tblPrices[cv_2022], MATCH(tblMicrosoftUnits[[#This Row],[Products]],tblPrices[Products],0), 0)* tblMicrosoftUnits[[#This Row],[cv_2022]]/10^6</f>
        <v>0</v>
      </c>
      <c r="R47" s="62" cm="1">
        <f t="array" ref="R47">INDEX(tblPrices[cv_2023], MATCH(tblMicrosoftUnits[[#This Row],[Products]],tblPrices[Products],0), 0)* tblMicrosoftUnits[[#This Row],[cv_2023]]/10^6</f>
        <v>0</v>
      </c>
      <c r="S47" s="62" cm="1">
        <f t="array" ref="S47">INDEX(tblPrices[cv_2024], MATCH(tblMicrosoftUnits[[#This Row],[Products]],tblPrices[Products],0), 0)* tblMicrosoftUnits[[#This Row],[cv_2024]]/10^6</f>
        <v>0</v>
      </c>
      <c r="T47" s="62" cm="1">
        <f t="array" ref="T47">INDEX(tblPrices[cv_2025], MATCH(tblMicrosoftUnits[[#This Row],[Products]],tblPrices[Products],0), 0)* tblMicrosoftUnits[[#This Row],[cv_2025]]/10^6</f>
        <v>0</v>
      </c>
      <c r="U47" s="62" cm="1">
        <f t="array" ref="U47">INDEX(tblPrices[cv_2026], MATCH(tblMicrosoftUnits[[#This Row],[Products]],tblPrices[Products],0), 0)* tblMicrosoftUnits[[#This Row],[cv_2026]]/10^6</f>
        <v>0</v>
      </c>
      <c r="V47" s="62" cm="1">
        <f t="array" ref="V47">INDEX(tblPrices[cv_2027], MATCH(tblMicrosoftUnits[[#This Row],[Products]],tblPrices[Products],0), 0)* tblMicrosoftUnits[[#This Row],[cv_2027]]/10^6</f>
        <v>0</v>
      </c>
      <c r="W47" s="62" cm="1">
        <f t="array" ref="W47">INDEX(tblPrices[cv_2028], MATCH(tblMicrosoftUnits[[#This Row],[Products]],tblPrices[Products],0), 0)* tblMicrosoftUnits[[#This Row],[cv_2028]]/10^6</f>
        <v>0</v>
      </c>
      <c r="X47" s="1">
        <f>VLOOKUP(A47,Products!$A$29:$F$110,6,FALSE)</f>
        <v>400</v>
      </c>
    </row>
    <row r="48" spans="1:24" s="1" customFormat="1" ht="13.15">
      <c r="A48" s="9" t="s">
        <v>48</v>
      </c>
      <c r="B48" s="8"/>
      <c r="C48" s="8">
        <v>0</v>
      </c>
      <c r="D48" s="8"/>
      <c r="E48" s="8"/>
      <c r="F48" s="8"/>
      <c r="G48" s="8"/>
      <c r="H48" s="8"/>
      <c r="I48" s="8"/>
      <c r="J48" s="8"/>
      <c r="K48" s="8"/>
      <c r="L48" s="8"/>
      <c r="M48" s="62" cm="1">
        <f t="array" ref="M48">INDEX(tblPrices[cv_2018], MATCH(tblMicrosoftUnits[[#This Row],[Products]],tblPrices[Products],0), 0)* tblMicrosoftUnits[[#This Row],[cv_2018]]/10^6</f>
        <v>0</v>
      </c>
      <c r="N48" s="62" cm="1">
        <f t="array" ref="N48">INDEX(tblPrices[cv_2019], MATCH(tblMicrosoftUnits[[#This Row],[Products]],tblPrices[Products],0), 0)* tblMicrosoftUnits[[#This Row],[cv_2019]]/10^6</f>
        <v>0</v>
      </c>
      <c r="O48" s="62" cm="1">
        <f t="array" ref="O48">INDEX(tblPrices[cv_2020], MATCH(tblMicrosoftUnits[[#This Row],[Products]],tblPrices[Products],0), 0)* tblMicrosoftUnits[[#This Row],[cv_2020]]/10^6</f>
        <v>0</v>
      </c>
      <c r="P48" s="62" cm="1">
        <f t="array" ref="P48">INDEX(tblPrices[cv_2021], MATCH(tblMicrosoftUnits[[#This Row],[Products]],tblPrices[Products],0), 0)* tblMicrosoftUnits[[#This Row],[cv_2021]]/10^6</f>
        <v>0</v>
      </c>
      <c r="Q48" s="62" cm="1">
        <f t="array" ref="Q48">INDEX(tblPrices[cv_2022], MATCH(tblMicrosoftUnits[[#This Row],[Products]],tblPrices[Products],0), 0)* tblMicrosoftUnits[[#This Row],[cv_2022]]/10^6</f>
        <v>0</v>
      </c>
      <c r="R48" s="62" cm="1">
        <f t="array" ref="R48">INDEX(tblPrices[cv_2023], MATCH(tblMicrosoftUnits[[#This Row],[Products]],tblPrices[Products],0), 0)* tblMicrosoftUnits[[#This Row],[cv_2023]]/10^6</f>
        <v>0</v>
      </c>
      <c r="S48" s="62" cm="1">
        <f t="array" ref="S48">INDEX(tblPrices[cv_2024], MATCH(tblMicrosoftUnits[[#This Row],[Products]],tblPrices[Products],0), 0)* tblMicrosoftUnits[[#This Row],[cv_2024]]/10^6</f>
        <v>0</v>
      </c>
      <c r="T48" s="62" cm="1">
        <f t="array" ref="T48">INDEX(tblPrices[cv_2025], MATCH(tblMicrosoftUnits[[#This Row],[Products]],tblPrices[Products],0), 0)* tblMicrosoftUnits[[#This Row],[cv_2025]]/10^6</f>
        <v>0</v>
      </c>
      <c r="U48" s="62" cm="1">
        <f t="array" ref="U48">INDEX(tblPrices[cv_2026], MATCH(tblMicrosoftUnits[[#This Row],[Products]],tblPrices[Products],0), 0)* tblMicrosoftUnits[[#This Row],[cv_2026]]/10^6</f>
        <v>0</v>
      </c>
      <c r="V48" s="62" cm="1">
        <f t="array" ref="V48">INDEX(tblPrices[cv_2027], MATCH(tblMicrosoftUnits[[#This Row],[Products]],tblPrices[Products],0), 0)* tblMicrosoftUnits[[#This Row],[cv_2027]]/10^6</f>
        <v>0</v>
      </c>
      <c r="W48" s="62" cm="1">
        <f t="array" ref="W48">INDEX(tblPrices[cv_2028], MATCH(tblMicrosoftUnits[[#This Row],[Products]],tblPrices[Products],0), 0)* tblMicrosoftUnits[[#This Row],[cv_2028]]/10^6</f>
        <v>0</v>
      </c>
      <c r="X48" s="1">
        <f>VLOOKUP(A48,Products!$A$29:$F$110,6,FALSE)</f>
        <v>800</v>
      </c>
    </row>
    <row r="49" spans="1:24" s="1" customFormat="1" ht="13.15">
      <c r="A49" s="9" t="s">
        <v>19</v>
      </c>
      <c r="B49" s="8">
        <v>0</v>
      </c>
      <c r="C49" s="8">
        <v>0</v>
      </c>
      <c r="D49" s="8"/>
      <c r="E49" s="8"/>
      <c r="F49" s="8"/>
      <c r="G49" s="8"/>
      <c r="H49" s="8"/>
      <c r="I49" s="8"/>
      <c r="J49" s="8"/>
      <c r="K49" s="8"/>
      <c r="L49" s="8"/>
      <c r="M49" s="62" cm="1">
        <f t="array" ref="M49">INDEX(tblPrices[cv_2018], MATCH(tblMicrosoftUnits[[#This Row],[Products]],tblPrices[Products],0), 0)* tblMicrosoftUnits[[#This Row],[cv_2018]]/10^6</f>
        <v>0</v>
      </c>
      <c r="N49" s="62" cm="1">
        <f t="array" ref="N49">INDEX(tblPrices[cv_2019], MATCH(tblMicrosoftUnits[[#This Row],[Products]],tblPrices[Products],0), 0)* tblMicrosoftUnits[[#This Row],[cv_2019]]/10^6</f>
        <v>0</v>
      </c>
      <c r="O49" s="62" cm="1">
        <f t="array" ref="O49">INDEX(tblPrices[cv_2020], MATCH(tblMicrosoftUnits[[#This Row],[Products]],tblPrices[Products],0), 0)* tblMicrosoftUnits[[#This Row],[cv_2020]]/10^6</f>
        <v>0</v>
      </c>
      <c r="P49" s="62" cm="1">
        <f t="array" ref="P49">INDEX(tblPrices[cv_2021], MATCH(tblMicrosoftUnits[[#This Row],[Products]],tblPrices[Products],0), 0)* tblMicrosoftUnits[[#This Row],[cv_2021]]/10^6</f>
        <v>0</v>
      </c>
      <c r="Q49" s="62" cm="1">
        <f t="array" ref="Q49">INDEX(tblPrices[cv_2022], MATCH(tblMicrosoftUnits[[#This Row],[Products]],tblPrices[Products],0), 0)* tblMicrosoftUnits[[#This Row],[cv_2022]]/10^6</f>
        <v>0</v>
      </c>
      <c r="R49" s="62" cm="1">
        <f t="array" ref="R49">INDEX(tblPrices[cv_2023], MATCH(tblMicrosoftUnits[[#This Row],[Products]],tblPrices[Products],0), 0)* tblMicrosoftUnits[[#This Row],[cv_2023]]/10^6</f>
        <v>0</v>
      </c>
      <c r="S49" s="62" cm="1">
        <f t="array" ref="S49">INDEX(tblPrices[cv_2024], MATCH(tblMicrosoftUnits[[#This Row],[Products]],tblPrices[Products],0), 0)* tblMicrosoftUnits[[#This Row],[cv_2024]]/10^6</f>
        <v>0</v>
      </c>
      <c r="T49" s="62" cm="1">
        <f t="array" ref="T49">INDEX(tblPrices[cv_2025], MATCH(tblMicrosoftUnits[[#This Row],[Products]],tblPrices[Products],0), 0)* tblMicrosoftUnits[[#This Row],[cv_2025]]/10^6</f>
        <v>0</v>
      </c>
      <c r="U49" s="62" cm="1">
        <f t="array" ref="U49">INDEX(tblPrices[cv_2026], MATCH(tblMicrosoftUnits[[#This Row],[Products]],tblPrices[Products],0), 0)* tblMicrosoftUnits[[#This Row],[cv_2026]]/10^6</f>
        <v>0</v>
      </c>
      <c r="V49" s="62" cm="1">
        <f t="array" ref="V49">INDEX(tblPrices[cv_2027], MATCH(tblMicrosoftUnits[[#This Row],[Products]],tblPrices[Products],0), 0)* tblMicrosoftUnits[[#This Row],[cv_2027]]/10^6</f>
        <v>0</v>
      </c>
      <c r="W49" s="62" cm="1">
        <f t="array" ref="W49">INDEX(tblPrices[cv_2028], MATCH(tblMicrosoftUnits[[#This Row],[Products]],tblPrices[Products],0), 0)* tblMicrosoftUnits[[#This Row],[cv_2028]]/10^6</f>
        <v>0</v>
      </c>
      <c r="X49" s="1">
        <f>VLOOKUP(A49,Products!$A$29:$F$110,6,FALSE)</f>
        <v>1600</v>
      </c>
    </row>
    <row r="50" spans="1:24" s="1" customFormat="1" ht="13.15">
      <c r="A50" s="72" t="s">
        <v>20</v>
      </c>
      <c r="B50" s="73">
        <v>0</v>
      </c>
      <c r="C50" s="73">
        <v>0</v>
      </c>
      <c r="D50" s="73"/>
      <c r="E50" s="73"/>
      <c r="F50" s="73"/>
      <c r="G50" s="73"/>
      <c r="H50" s="73"/>
      <c r="I50" s="73"/>
      <c r="J50" s="73"/>
      <c r="K50" s="73"/>
      <c r="L50" s="73"/>
      <c r="M50" s="115" cm="1">
        <f t="array" ref="M50">INDEX(tblPrices[cv_2018], MATCH(tblMicrosoftUnits[[#This Row],[Products]],tblPrices[Products],0), 0)* tblMicrosoftUnits[[#This Row],[cv_2018]]/10^6</f>
        <v>0</v>
      </c>
      <c r="N50" s="115" cm="1">
        <f t="array" ref="N50">INDEX(tblPrices[cv_2019], MATCH(tblMicrosoftUnits[[#This Row],[Products]],tblPrices[Products],0), 0)* tblMicrosoftUnits[[#This Row],[cv_2019]]/10^6</f>
        <v>0</v>
      </c>
      <c r="O50" s="115" cm="1">
        <f t="array" ref="O50">INDEX(tblPrices[cv_2020], MATCH(tblMicrosoftUnits[[#This Row],[Products]],tblPrices[Products],0), 0)* tblMicrosoftUnits[[#This Row],[cv_2020]]/10^6</f>
        <v>0</v>
      </c>
      <c r="P50" s="115" cm="1">
        <f t="array" ref="P50">INDEX(tblPrices[cv_2021], MATCH(tblMicrosoftUnits[[#This Row],[Products]],tblPrices[Products],0), 0)* tblMicrosoftUnits[[#This Row],[cv_2021]]/10^6</f>
        <v>0</v>
      </c>
      <c r="Q50" s="115" cm="1">
        <f t="array" ref="Q50">INDEX(tblPrices[cv_2022], MATCH(tblMicrosoftUnits[[#This Row],[Products]],tblPrices[Products],0), 0)* tblMicrosoftUnits[[#This Row],[cv_2022]]/10^6</f>
        <v>0</v>
      </c>
      <c r="R50" s="115" cm="1">
        <f t="array" ref="R50">INDEX(tblPrices[cv_2023], MATCH(tblMicrosoftUnits[[#This Row],[Products]],tblPrices[Products],0), 0)* tblMicrosoftUnits[[#This Row],[cv_2023]]/10^6</f>
        <v>0</v>
      </c>
      <c r="S50" s="115" cm="1">
        <f t="array" ref="S50">INDEX(tblPrices[cv_2024], MATCH(tblMicrosoftUnits[[#This Row],[Products]],tblPrices[Products],0), 0)* tblMicrosoftUnits[[#This Row],[cv_2024]]/10^6</f>
        <v>0</v>
      </c>
      <c r="T50" s="115" cm="1">
        <f t="array" ref="T50">INDEX(tblPrices[cv_2025], MATCH(tblMicrosoftUnits[[#This Row],[Products]],tblPrices[Products],0), 0)* tblMicrosoftUnits[[#This Row],[cv_2025]]/10^6</f>
        <v>0</v>
      </c>
      <c r="U50" s="115" cm="1">
        <f t="array" ref="U50">INDEX(tblPrices[cv_2026], MATCH(tblMicrosoftUnits[[#This Row],[Products]],tblPrices[Products],0), 0)* tblMicrosoftUnits[[#This Row],[cv_2026]]/10^6</f>
        <v>0</v>
      </c>
      <c r="V50" s="115" cm="1">
        <f t="array" ref="V50">INDEX(tblPrices[cv_2027], MATCH(tblMicrosoftUnits[[#This Row],[Products]],tblPrices[Products],0), 0)* tblMicrosoftUnits[[#This Row],[cv_2027]]/10^6</f>
        <v>0</v>
      </c>
      <c r="W50" s="115" cm="1">
        <f t="array" ref="W50">INDEX(tblPrices[cv_2028], MATCH(tblMicrosoftUnits[[#This Row],[Products]],tblPrices[Products],0), 0)* tblMicrosoftUnits[[#This Row],[cv_2028]]/10^6</f>
        <v>0</v>
      </c>
      <c r="X50" s="4">
        <f>VLOOKUP(A50,Products!$A$29:$F$110,6,FALSE)</f>
        <v>1600</v>
      </c>
    </row>
    <row r="51" spans="1:24" s="1" customFormat="1" ht="13.15">
      <c r="A51" s="9" t="s">
        <v>21</v>
      </c>
      <c r="B51" s="8">
        <v>5770.9133999999995</v>
      </c>
      <c r="C51" s="8">
        <v>7357.0214581335058</v>
      </c>
      <c r="D51" s="8"/>
      <c r="E51" s="8"/>
      <c r="F51" s="8"/>
      <c r="G51" s="8"/>
      <c r="H51" s="8"/>
      <c r="I51" s="8"/>
      <c r="J51" s="8"/>
      <c r="K51" s="8"/>
      <c r="L51" s="8"/>
      <c r="M51" s="62" cm="1">
        <f t="array" ref="M51">INDEX(tblPrices[cv_2018], MATCH(tblMicrosoftUnits[[#This Row],[Products]],tblPrices[Products],0), 0)* tblMicrosoftUnits[[#This Row],[cv_2018]]/10^6</f>
        <v>2.7646957465932172</v>
      </c>
      <c r="N51" s="62" cm="1">
        <f t="array" ref="N51">INDEX(tblPrices[cv_2019], MATCH(tblMicrosoftUnits[[#This Row],[Products]],tblPrices[Products],0), 0)* tblMicrosoftUnits[[#This Row],[cv_2019]]/10^6</f>
        <v>2.8812365709906658</v>
      </c>
      <c r="O51" s="62" cm="1">
        <f t="array" ref="O51">INDEX(tblPrices[cv_2020], MATCH(tblMicrosoftUnits[[#This Row],[Products]],tblPrices[Products],0), 0)* tblMicrosoftUnits[[#This Row],[cv_2020]]/10^6</f>
        <v>0</v>
      </c>
      <c r="P51" s="62" cm="1">
        <f t="array" ref="P51">INDEX(tblPrices[cv_2021], MATCH(tblMicrosoftUnits[[#This Row],[Products]],tblPrices[Products],0), 0)* tblMicrosoftUnits[[#This Row],[cv_2021]]/10^6</f>
        <v>0</v>
      </c>
      <c r="Q51" s="62" cm="1">
        <f t="array" ref="Q51">INDEX(tblPrices[cv_2022], MATCH(tblMicrosoftUnits[[#This Row],[Products]],tblPrices[Products],0), 0)* tblMicrosoftUnits[[#This Row],[cv_2022]]/10^6</f>
        <v>0</v>
      </c>
      <c r="R51" s="62" cm="1">
        <f t="array" ref="R51">INDEX(tblPrices[cv_2023], MATCH(tblMicrosoftUnits[[#This Row],[Products]],tblPrices[Products],0), 0)* tblMicrosoftUnits[[#This Row],[cv_2023]]/10^6</f>
        <v>0</v>
      </c>
      <c r="S51" s="62" cm="1">
        <f t="array" ref="S51">INDEX(tblPrices[cv_2024], MATCH(tblMicrosoftUnits[[#This Row],[Products]],tblPrices[Products],0), 0)* tblMicrosoftUnits[[#This Row],[cv_2024]]/10^6</f>
        <v>0</v>
      </c>
      <c r="T51" s="62" cm="1">
        <f t="array" ref="T51">INDEX(tblPrices[cv_2025], MATCH(tblMicrosoftUnits[[#This Row],[Products]],tblPrices[Products],0), 0)* tblMicrosoftUnits[[#This Row],[cv_2025]]/10^6</f>
        <v>0</v>
      </c>
      <c r="U51" s="62" cm="1">
        <f t="array" ref="U51">INDEX(tblPrices[cv_2026], MATCH(tblMicrosoftUnits[[#This Row],[Products]],tblPrices[Products],0), 0)* tblMicrosoftUnits[[#This Row],[cv_2026]]/10^6</f>
        <v>0</v>
      </c>
      <c r="V51" s="62" cm="1">
        <f t="array" ref="V51">INDEX(tblPrices[cv_2027], MATCH(tblMicrosoftUnits[[#This Row],[Products]],tblPrices[Products],0), 0)* tblMicrosoftUnits[[#This Row],[cv_2027]]/10^6</f>
        <v>0</v>
      </c>
      <c r="W51" s="62" cm="1">
        <f t="array" ref="W51">INDEX(tblPrices[cv_2028], MATCH(tblMicrosoftUnits[[#This Row],[Products]],tblPrices[Products],0), 0)* tblMicrosoftUnits[[#This Row],[cv_2028]]/10^6</f>
        <v>0</v>
      </c>
      <c r="X51" s="1">
        <f>VLOOKUP(A51,Products!$A$29:$F$110,6,FALSE)</f>
        <v>10</v>
      </c>
    </row>
    <row r="52" spans="1:24" s="1" customFormat="1" ht="13.15">
      <c r="A52" s="9" t="s">
        <v>22</v>
      </c>
      <c r="B52" s="8">
        <v>0</v>
      </c>
      <c r="C52" s="8">
        <v>0</v>
      </c>
      <c r="D52" s="8"/>
      <c r="E52" s="8"/>
      <c r="F52" s="8"/>
      <c r="G52" s="8"/>
      <c r="H52" s="8"/>
      <c r="I52" s="8"/>
      <c r="J52" s="8"/>
      <c r="K52" s="8"/>
      <c r="L52" s="8"/>
      <c r="M52" s="62" cm="1">
        <f t="array" ref="M52">INDEX(tblPrices[cv_2018], MATCH(tblMicrosoftUnits[[#This Row],[Products]],tblPrices[Products],0), 0)* tblMicrosoftUnits[[#This Row],[cv_2018]]/10^6</f>
        <v>0</v>
      </c>
      <c r="N52" s="62" cm="1">
        <f t="array" ref="N52">INDEX(tblPrices[cv_2019], MATCH(tblMicrosoftUnits[[#This Row],[Products]],tblPrices[Products],0), 0)* tblMicrosoftUnits[[#This Row],[cv_2019]]/10^6</f>
        <v>0</v>
      </c>
      <c r="O52" s="62" cm="1">
        <f t="array" ref="O52">INDEX(tblPrices[cv_2020], MATCH(tblMicrosoftUnits[[#This Row],[Products]],tblPrices[Products],0), 0)* tblMicrosoftUnits[[#This Row],[cv_2020]]/10^6</f>
        <v>0</v>
      </c>
      <c r="P52" s="62" cm="1">
        <f t="array" ref="P52">INDEX(tblPrices[cv_2021], MATCH(tblMicrosoftUnits[[#This Row],[Products]],tblPrices[Products],0), 0)* tblMicrosoftUnits[[#This Row],[cv_2021]]/10^6</f>
        <v>0</v>
      </c>
      <c r="Q52" s="62" cm="1">
        <f t="array" ref="Q52">INDEX(tblPrices[cv_2022], MATCH(tblMicrosoftUnits[[#This Row],[Products]],tblPrices[Products],0), 0)* tblMicrosoftUnits[[#This Row],[cv_2022]]/10^6</f>
        <v>0</v>
      </c>
      <c r="R52" s="62" cm="1">
        <f t="array" ref="R52">INDEX(tblPrices[cv_2023], MATCH(tblMicrosoftUnits[[#This Row],[Products]],tblPrices[Products],0), 0)* tblMicrosoftUnits[[#This Row],[cv_2023]]/10^6</f>
        <v>0</v>
      </c>
      <c r="S52" s="62" cm="1">
        <f t="array" ref="S52">INDEX(tblPrices[cv_2024], MATCH(tblMicrosoftUnits[[#This Row],[Products]],tblPrices[Products],0), 0)* tblMicrosoftUnits[[#This Row],[cv_2024]]/10^6</f>
        <v>0</v>
      </c>
      <c r="T52" s="62" cm="1">
        <f t="array" ref="T52">INDEX(tblPrices[cv_2025], MATCH(tblMicrosoftUnits[[#This Row],[Products]],tblPrices[Products],0), 0)* tblMicrosoftUnits[[#This Row],[cv_2025]]/10^6</f>
        <v>0</v>
      </c>
      <c r="U52" s="62" cm="1">
        <f t="array" ref="U52">INDEX(tblPrices[cv_2026], MATCH(tblMicrosoftUnits[[#This Row],[Products]],tblPrices[Products],0), 0)* tblMicrosoftUnits[[#This Row],[cv_2026]]/10^6</f>
        <v>0</v>
      </c>
      <c r="V52" s="62" cm="1">
        <f t="array" ref="V52">INDEX(tblPrices[cv_2027], MATCH(tblMicrosoftUnits[[#This Row],[Products]],tblPrices[Products],0), 0)* tblMicrosoftUnits[[#This Row],[cv_2027]]/10^6</f>
        <v>0</v>
      </c>
      <c r="W52" s="62" cm="1">
        <f t="array" ref="W52">INDEX(tblPrices[cv_2028], MATCH(tblMicrosoftUnits[[#This Row],[Products]],tblPrices[Products],0), 0)* tblMicrosoftUnits[[#This Row],[cv_2028]]/10^6</f>
        <v>0</v>
      </c>
      <c r="X52" s="1">
        <f>VLOOKUP(A52,Products!$A$29:$F$110,6,FALSE)</f>
        <v>40</v>
      </c>
    </row>
    <row r="53" spans="1:24" s="1" customFormat="1" ht="13.15">
      <c r="A53" s="9" t="s">
        <v>23</v>
      </c>
      <c r="B53" s="8">
        <v>6955.1575235294149</v>
      </c>
      <c r="C53" s="8">
        <v>6624.6060000000025</v>
      </c>
      <c r="D53" s="8"/>
      <c r="E53" s="8"/>
      <c r="F53" s="8"/>
      <c r="G53" s="8"/>
      <c r="H53" s="8"/>
      <c r="I53" s="8"/>
      <c r="J53" s="8"/>
      <c r="K53" s="8"/>
      <c r="L53" s="8"/>
      <c r="M53" s="62" cm="1">
        <f t="array" ref="M53">INDEX(tblPrices[cv_2018], MATCH(tblMicrosoftUnits[[#This Row],[Products]],tblPrices[Products],0), 0)* tblMicrosoftUnits[[#This Row],[cv_2018]]/10^6</f>
        <v>55.641260188235321</v>
      </c>
      <c r="N53" s="62" cm="1">
        <f t="array" ref="N53">INDEX(tblPrices[cv_2019], MATCH(tblMicrosoftUnits[[#This Row],[Products]],tblPrices[Products],0), 0)* tblMicrosoftUnits[[#This Row],[cv_2019]]/10^6</f>
        <v>42.397478400000011</v>
      </c>
      <c r="O53" s="62" cm="1">
        <f t="array" ref="O53">INDEX(tblPrices[cv_2020], MATCH(tblMicrosoftUnits[[#This Row],[Products]],tblPrices[Products],0), 0)* tblMicrosoftUnits[[#This Row],[cv_2020]]/10^6</f>
        <v>0</v>
      </c>
      <c r="P53" s="62" cm="1">
        <f t="array" ref="P53">INDEX(tblPrices[cv_2021], MATCH(tblMicrosoftUnits[[#This Row],[Products]],tblPrices[Products],0), 0)* tblMicrosoftUnits[[#This Row],[cv_2021]]/10^6</f>
        <v>0</v>
      </c>
      <c r="Q53" s="62" cm="1">
        <f t="array" ref="Q53">INDEX(tblPrices[cv_2022], MATCH(tblMicrosoftUnits[[#This Row],[Products]],tblPrices[Products],0), 0)* tblMicrosoftUnits[[#This Row],[cv_2022]]/10^6</f>
        <v>0</v>
      </c>
      <c r="R53" s="62" cm="1">
        <f t="array" ref="R53">INDEX(tblPrices[cv_2023], MATCH(tblMicrosoftUnits[[#This Row],[Products]],tblPrices[Products],0), 0)* tblMicrosoftUnits[[#This Row],[cv_2023]]/10^6</f>
        <v>0</v>
      </c>
      <c r="S53" s="62" cm="1">
        <f t="array" ref="S53">INDEX(tblPrices[cv_2024], MATCH(tblMicrosoftUnits[[#This Row],[Products]],tblPrices[Products],0), 0)* tblMicrosoftUnits[[#This Row],[cv_2024]]/10^6</f>
        <v>0</v>
      </c>
      <c r="T53" s="62" cm="1">
        <f t="array" ref="T53">INDEX(tblPrices[cv_2025], MATCH(tblMicrosoftUnits[[#This Row],[Products]],tblPrices[Products],0), 0)* tblMicrosoftUnits[[#This Row],[cv_2025]]/10^6</f>
        <v>0</v>
      </c>
      <c r="U53" s="62" cm="1">
        <f t="array" ref="U53">INDEX(tblPrices[cv_2026], MATCH(tblMicrosoftUnits[[#This Row],[Products]],tblPrices[Products],0), 0)* tblMicrosoftUnits[[#This Row],[cv_2026]]/10^6</f>
        <v>0</v>
      </c>
      <c r="V53" s="62" cm="1">
        <f t="array" ref="V53">INDEX(tblPrices[cv_2027], MATCH(tblMicrosoftUnits[[#This Row],[Products]],tblPrices[Products],0), 0)* tblMicrosoftUnits[[#This Row],[cv_2027]]/10^6</f>
        <v>0</v>
      </c>
      <c r="W53" s="62" cm="1">
        <f t="array" ref="W53">INDEX(tblPrices[cv_2028], MATCH(tblMicrosoftUnits[[#This Row],[Products]],tblPrices[Products],0), 0)* tblMicrosoftUnits[[#This Row],[cv_2028]]/10^6</f>
        <v>0</v>
      </c>
      <c r="X53" s="1">
        <f>VLOOKUP(A53,Products!$A$29:$F$110,6,FALSE)</f>
        <v>100</v>
      </c>
    </row>
    <row r="54" spans="1:24" s="1" customFormat="1" ht="13.15">
      <c r="A54" s="9" t="s">
        <v>24</v>
      </c>
      <c r="B54" s="8">
        <v>27000</v>
      </c>
      <c r="C54" s="8">
        <v>38000</v>
      </c>
      <c r="D54" s="8"/>
      <c r="E54" s="8"/>
      <c r="F54" s="8"/>
      <c r="G54" s="8"/>
      <c r="H54" s="8"/>
      <c r="I54" s="8"/>
      <c r="J54" s="8"/>
      <c r="K54" s="8"/>
      <c r="L54" s="8"/>
      <c r="M54" s="62" cm="1">
        <f t="array" ref="M54">INDEX(tblPrices[cv_2018], MATCH(tblMicrosoftUnits[[#This Row],[Products]],tblPrices[Products],0), 0)* tblMicrosoftUnits[[#This Row],[cv_2018]]/10^6</f>
        <v>71.334000000000003</v>
      </c>
      <c r="N54" s="62" cm="1">
        <f t="array" ref="N54">INDEX(tblPrices[cv_2019], MATCH(tblMicrosoftUnits[[#This Row],[Products]],tblPrices[Products],0), 0)* tblMicrosoftUnits[[#This Row],[cv_2019]]/10^6</f>
        <v>93.416666666666671</v>
      </c>
      <c r="O54" s="62" cm="1">
        <f t="array" ref="O54">INDEX(tblPrices[cv_2020], MATCH(tblMicrosoftUnits[[#This Row],[Products]],tblPrices[Products],0), 0)* tblMicrosoftUnits[[#This Row],[cv_2020]]/10^6</f>
        <v>0</v>
      </c>
      <c r="P54" s="62" cm="1">
        <f t="array" ref="P54">INDEX(tblPrices[cv_2021], MATCH(tblMicrosoftUnits[[#This Row],[Products]],tblPrices[Products],0), 0)* tblMicrosoftUnits[[#This Row],[cv_2021]]/10^6</f>
        <v>0</v>
      </c>
      <c r="Q54" s="62" cm="1">
        <f t="array" ref="Q54">INDEX(tblPrices[cv_2022], MATCH(tblMicrosoftUnits[[#This Row],[Products]],tblPrices[Products],0), 0)* tblMicrosoftUnits[[#This Row],[cv_2022]]/10^6</f>
        <v>0</v>
      </c>
      <c r="R54" s="62" cm="1">
        <f t="array" ref="R54">INDEX(tblPrices[cv_2023], MATCH(tblMicrosoftUnits[[#This Row],[Products]],tblPrices[Products],0), 0)* tblMicrosoftUnits[[#This Row],[cv_2023]]/10^6</f>
        <v>0</v>
      </c>
      <c r="S54" s="62" cm="1">
        <f t="array" ref="S54">INDEX(tblPrices[cv_2024], MATCH(tblMicrosoftUnits[[#This Row],[Products]],tblPrices[Products],0), 0)* tblMicrosoftUnits[[#This Row],[cv_2024]]/10^6</f>
        <v>0</v>
      </c>
      <c r="T54" s="62" cm="1">
        <f t="array" ref="T54">INDEX(tblPrices[cv_2025], MATCH(tblMicrosoftUnits[[#This Row],[Products]],tblPrices[Products],0), 0)* tblMicrosoftUnits[[#This Row],[cv_2025]]/10^6</f>
        <v>0</v>
      </c>
      <c r="U54" s="62" cm="1">
        <f t="array" ref="U54">INDEX(tblPrices[cv_2026], MATCH(tblMicrosoftUnits[[#This Row],[Products]],tblPrices[Products],0), 0)* tblMicrosoftUnits[[#This Row],[cv_2026]]/10^6</f>
        <v>0</v>
      </c>
      <c r="V54" s="62" cm="1">
        <f t="array" ref="V54">INDEX(tblPrices[cv_2027], MATCH(tblMicrosoftUnits[[#This Row],[Products]],tblPrices[Products],0), 0)* tblMicrosoftUnits[[#This Row],[cv_2027]]/10^6</f>
        <v>0</v>
      </c>
      <c r="W54" s="62" cm="1">
        <f t="array" ref="W54">INDEX(tblPrices[cv_2028], MATCH(tblMicrosoftUnits[[#This Row],[Products]],tblPrices[Products],0), 0)* tblMicrosoftUnits[[#This Row],[cv_2028]]/10^6</f>
        <v>0</v>
      </c>
      <c r="X54" s="1">
        <f>VLOOKUP(A54,Products!$A$29:$F$110,6,FALSE)</f>
        <v>100</v>
      </c>
    </row>
    <row r="55" spans="1:24" s="1" customFormat="1" ht="13.15">
      <c r="A55" s="9" t="s">
        <v>25</v>
      </c>
      <c r="B55" s="8">
        <v>3310.1766190476196</v>
      </c>
      <c r="C55" s="8">
        <v>6789.6927999999998</v>
      </c>
      <c r="D55" s="8"/>
      <c r="E55" s="8"/>
      <c r="F55" s="8"/>
      <c r="G55" s="8"/>
      <c r="H55" s="8"/>
      <c r="I55" s="8"/>
      <c r="J55" s="8"/>
      <c r="K55" s="8"/>
      <c r="L55" s="8"/>
      <c r="M55" s="62" cm="1">
        <f t="array" ref="M55">INDEX(tblPrices[cv_2018], MATCH(tblMicrosoftUnits[[#This Row],[Products]],tblPrices[Products],0), 0)* tblMicrosoftUnits[[#This Row],[cv_2018]]/10^6</f>
        <v>18.205971404761907</v>
      </c>
      <c r="N55" s="62" cm="1">
        <f t="array" ref="N55">INDEX(tblPrices[cv_2019], MATCH(tblMicrosoftUnits[[#This Row],[Products]],tblPrices[Products],0), 0)* tblMicrosoftUnits[[#This Row],[cv_2019]]/10^6</f>
        <v>29.874648319999999</v>
      </c>
      <c r="O55" s="62" cm="1">
        <f t="array" ref="O55">INDEX(tblPrices[cv_2020], MATCH(tblMicrosoftUnits[[#This Row],[Products]],tblPrices[Products],0), 0)* tblMicrosoftUnits[[#This Row],[cv_2020]]/10^6</f>
        <v>0</v>
      </c>
      <c r="P55" s="62" cm="1">
        <f t="array" ref="P55">INDEX(tblPrices[cv_2021], MATCH(tblMicrosoftUnits[[#This Row],[Products]],tblPrices[Products],0), 0)* tblMicrosoftUnits[[#This Row],[cv_2021]]/10^6</f>
        <v>0</v>
      </c>
      <c r="Q55" s="62" cm="1">
        <f t="array" ref="Q55">INDEX(tblPrices[cv_2022], MATCH(tblMicrosoftUnits[[#This Row],[Products]],tblPrices[Products],0), 0)* tblMicrosoftUnits[[#This Row],[cv_2022]]/10^6</f>
        <v>0</v>
      </c>
      <c r="R55" s="62" cm="1">
        <f t="array" ref="R55">INDEX(tblPrices[cv_2023], MATCH(tblMicrosoftUnits[[#This Row],[Products]],tblPrices[Products],0), 0)* tblMicrosoftUnits[[#This Row],[cv_2023]]/10^6</f>
        <v>0</v>
      </c>
      <c r="S55" s="62" cm="1">
        <f t="array" ref="S55">INDEX(tblPrices[cv_2024], MATCH(tblMicrosoftUnits[[#This Row],[Products]],tblPrices[Products],0), 0)* tblMicrosoftUnits[[#This Row],[cv_2024]]/10^6</f>
        <v>0</v>
      </c>
      <c r="T55" s="62" cm="1">
        <f t="array" ref="T55">INDEX(tblPrices[cv_2025], MATCH(tblMicrosoftUnits[[#This Row],[Products]],tblPrices[Products],0), 0)* tblMicrosoftUnits[[#This Row],[cv_2025]]/10^6</f>
        <v>0</v>
      </c>
      <c r="U55" s="62" cm="1">
        <f t="array" ref="U55">INDEX(tblPrices[cv_2026], MATCH(tblMicrosoftUnits[[#This Row],[Products]],tblPrices[Products],0), 0)* tblMicrosoftUnits[[#This Row],[cv_2026]]/10^6</f>
        <v>0</v>
      </c>
      <c r="V55" s="62" cm="1">
        <f t="array" ref="V55">INDEX(tblPrices[cv_2027], MATCH(tblMicrosoftUnits[[#This Row],[Products]],tblPrices[Products],0), 0)* tblMicrosoftUnits[[#This Row],[cv_2027]]/10^6</f>
        <v>0</v>
      </c>
      <c r="W55" s="62" cm="1">
        <f t="array" ref="W55">INDEX(tblPrices[cv_2028], MATCH(tblMicrosoftUnits[[#This Row],[Products]],tblPrices[Products],0), 0)* tblMicrosoftUnits[[#This Row],[cv_2028]]/10^6</f>
        <v>0</v>
      </c>
      <c r="X55" s="1">
        <f>VLOOKUP(A55,Products!$A$29:$F$110,6,FALSE)</f>
        <v>100</v>
      </c>
    </row>
    <row r="56" spans="1:24" s="1" customFormat="1" ht="13.15">
      <c r="A56" s="9" t="s">
        <v>26</v>
      </c>
      <c r="B56" s="8">
        <v>0</v>
      </c>
      <c r="C56" s="8">
        <v>0</v>
      </c>
      <c r="D56" s="8"/>
      <c r="E56" s="8"/>
      <c r="F56" s="8"/>
      <c r="G56" s="8"/>
      <c r="H56" s="8"/>
      <c r="I56" s="8"/>
      <c r="J56" s="8"/>
      <c r="K56" s="8"/>
      <c r="L56" s="8"/>
      <c r="M56" s="62" cm="1">
        <f t="array" ref="M56">INDEX(tblPrices[cv_2018], MATCH(tblMicrosoftUnits[[#This Row],[Products]],tblPrices[Products],0), 0)* tblMicrosoftUnits[[#This Row],[cv_2018]]/10^6</f>
        <v>0</v>
      </c>
      <c r="N56" s="62" cm="1">
        <f t="array" ref="N56">INDEX(tblPrices[cv_2019], MATCH(tblMicrosoftUnits[[#This Row],[Products]],tblPrices[Products],0), 0)* tblMicrosoftUnits[[#This Row],[cv_2019]]/10^6</f>
        <v>0</v>
      </c>
      <c r="O56" s="62" cm="1">
        <f t="array" ref="O56">INDEX(tblPrices[cv_2020], MATCH(tblMicrosoftUnits[[#This Row],[Products]],tblPrices[Products],0), 0)* tblMicrosoftUnits[[#This Row],[cv_2020]]/10^6</f>
        <v>0</v>
      </c>
      <c r="P56" s="62" cm="1">
        <f t="array" ref="P56">INDEX(tblPrices[cv_2021], MATCH(tblMicrosoftUnits[[#This Row],[Products]],tblPrices[Products],0), 0)* tblMicrosoftUnits[[#This Row],[cv_2021]]/10^6</f>
        <v>0</v>
      </c>
      <c r="Q56" s="62" cm="1">
        <f t="array" ref="Q56">INDEX(tblPrices[cv_2022], MATCH(tblMicrosoftUnits[[#This Row],[Products]],tblPrices[Products],0), 0)* tblMicrosoftUnits[[#This Row],[cv_2022]]/10^6</f>
        <v>0</v>
      </c>
      <c r="R56" s="62" cm="1">
        <f t="array" ref="R56">INDEX(tblPrices[cv_2023], MATCH(tblMicrosoftUnits[[#This Row],[Products]],tblPrices[Products],0), 0)* tblMicrosoftUnits[[#This Row],[cv_2023]]/10^6</f>
        <v>0</v>
      </c>
      <c r="S56" s="62" cm="1">
        <f t="array" ref="S56">INDEX(tblPrices[cv_2024], MATCH(tblMicrosoftUnits[[#This Row],[Products]],tblPrices[Products],0), 0)* tblMicrosoftUnits[[#This Row],[cv_2024]]/10^6</f>
        <v>0</v>
      </c>
      <c r="T56" s="62" cm="1">
        <f t="array" ref="T56">INDEX(tblPrices[cv_2025], MATCH(tblMicrosoftUnits[[#This Row],[Products]],tblPrices[Products],0), 0)* tblMicrosoftUnits[[#This Row],[cv_2025]]/10^6</f>
        <v>0</v>
      </c>
      <c r="U56" s="62" cm="1">
        <f t="array" ref="U56">INDEX(tblPrices[cv_2026], MATCH(tblMicrosoftUnits[[#This Row],[Products]],tblPrices[Products],0), 0)* tblMicrosoftUnits[[#This Row],[cv_2026]]/10^6</f>
        <v>0</v>
      </c>
      <c r="V56" s="62" cm="1">
        <f t="array" ref="V56">INDEX(tblPrices[cv_2027], MATCH(tblMicrosoftUnits[[#This Row],[Products]],tblPrices[Products],0), 0)* tblMicrosoftUnits[[#This Row],[cv_2027]]/10^6</f>
        <v>0</v>
      </c>
      <c r="W56" s="62" cm="1">
        <f t="array" ref="W56">INDEX(tblPrices[cv_2028], MATCH(tblMicrosoftUnits[[#This Row],[Products]],tblPrices[Products],0), 0)* tblMicrosoftUnits[[#This Row],[cv_2028]]/10^6</f>
        <v>0</v>
      </c>
      <c r="X56" s="1">
        <f>VLOOKUP(A56,Products!$A$29:$F$110,6,FALSE)</f>
        <v>100</v>
      </c>
    </row>
    <row r="57" spans="1:24" s="1" customFormat="1" ht="13.15">
      <c r="A57" s="9" t="s">
        <v>27</v>
      </c>
      <c r="B57" s="8">
        <v>0</v>
      </c>
      <c r="C57" s="8">
        <v>0</v>
      </c>
      <c r="D57" s="8"/>
      <c r="E57" s="8"/>
      <c r="F57" s="8"/>
      <c r="G57" s="8"/>
      <c r="H57" s="8"/>
      <c r="I57" s="8"/>
      <c r="J57" s="8"/>
      <c r="K57" s="8"/>
      <c r="L57" s="8"/>
      <c r="M57" s="62" cm="1">
        <f t="array" ref="M57">INDEX(tblPrices[cv_2018], MATCH(tblMicrosoftUnits[[#This Row],[Products]],tblPrices[Products],0), 0)* tblMicrosoftUnits[[#This Row],[cv_2018]]/10^6</f>
        <v>0</v>
      </c>
      <c r="N57" s="62" cm="1">
        <f t="array" ref="N57">INDEX(tblPrices[cv_2019], MATCH(tblMicrosoftUnits[[#This Row],[Products]],tblPrices[Products],0), 0)* tblMicrosoftUnits[[#This Row],[cv_2019]]/10^6</f>
        <v>0</v>
      </c>
      <c r="O57" s="62" cm="1">
        <f t="array" ref="O57">INDEX(tblPrices[cv_2020], MATCH(tblMicrosoftUnits[[#This Row],[Products]],tblPrices[Products],0), 0)* tblMicrosoftUnits[[#This Row],[cv_2020]]/10^6</f>
        <v>0</v>
      </c>
      <c r="P57" s="62" cm="1">
        <f t="array" ref="P57">INDEX(tblPrices[cv_2021], MATCH(tblMicrosoftUnits[[#This Row],[Products]],tblPrices[Products],0), 0)* tblMicrosoftUnits[[#This Row],[cv_2021]]/10^6</f>
        <v>0</v>
      </c>
      <c r="Q57" s="62" cm="1">
        <f t="array" ref="Q57">INDEX(tblPrices[cv_2022], MATCH(tblMicrosoftUnits[[#This Row],[Products]],tblPrices[Products],0), 0)* tblMicrosoftUnits[[#This Row],[cv_2022]]/10^6</f>
        <v>0</v>
      </c>
      <c r="R57" s="62" cm="1">
        <f t="array" ref="R57">INDEX(tblPrices[cv_2023], MATCH(tblMicrosoftUnits[[#This Row],[Products]],tblPrices[Products],0), 0)* tblMicrosoftUnits[[#This Row],[cv_2023]]/10^6</f>
        <v>0</v>
      </c>
      <c r="S57" s="62" cm="1">
        <f t="array" ref="S57">INDEX(tblPrices[cv_2024], MATCH(tblMicrosoftUnits[[#This Row],[Products]],tblPrices[Products],0), 0)* tblMicrosoftUnits[[#This Row],[cv_2024]]/10^6</f>
        <v>0</v>
      </c>
      <c r="T57" s="62" cm="1">
        <f t="array" ref="T57">INDEX(tblPrices[cv_2025], MATCH(tblMicrosoftUnits[[#This Row],[Products]],tblPrices[Products],0), 0)* tblMicrosoftUnits[[#This Row],[cv_2025]]/10^6</f>
        <v>0</v>
      </c>
      <c r="U57" s="62" cm="1">
        <f t="array" ref="U57">INDEX(tblPrices[cv_2026], MATCH(tblMicrosoftUnits[[#This Row],[Products]],tblPrices[Products],0), 0)* tblMicrosoftUnits[[#This Row],[cv_2026]]/10^6</f>
        <v>0</v>
      </c>
      <c r="V57" s="62" cm="1">
        <f t="array" ref="V57">INDEX(tblPrices[cv_2027], MATCH(tblMicrosoftUnits[[#This Row],[Products]],tblPrices[Products],0), 0)* tblMicrosoftUnits[[#This Row],[cv_2027]]/10^6</f>
        <v>0</v>
      </c>
      <c r="W57" s="62" cm="1">
        <f t="array" ref="W57">INDEX(tblPrices[cv_2028], MATCH(tblMicrosoftUnits[[#This Row],[Products]],tblPrices[Products],0), 0)* tblMicrosoftUnits[[#This Row],[cv_2028]]/10^6</f>
        <v>0</v>
      </c>
      <c r="X57" s="1">
        <f>VLOOKUP(A57,Products!$A$29:$F$110,6,FALSE)</f>
        <v>100</v>
      </c>
    </row>
    <row r="58" spans="1:24" s="1" customFormat="1" ht="13.15">
      <c r="A58" s="9" t="s">
        <v>28</v>
      </c>
      <c r="B58" s="8">
        <v>1616.7245901639342</v>
      </c>
      <c r="C58" s="8">
        <v>2284.0847999999987</v>
      </c>
      <c r="D58" s="8"/>
      <c r="E58" s="8"/>
      <c r="F58" s="8"/>
      <c r="G58" s="8"/>
      <c r="H58" s="8"/>
      <c r="I58" s="8"/>
      <c r="J58" s="8"/>
      <c r="K58" s="8"/>
      <c r="L58" s="8"/>
      <c r="M58" s="62" cm="1">
        <f t="array" ref="M58">INDEX(tblPrices[cv_2018], MATCH(tblMicrosoftUnits[[#This Row],[Products]],tblPrices[Products],0), 0)* tblMicrosoftUnits[[#This Row],[cv_2018]]/10^6</f>
        <v>14.109596423248881</v>
      </c>
      <c r="N58" s="62" cm="1">
        <f t="array" ref="N58">INDEX(tblPrices[cv_2019], MATCH(tblMicrosoftUnits[[#This Row],[Products]],tblPrices[Products],0), 0)* tblMicrosoftUnits[[#This Row],[cv_2019]]/10^6</f>
        <v>15.947064785454538</v>
      </c>
      <c r="O58" s="62" cm="1">
        <f t="array" ref="O58">INDEX(tblPrices[cv_2020], MATCH(tblMicrosoftUnits[[#This Row],[Products]],tblPrices[Products],0), 0)* tblMicrosoftUnits[[#This Row],[cv_2020]]/10^6</f>
        <v>0</v>
      </c>
      <c r="P58" s="62" cm="1">
        <f t="array" ref="P58">INDEX(tblPrices[cv_2021], MATCH(tblMicrosoftUnits[[#This Row],[Products]],tblPrices[Products],0), 0)* tblMicrosoftUnits[[#This Row],[cv_2021]]/10^6</f>
        <v>0</v>
      </c>
      <c r="Q58" s="62" cm="1">
        <f t="array" ref="Q58">INDEX(tblPrices[cv_2022], MATCH(tblMicrosoftUnits[[#This Row],[Products]],tblPrices[Products],0), 0)* tblMicrosoftUnits[[#This Row],[cv_2022]]/10^6</f>
        <v>0</v>
      </c>
      <c r="R58" s="62" cm="1">
        <f t="array" ref="R58">INDEX(tblPrices[cv_2023], MATCH(tblMicrosoftUnits[[#This Row],[Products]],tblPrices[Products],0), 0)* tblMicrosoftUnits[[#This Row],[cv_2023]]/10^6</f>
        <v>0</v>
      </c>
      <c r="S58" s="62" cm="1">
        <f t="array" ref="S58">INDEX(tblPrices[cv_2024], MATCH(tblMicrosoftUnits[[#This Row],[Products]],tblPrices[Products],0), 0)* tblMicrosoftUnits[[#This Row],[cv_2024]]/10^6</f>
        <v>0</v>
      </c>
      <c r="T58" s="62" cm="1">
        <f t="array" ref="T58">INDEX(tblPrices[cv_2025], MATCH(tblMicrosoftUnits[[#This Row],[Products]],tblPrices[Products],0), 0)* tblMicrosoftUnits[[#This Row],[cv_2025]]/10^6</f>
        <v>0</v>
      </c>
      <c r="U58" s="62" cm="1">
        <f t="array" ref="U58">INDEX(tblPrices[cv_2026], MATCH(tblMicrosoftUnits[[#This Row],[Products]],tblPrices[Products],0), 0)* tblMicrosoftUnits[[#This Row],[cv_2026]]/10^6</f>
        <v>0</v>
      </c>
      <c r="V58" s="62" cm="1">
        <f t="array" ref="V58">INDEX(tblPrices[cv_2027], MATCH(tblMicrosoftUnits[[#This Row],[Products]],tblPrices[Products],0), 0)* tblMicrosoftUnits[[#This Row],[cv_2027]]/10^6</f>
        <v>0</v>
      </c>
      <c r="W58" s="62" cm="1">
        <f t="array" ref="W58">INDEX(tblPrices[cv_2028], MATCH(tblMicrosoftUnits[[#This Row],[Products]],tblPrices[Products],0), 0)* tblMicrosoftUnits[[#This Row],[cv_2028]]/10^6</f>
        <v>0</v>
      </c>
      <c r="X58" s="1">
        <f>VLOOKUP(A58,Products!$A$29:$F$110,6,FALSE)</f>
        <v>200</v>
      </c>
    </row>
    <row r="59" spans="1:24" s="1" customFormat="1" ht="13.15">
      <c r="A59" s="9" t="s">
        <v>29</v>
      </c>
      <c r="B59" s="8">
        <v>680.42213114754077</v>
      </c>
      <c r="C59" s="8">
        <v>2057.5919999999992</v>
      </c>
      <c r="D59" s="8"/>
      <c r="E59" s="8"/>
      <c r="F59" s="8"/>
      <c r="G59" s="8"/>
      <c r="H59" s="8"/>
      <c r="I59" s="8"/>
      <c r="J59" s="8"/>
      <c r="K59" s="8"/>
      <c r="L59" s="8"/>
      <c r="M59" s="62" cm="1">
        <f t="array" ref="M59">INDEX(tblPrices[cv_2018], MATCH(tblMicrosoftUnits[[#This Row],[Products]],tblPrices[Products],0), 0)* tblMicrosoftUnits[[#This Row],[cv_2018]]/10^6</f>
        <v>4.0825327868852446</v>
      </c>
      <c r="N59" s="62" cm="1">
        <f t="array" ref="N59">INDEX(tblPrices[cv_2019], MATCH(tblMicrosoftUnits[[#This Row],[Products]],tblPrices[Products],0), 0)* tblMicrosoftUnits[[#This Row],[cv_2019]]/10^6</f>
        <v>9.8764415999999962</v>
      </c>
      <c r="O59" s="62" cm="1">
        <f t="array" ref="O59">INDEX(tblPrices[cv_2020], MATCH(tblMicrosoftUnits[[#This Row],[Products]],tblPrices[Products],0), 0)* tblMicrosoftUnits[[#This Row],[cv_2020]]/10^6</f>
        <v>0</v>
      </c>
      <c r="P59" s="62" cm="1">
        <f t="array" ref="P59">INDEX(tblPrices[cv_2021], MATCH(tblMicrosoftUnits[[#This Row],[Products]],tblPrices[Products],0), 0)* tblMicrosoftUnits[[#This Row],[cv_2021]]/10^6</f>
        <v>0</v>
      </c>
      <c r="Q59" s="62" cm="1">
        <f t="array" ref="Q59">INDEX(tblPrices[cv_2022], MATCH(tblMicrosoftUnits[[#This Row],[Products]],tblPrices[Products],0), 0)* tblMicrosoftUnits[[#This Row],[cv_2022]]/10^6</f>
        <v>0</v>
      </c>
      <c r="R59" s="62" cm="1">
        <f t="array" ref="R59">INDEX(tblPrices[cv_2023], MATCH(tblMicrosoftUnits[[#This Row],[Products]],tblPrices[Products],0), 0)* tblMicrosoftUnits[[#This Row],[cv_2023]]/10^6</f>
        <v>0</v>
      </c>
      <c r="S59" s="62" cm="1">
        <f t="array" ref="S59">INDEX(tblPrices[cv_2024], MATCH(tblMicrosoftUnits[[#This Row],[Products]],tblPrices[Products],0), 0)* tblMicrosoftUnits[[#This Row],[cv_2024]]/10^6</f>
        <v>0</v>
      </c>
      <c r="T59" s="62" cm="1">
        <f t="array" ref="T59">INDEX(tblPrices[cv_2025], MATCH(tblMicrosoftUnits[[#This Row],[Products]],tblPrices[Products],0), 0)* tblMicrosoftUnits[[#This Row],[cv_2025]]/10^6</f>
        <v>0</v>
      </c>
      <c r="U59" s="62" cm="1">
        <f t="array" ref="U59">INDEX(tblPrices[cv_2026], MATCH(tblMicrosoftUnits[[#This Row],[Products]],tblPrices[Products],0), 0)* tblMicrosoftUnits[[#This Row],[cv_2026]]/10^6</f>
        <v>0</v>
      </c>
      <c r="V59" s="62" cm="1">
        <f t="array" ref="V59">INDEX(tblPrices[cv_2027], MATCH(tblMicrosoftUnits[[#This Row],[Products]],tblPrices[Products],0), 0)* tblMicrosoftUnits[[#This Row],[cv_2027]]/10^6</f>
        <v>0</v>
      </c>
      <c r="W59" s="62" cm="1">
        <f t="array" ref="W59">INDEX(tblPrices[cv_2028], MATCH(tblMicrosoftUnits[[#This Row],[Products]],tblPrices[Products],0), 0)* tblMicrosoftUnits[[#This Row],[cv_2028]]/10^6</f>
        <v>0</v>
      </c>
      <c r="X59" s="1">
        <f>VLOOKUP(A59,Products!$A$29:$F$110,6,FALSE)</f>
        <v>200</v>
      </c>
    </row>
    <row r="60" spans="1:24" s="1" customFormat="1" ht="13.15">
      <c r="A60" s="9" t="s">
        <v>30</v>
      </c>
      <c r="B60" s="8">
        <v>0</v>
      </c>
      <c r="C60" s="8">
        <v>0</v>
      </c>
      <c r="D60" s="8"/>
      <c r="E60" s="8"/>
      <c r="F60" s="8"/>
      <c r="G60" s="8"/>
      <c r="H60" s="8"/>
      <c r="I60" s="8"/>
      <c r="J60" s="8"/>
      <c r="K60" s="8"/>
      <c r="L60" s="8"/>
      <c r="M60" s="62" cm="1">
        <f t="array" ref="M60">INDEX(tblPrices[cv_2018], MATCH(tblMicrosoftUnits[[#This Row],[Products]],tblPrices[Products],0), 0)* tblMicrosoftUnits[[#This Row],[cv_2018]]/10^6</f>
        <v>0</v>
      </c>
      <c r="N60" s="62" cm="1">
        <f t="array" ref="N60">INDEX(tblPrices[cv_2019], MATCH(tblMicrosoftUnits[[#This Row],[Products]],tblPrices[Products],0), 0)* tblMicrosoftUnits[[#This Row],[cv_2019]]/10^6</f>
        <v>0</v>
      </c>
      <c r="O60" s="62" cm="1">
        <f t="array" ref="O60">INDEX(tblPrices[cv_2020], MATCH(tblMicrosoftUnits[[#This Row],[Products]],tblPrices[Products],0), 0)* tblMicrosoftUnits[[#This Row],[cv_2020]]/10^6</f>
        <v>0</v>
      </c>
      <c r="P60" s="62" cm="1">
        <f t="array" ref="P60">INDEX(tblPrices[cv_2021], MATCH(tblMicrosoftUnits[[#This Row],[Products]],tblPrices[Products],0), 0)* tblMicrosoftUnits[[#This Row],[cv_2021]]/10^6</f>
        <v>0</v>
      </c>
      <c r="Q60" s="62" cm="1">
        <f t="array" ref="Q60">INDEX(tblPrices[cv_2022], MATCH(tblMicrosoftUnits[[#This Row],[Products]],tblPrices[Products],0), 0)* tblMicrosoftUnits[[#This Row],[cv_2022]]/10^6</f>
        <v>0</v>
      </c>
      <c r="R60" s="62" cm="1">
        <f t="array" ref="R60">INDEX(tblPrices[cv_2023], MATCH(tblMicrosoftUnits[[#This Row],[Products]],tblPrices[Products],0), 0)* tblMicrosoftUnits[[#This Row],[cv_2023]]/10^6</f>
        <v>0</v>
      </c>
      <c r="S60" s="62" cm="1">
        <f t="array" ref="S60">INDEX(tblPrices[cv_2024], MATCH(tblMicrosoftUnits[[#This Row],[Products]],tblPrices[Products],0), 0)* tblMicrosoftUnits[[#This Row],[cv_2024]]/10^6</f>
        <v>0</v>
      </c>
      <c r="T60" s="62" cm="1">
        <f t="array" ref="T60">INDEX(tblPrices[cv_2025], MATCH(tblMicrosoftUnits[[#This Row],[Products]],tblPrices[Products],0), 0)* tblMicrosoftUnits[[#This Row],[cv_2025]]/10^6</f>
        <v>0</v>
      </c>
      <c r="U60" s="62" cm="1">
        <f t="array" ref="U60">INDEX(tblPrices[cv_2026], MATCH(tblMicrosoftUnits[[#This Row],[Products]],tblPrices[Products],0), 0)* tblMicrosoftUnits[[#This Row],[cv_2026]]/10^6</f>
        <v>0</v>
      </c>
      <c r="V60" s="62" cm="1">
        <f t="array" ref="V60">INDEX(tblPrices[cv_2027], MATCH(tblMicrosoftUnits[[#This Row],[Products]],tblPrices[Products],0), 0)* tblMicrosoftUnits[[#This Row],[cv_2027]]/10^6</f>
        <v>0</v>
      </c>
      <c r="W60" s="62" cm="1">
        <f t="array" ref="W60">INDEX(tblPrices[cv_2028], MATCH(tblMicrosoftUnits[[#This Row],[Products]],tblPrices[Products],0), 0)* tblMicrosoftUnits[[#This Row],[cv_2028]]/10^6</f>
        <v>0</v>
      </c>
      <c r="X60" s="1">
        <f>VLOOKUP(A60,Products!$A$29:$F$110,6,FALSE)</f>
        <v>200</v>
      </c>
    </row>
    <row r="61" spans="1:24" s="1" customFormat="1" ht="13.15">
      <c r="A61" s="9" t="s">
        <v>31</v>
      </c>
      <c r="B61" s="8">
        <v>0</v>
      </c>
      <c r="C61" s="8">
        <v>0</v>
      </c>
      <c r="D61" s="8"/>
      <c r="E61" s="8"/>
      <c r="F61" s="8"/>
      <c r="G61" s="8"/>
      <c r="H61" s="8"/>
      <c r="I61" s="8"/>
      <c r="J61" s="8"/>
      <c r="K61" s="8"/>
      <c r="L61" s="8"/>
      <c r="M61" s="62" cm="1">
        <f t="array" ref="M61">INDEX(tblPrices[cv_2018], MATCH(tblMicrosoftUnits[[#This Row],[Products]],tblPrices[Products],0), 0)* tblMicrosoftUnits[[#This Row],[cv_2018]]/10^6</f>
        <v>0</v>
      </c>
      <c r="N61" s="62" cm="1">
        <f t="array" ref="N61">INDEX(tblPrices[cv_2019], MATCH(tblMicrosoftUnits[[#This Row],[Products]],tblPrices[Products],0), 0)* tblMicrosoftUnits[[#This Row],[cv_2019]]/10^6</f>
        <v>0</v>
      </c>
      <c r="O61" s="62" cm="1">
        <f t="array" ref="O61">INDEX(tblPrices[cv_2020], MATCH(tblMicrosoftUnits[[#This Row],[Products]],tblPrices[Products],0), 0)* tblMicrosoftUnits[[#This Row],[cv_2020]]/10^6</f>
        <v>0</v>
      </c>
      <c r="P61" s="62" cm="1">
        <f t="array" ref="P61">INDEX(tblPrices[cv_2021], MATCH(tblMicrosoftUnits[[#This Row],[Products]],tblPrices[Products],0), 0)* tblMicrosoftUnits[[#This Row],[cv_2021]]/10^6</f>
        <v>0</v>
      </c>
      <c r="Q61" s="62" cm="1">
        <f t="array" ref="Q61">INDEX(tblPrices[cv_2022], MATCH(tblMicrosoftUnits[[#This Row],[Products]],tblPrices[Products],0), 0)* tblMicrosoftUnits[[#This Row],[cv_2022]]/10^6</f>
        <v>0</v>
      </c>
      <c r="R61" s="62" cm="1">
        <f t="array" ref="R61">INDEX(tblPrices[cv_2023], MATCH(tblMicrosoftUnits[[#This Row],[Products]],tblPrices[Products],0), 0)* tblMicrosoftUnits[[#This Row],[cv_2023]]/10^6</f>
        <v>0</v>
      </c>
      <c r="S61" s="62" cm="1">
        <f t="array" ref="S61">INDEX(tblPrices[cv_2024], MATCH(tblMicrosoftUnits[[#This Row],[Products]],tblPrices[Products],0), 0)* tblMicrosoftUnits[[#This Row],[cv_2024]]/10^6</f>
        <v>0</v>
      </c>
      <c r="T61" s="62" cm="1">
        <f t="array" ref="T61">INDEX(tblPrices[cv_2025], MATCH(tblMicrosoftUnits[[#This Row],[Products]],tblPrices[Products],0), 0)* tblMicrosoftUnits[[#This Row],[cv_2025]]/10^6</f>
        <v>0</v>
      </c>
      <c r="U61" s="62" cm="1">
        <f t="array" ref="U61">INDEX(tblPrices[cv_2026], MATCH(tblMicrosoftUnits[[#This Row],[Products]],tblPrices[Products],0), 0)* tblMicrosoftUnits[[#This Row],[cv_2026]]/10^6</f>
        <v>0</v>
      </c>
      <c r="V61" s="62" cm="1">
        <f t="array" ref="V61">INDEX(tblPrices[cv_2027], MATCH(tblMicrosoftUnits[[#This Row],[Products]],tblPrices[Products],0), 0)* tblMicrosoftUnits[[#This Row],[cv_2027]]/10^6</f>
        <v>0</v>
      </c>
      <c r="W61" s="62" cm="1">
        <f t="array" ref="W61">INDEX(tblPrices[cv_2028], MATCH(tblMicrosoftUnits[[#This Row],[Products]],tblPrices[Products],0), 0)* tblMicrosoftUnits[[#This Row],[cv_2028]]/10^6</f>
        <v>0</v>
      </c>
      <c r="X61" s="1">
        <f>VLOOKUP(A61,Products!$A$29:$F$110,6,FALSE)</f>
        <v>400</v>
      </c>
    </row>
    <row r="62" spans="1:24" s="1" customFormat="1" ht="13.15">
      <c r="A62" s="9" t="s">
        <v>32</v>
      </c>
      <c r="B62" s="8">
        <v>0</v>
      </c>
      <c r="C62" s="8">
        <v>160</v>
      </c>
      <c r="D62" s="8"/>
      <c r="E62" s="8"/>
      <c r="F62" s="8"/>
      <c r="G62" s="8"/>
      <c r="H62" s="8"/>
      <c r="I62" s="8"/>
      <c r="J62" s="8"/>
      <c r="K62" s="8"/>
      <c r="L62" s="8"/>
      <c r="M62" s="62" cm="1">
        <f t="array" ref="M62">INDEX(tblPrices[cv_2018], MATCH(tblMicrosoftUnits[[#This Row],[Products]],tblPrices[Products],0), 0)* tblMicrosoftUnits[[#This Row],[cv_2018]]/10^6</f>
        <v>0</v>
      </c>
      <c r="N62" s="62" cm="1">
        <f t="array" ref="N62">INDEX(tblPrices[cv_2019], MATCH(tblMicrosoftUnits[[#This Row],[Products]],tblPrices[Products],0), 0)* tblMicrosoftUnits[[#This Row],[cv_2019]]/10^6</f>
        <v>0.96</v>
      </c>
      <c r="O62" s="62" cm="1">
        <f t="array" ref="O62">INDEX(tblPrices[cv_2020], MATCH(tblMicrosoftUnits[[#This Row],[Products]],tblPrices[Products],0), 0)* tblMicrosoftUnits[[#This Row],[cv_2020]]/10^6</f>
        <v>0</v>
      </c>
      <c r="P62" s="62" cm="1">
        <f t="array" ref="P62">INDEX(tblPrices[cv_2021], MATCH(tblMicrosoftUnits[[#This Row],[Products]],tblPrices[Products],0), 0)* tblMicrosoftUnits[[#This Row],[cv_2021]]/10^6</f>
        <v>0</v>
      </c>
      <c r="Q62" s="62" cm="1">
        <f t="array" ref="Q62">INDEX(tblPrices[cv_2022], MATCH(tblMicrosoftUnits[[#This Row],[Products]],tblPrices[Products],0), 0)* tblMicrosoftUnits[[#This Row],[cv_2022]]/10^6</f>
        <v>0</v>
      </c>
      <c r="R62" s="62" cm="1">
        <f t="array" ref="R62">INDEX(tblPrices[cv_2023], MATCH(tblMicrosoftUnits[[#This Row],[Products]],tblPrices[Products],0), 0)* tblMicrosoftUnits[[#This Row],[cv_2023]]/10^6</f>
        <v>0</v>
      </c>
      <c r="S62" s="62" cm="1">
        <f t="array" ref="S62">INDEX(tblPrices[cv_2024], MATCH(tblMicrosoftUnits[[#This Row],[Products]],tblPrices[Products],0), 0)* tblMicrosoftUnits[[#This Row],[cv_2024]]/10^6</f>
        <v>0</v>
      </c>
      <c r="T62" s="62" cm="1">
        <f t="array" ref="T62">INDEX(tblPrices[cv_2025], MATCH(tblMicrosoftUnits[[#This Row],[Products]],tblPrices[Products],0), 0)* tblMicrosoftUnits[[#This Row],[cv_2025]]/10^6</f>
        <v>0</v>
      </c>
      <c r="U62" s="62" cm="1">
        <f t="array" ref="U62">INDEX(tblPrices[cv_2026], MATCH(tblMicrosoftUnits[[#This Row],[Products]],tblPrices[Products],0), 0)* tblMicrosoftUnits[[#This Row],[cv_2026]]/10^6</f>
        <v>0</v>
      </c>
      <c r="V62" s="62" cm="1">
        <f t="array" ref="V62">INDEX(tblPrices[cv_2027], MATCH(tblMicrosoftUnits[[#This Row],[Products]],tblPrices[Products],0), 0)* tblMicrosoftUnits[[#This Row],[cv_2027]]/10^6</f>
        <v>0</v>
      </c>
      <c r="W62" s="62" cm="1">
        <f t="array" ref="W62">INDEX(tblPrices[cv_2028], MATCH(tblMicrosoftUnits[[#This Row],[Products]],tblPrices[Products],0), 0)* tblMicrosoftUnits[[#This Row],[cv_2028]]/10^6</f>
        <v>0</v>
      </c>
      <c r="X62" s="1">
        <f>VLOOKUP(A62,Products!$A$29:$F$110,6,FALSE)</f>
        <v>400</v>
      </c>
    </row>
    <row r="63" spans="1:24" s="1" customFormat="1" ht="13.15">
      <c r="A63" s="9" t="s">
        <v>33</v>
      </c>
      <c r="B63" s="8">
        <v>0</v>
      </c>
      <c r="C63" s="8">
        <v>0</v>
      </c>
      <c r="D63" s="8"/>
      <c r="E63" s="8"/>
      <c r="F63" s="8"/>
      <c r="G63" s="8"/>
      <c r="H63" s="8"/>
      <c r="I63" s="8"/>
      <c r="J63" s="8"/>
      <c r="K63" s="8"/>
      <c r="L63" s="8"/>
      <c r="M63" s="62" cm="1">
        <f t="array" ref="M63">INDEX(tblPrices[cv_2018], MATCH(tblMicrosoftUnits[[#This Row],[Products]],tblPrices[Products],0), 0)* tblMicrosoftUnits[[#This Row],[cv_2018]]/10^6</f>
        <v>0</v>
      </c>
      <c r="N63" s="62" cm="1">
        <f t="array" ref="N63">INDEX(tblPrices[cv_2019], MATCH(tblMicrosoftUnits[[#This Row],[Products]],tblPrices[Products],0), 0)* tblMicrosoftUnits[[#This Row],[cv_2019]]/10^6</f>
        <v>0</v>
      </c>
      <c r="O63" s="62" cm="1">
        <f t="array" ref="O63">INDEX(tblPrices[cv_2020], MATCH(tblMicrosoftUnits[[#This Row],[Products]],tblPrices[Products],0), 0)* tblMicrosoftUnits[[#This Row],[cv_2020]]/10^6</f>
        <v>0</v>
      </c>
      <c r="P63" s="62" cm="1">
        <f t="array" ref="P63">INDEX(tblPrices[cv_2021], MATCH(tblMicrosoftUnits[[#This Row],[Products]],tblPrices[Products],0), 0)* tblMicrosoftUnits[[#This Row],[cv_2021]]/10^6</f>
        <v>0</v>
      </c>
      <c r="Q63" s="62" cm="1">
        <f t="array" ref="Q63">INDEX(tblPrices[cv_2022], MATCH(tblMicrosoftUnits[[#This Row],[Products]],tblPrices[Products],0), 0)* tblMicrosoftUnits[[#This Row],[cv_2022]]/10^6</f>
        <v>0</v>
      </c>
      <c r="R63" s="62" cm="1">
        <f t="array" ref="R63">INDEX(tblPrices[cv_2023], MATCH(tblMicrosoftUnits[[#This Row],[Products]],tblPrices[Products],0), 0)* tblMicrosoftUnits[[#This Row],[cv_2023]]/10^6</f>
        <v>0</v>
      </c>
      <c r="S63" s="62" cm="1">
        <f t="array" ref="S63">INDEX(tblPrices[cv_2024], MATCH(tblMicrosoftUnits[[#This Row],[Products]],tblPrices[Products],0), 0)* tblMicrosoftUnits[[#This Row],[cv_2024]]/10^6</f>
        <v>0</v>
      </c>
      <c r="T63" s="62" cm="1">
        <f t="array" ref="T63">INDEX(tblPrices[cv_2025], MATCH(tblMicrosoftUnits[[#This Row],[Products]],tblPrices[Products],0), 0)* tblMicrosoftUnits[[#This Row],[cv_2025]]/10^6</f>
        <v>0</v>
      </c>
      <c r="U63" s="62" cm="1">
        <f t="array" ref="U63">INDEX(tblPrices[cv_2026], MATCH(tblMicrosoftUnits[[#This Row],[Products]],tblPrices[Products],0), 0)* tblMicrosoftUnits[[#This Row],[cv_2026]]/10^6</f>
        <v>0</v>
      </c>
      <c r="V63" s="62" cm="1">
        <f t="array" ref="V63">INDEX(tblPrices[cv_2027], MATCH(tblMicrosoftUnits[[#This Row],[Products]],tblPrices[Products],0), 0)* tblMicrosoftUnits[[#This Row],[cv_2027]]/10^6</f>
        <v>0</v>
      </c>
      <c r="W63" s="62" cm="1">
        <f t="array" ref="W63">INDEX(tblPrices[cv_2028], MATCH(tblMicrosoftUnits[[#This Row],[Products]],tblPrices[Products],0), 0)* tblMicrosoftUnits[[#This Row],[cv_2028]]/10^6</f>
        <v>0</v>
      </c>
      <c r="X63" s="1">
        <f>VLOOKUP(A63,Products!$A$29:$F$110,6,FALSE)</f>
        <v>400</v>
      </c>
    </row>
    <row r="64" spans="1:24" s="1" customFormat="1" ht="13.15">
      <c r="A64" s="9" t="s">
        <v>34</v>
      </c>
      <c r="B64" s="8">
        <v>0</v>
      </c>
      <c r="C64" s="8">
        <v>0</v>
      </c>
      <c r="D64" s="8"/>
      <c r="E64" s="8"/>
      <c r="F64" s="8"/>
      <c r="G64" s="8"/>
      <c r="H64" s="8"/>
      <c r="I64" s="8"/>
      <c r="J64" s="8"/>
      <c r="K64" s="8"/>
      <c r="L64" s="8"/>
      <c r="M64" s="62" cm="1">
        <f t="array" ref="M64">INDEX(tblPrices[cv_2018], MATCH(tblMicrosoftUnits[[#This Row],[Products]],tblPrices[Products],0), 0)* tblMicrosoftUnits[[#This Row],[cv_2018]]/10^6</f>
        <v>0</v>
      </c>
      <c r="N64" s="62" cm="1">
        <f t="array" ref="N64">INDEX(tblPrices[cv_2019], MATCH(tblMicrosoftUnits[[#This Row],[Products]],tblPrices[Products],0), 0)* tblMicrosoftUnits[[#This Row],[cv_2019]]/10^6</f>
        <v>0</v>
      </c>
      <c r="O64" s="62" cm="1">
        <f t="array" ref="O64">INDEX(tblPrices[cv_2020], MATCH(tblMicrosoftUnits[[#This Row],[Products]],tblPrices[Products],0), 0)* tblMicrosoftUnits[[#This Row],[cv_2020]]/10^6</f>
        <v>0</v>
      </c>
      <c r="P64" s="62" cm="1">
        <f t="array" ref="P64">INDEX(tblPrices[cv_2021], MATCH(tblMicrosoftUnits[[#This Row],[Products]],tblPrices[Products],0), 0)* tblMicrosoftUnits[[#This Row],[cv_2021]]/10^6</f>
        <v>0</v>
      </c>
      <c r="Q64" s="62" cm="1">
        <f t="array" ref="Q64">INDEX(tblPrices[cv_2022], MATCH(tblMicrosoftUnits[[#This Row],[Products]],tblPrices[Products],0), 0)* tblMicrosoftUnits[[#This Row],[cv_2022]]/10^6</f>
        <v>0</v>
      </c>
      <c r="R64" s="62" cm="1">
        <f t="array" ref="R64">INDEX(tblPrices[cv_2023], MATCH(tblMicrosoftUnits[[#This Row],[Products]],tblPrices[Products],0), 0)* tblMicrosoftUnits[[#This Row],[cv_2023]]/10^6</f>
        <v>0</v>
      </c>
      <c r="S64" s="62" cm="1">
        <f t="array" ref="S64">INDEX(tblPrices[cv_2024], MATCH(tblMicrosoftUnits[[#This Row],[Products]],tblPrices[Products],0), 0)* tblMicrosoftUnits[[#This Row],[cv_2024]]/10^6</f>
        <v>0</v>
      </c>
      <c r="T64" s="62" cm="1">
        <f t="array" ref="T64">INDEX(tblPrices[cv_2025], MATCH(tblMicrosoftUnits[[#This Row],[Products]],tblPrices[Products],0), 0)* tblMicrosoftUnits[[#This Row],[cv_2025]]/10^6</f>
        <v>0</v>
      </c>
      <c r="U64" s="62" cm="1">
        <f t="array" ref="U64">INDEX(tblPrices[cv_2026], MATCH(tblMicrosoftUnits[[#This Row],[Products]],tblPrices[Products],0), 0)* tblMicrosoftUnits[[#This Row],[cv_2026]]/10^6</f>
        <v>0</v>
      </c>
      <c r="V64" s="62" cm="1">
        <f t="array" ref="V64">INDEX(tblPrices[cv_2027], MATCH(tblMicrosoftUnits[[#This Row],[Products]],tblPrices[Products],0), 0)* tblMicrosoftUnits[[#This Row],[cv_2027]]/10^6</f>
        <v>0</v>
      </c>
      <c r="W64" s="62" cm="1">
        <f t="array" ref="W64">INDEX(tblPrices[cv_2028], MATCH(tblMicrosoftUnits[[#This Row],[Products]],tblPrices[Products],0), 0)* tblMicrosoftUnits[[#This Row],[cv_2028]]/10^6</f>
        <v>0</v>
      </c>
      <c r="X64" s="1">
        <f>VLOOKUP(A64,Products!$A$29:$F$110,6,FALSE)</f>
        <v>400</v>
      </c>
    </row>
    <row r="65" spans="1:24" s="1" customFormat="1" ht="13.15">
      <c r="A65" s="9" t="s">
        <v>35</v>
      </c>
      <c r="B65" s="8">
        <v>0</v>
      </c>
      <c r="C65" s="8">
        <v>0</v>
      </c>
      <c r="D65" s="8"/>
      <c r="E65" s="8"/>
      <c r="F65" s="8"/>
      <c r="G65" s="8"/>
      <c r="H65" s="8"/>
      <c r="I65" s="8"/>
      <c r="J65" s="8"/>
      <c r="K65" s="8"/>
      <c r="L65" s="8"/>
      <c r="M65" s="62" cm="1">
        <f t="array" ref="M65">INDEX(tblPrices[cv_2018], MATCH(tblMicrosoftUnits[[#This Row],[Products]],tblPrices[Products],0), 0)* tblMicrosoftUnits[[#This Row],[cv_2018]]/10^6</f>
        <v>0</v>
      </c>
      <c r="N65" s="62" cm="1">
        <f t="array" ref="N65">INDEX(tblPrices[cv_2019], MATCH(tblMicrosoftUnits[[#This Row],[Products]],tblPrices[Products],0), 0)* tblMicrosoftUnits[[#This Row],[cv_2019]]/10^6</f>
        <v>0</v>
      </c>
      <c r="O65" s="62" cm="1">
        <f t="array" ref="O65">INDEX(tblPrices[cv_2020], MATCH(tblMicrosoftUnits[[#This Row],[Products]],tblPrices[Products],0), 0)* tblMicrosoftUnits[[#This Row],[cv_2020]]/10^6</f>
        <v>0</v>
      </c>
      <c r="P65" s="62" cm="1">
        <f t="array" ref="P65">INDEX(tblPrices[cv_2021], MATCH(tblMicrosoftUnits[[#This Row],[Products]],tblPrices[Products],0), 0)* tblMicrosoftUnits[[#This Row],[cv_2021]]/10^6</f>
        <v>0</v>
      </c>
      <c r="Q65" s="62" cm="1">
        <f t="array" ref="Q65">INDEX(tblPrices[cv_2022], MATCH(tblMicrosoftUnits[[#This Row],[Products]],tblPrices[Products],0), 0)* tblMicrosoftUnits[[#This Row],[cv_2022]]/10^6</f>
        <v>0</v>
      </c>
      <c r="R65" s="62" cm="1">
        <f t="array" ref="R65">INDEX(tblPrices[cv_2023], MATCH(tblMicrosoftUnits[[#This Row],[Products]],tblPrices[Products],0), 0)* tblMicrosoftUnits[[#This Row],[cv_2023]]/10^6</f>
        <v>0</v>
      </c>
      <c r="S65" s="62" cm="1">
        <f t="array" ref="S65">INDEX(tblPrices[cv_2024], MATCH(tblMicrosoftUnits[[#This Row],[Products]],tblPrices[Products],0), 0)* tblMicrosoftUnits[[#This Row],[cv_2024]]/10^6</f>
        <v>0</v>
      </c>
      <c r="T65" s="62" cm="1">
        <f t="array" ref="T65">INDEX(tblPrices[cv_2025], MATCH(tblMicrosoftUnits[[#This Row],[Products]],tblPrices[Products],0), 0)* tblMicrosoftUnits[[#This Row],[cv_2025]]/10^6</f>
        <v>0</v>
      </c>
      <c r="U65" s="62" cm="1">
        <f t="array" ref="U65">INDEX(tblPrices[cv_2026], MATCH(tblMicrosoftUnits[[#This Row],[Products]],tblPrices[Products],0), 0)* tblMicrosoftUnits[[#This Row],[cv_2026]]/10^6</f>
        <v>0</v>
      </c>
      <c r="V65" s="62" cm="1">
        <f t="array" ref="V65">INDEX(tblPrices[cv_2027], MATCH(tblMicrosoftUnits[[#This Row],[Products]],tblPrices[Products],0), 0)* tblMicrosoftUnits[[#This Row],[cv_2027]]/10^6</f>
        <v>0</v>
      </c>
      <c r="W65" s="62" cm="1">
        <f t="array" ref="W65">INDEX(tblPrices[cv_2028], MATCH(tblMicrosoftUnits[[#This Row],[Products]],tblPrices[Products],0), 0)* tblMicrosoftUnits[[#This Row],[cv_2028]]/10^6</f>
        <v>0</v>
      </c>
      <c r="X65" s="1">
        <f>VLOOKUP(A65,Products!$A$29:$F$110,6,FALSE)</f>
        <v>600</v>
      </c>
    </row>
    <row r="66" spans="1:24" s="1" customFormat="1" ht="13.15">
      <c r="A66" s="9" t="s">
        <v>36</v>
      </c>
      <c r="B66" s="8">
        <v>0</v>
      </c>
      <c r="C66" s="8">
        <v>0</v>
      </c>
      <c r="D66" s="8"/>
      <c r="E66" s="8"/>
      <c r="F66" s="8"/>
      <c r="G66" s="8"/>
      <c r="H66" s="8"/>
      <c r="I66" s="8"/>
      <c r="J66" s="8"/>
      <c r="K66" s="8"/>
      <c r="L66" s="8"/>
      <c r="M66" s="62" cm="1">
        <f t="array" ref="M66">INDEX(tblPrices[cv_2018], MATCH(tblMicrosoftUnits[[#This Row],[Products]],tblPrices[Products],0), 0)* tblMicrosoftUnits[[#This Row],[cv_2018]]/10^6</f>
        <v>0</v>
      </c>
      <c r="N66" s="62" cm="1">
        <f t="array" ref="N66">INDEX(tblPrices[cv_2019], MATCH(tblMicrosoftUnits[[#This Row],[Products]],tblPrices[Products],0), 0)* tblMicrosoftUnits[[#This Row],[cv_2019]]/10^6</f>
        <v>0</v>
      </c>
      <c r="O66" s="62" cm="1">
        <f t="array" ref="O66">INDEX(tblPrices[cv_2020], MATCH(tblMicrosoftUnits[[#This Row],[Products]],tblPrices[Products],0), 0)* tblMicrosoftUnits[[#This Row],[cv_2020]]/10^6</f>
        <v>0</v>
      </c>
      <c r="P66" s="62" cm="1">
        <f t="array" ref="P66">INDEX(tblPrices[cv_2021], MATCH(tblMicrosoftUnits[[#This Row],[Products]],tblPrices[Products],0), 0)* tblMicrosoftUnits[[#This Row],[cv_2021]]/10^6</f>
        <v>0</v>
      </c>
      <c r="Q66" s="62" cm="1">
        <f t="array" ref="Q66">INDEX(tblPrices[cv_2022], MATCH(tblMicrosoftUnits[[#This Row],[Products]],tblPrices[Products],0), 0)* tblMicrosoftUnits[[#This Row],[cv_2022]]/10^6</f>
        <v>0</v>
      </c>
      <c r="R66" s="62" cm="1">
        <f t="array" ref="R66">INDEX(tblPrices[cv_2023], MATCH(tblMicrosoftUnits[[#This Row],[Products]],tblPrices[Products],0), 0)* tblMicrosoftUnits[[#This Row],[cv_2023]]/10^6</f>
        <v>0</v>
      </c>
      <c r="S66" s="62" cm="1">
        <f t="array" ref="S66">INDEX(tblPrices[cv_2024], MATCH(tblMicrosoftUnits[[#This Row],[Products]],tblPrices[Products],0), 0)* tblMicrosoftUnits[[#This Row],[cv_2024]]/10^6</f>
        <v>0</v>
      </c>
      <c r="T66" s="62" cm="1">
        <f t="array" ref="T66">INDEX(tblPrices[cv_2025], MATCH(tblMicrosoftUnits[[#This Row],[Products]],tblPrices[Products],0), 0)* tblMicrosoftUnits[[#This Row],[cv_2025]]/10^6</f>
        <v>0</v>
      </c>
      <c r="U66" s="62" cm="1">
        <f t="array" ref="U66">INDEX(tblPrices[cv_2026], MATCH(tblMicrosoftUnits[[#This Row],[Products]],tblPrices[Products],0), 0)* tblMicrosoftUnits[[#This Row],[cv_2026]]/10^6</f>
        <v>0</v>
      </c>
      <c r="V66" s="62" cm="1">
        <f t="array" ref="V66">INDEX(tblPrices[cv_2027], MATCH(tblMicrosoftUnits[[#This Row],[Products]],tblPrices[Products],0), 0)* tblMicrosoftUnits[[#This Row],[cv_2027]]/10^6</f>
        <v>0</v>
      </c>
      <c r="W66" s="62" cm="1">
        <f t="array" ref="W66">INDEX(tblPrices[cv_2028], MATCH(tblMicrosoftUnits[[#This Row],[Products]],tblPrices[Products],0), 0)* tblMicrosoftUnits[[#This Row],[cv_2028]]/10^6</f>
        <v>0</v>
      </c>
      <c r="X66" s="1">
        <f>VLOOKUP(A66,Products!$A$29:$F$110,6,FALSE)</f>
        <v>800</v>
      </c>
    </row>
    <row r="67" spans="1:24" s="1" customFormat="1" ht="13.15">
      <c r="A67" s="9" t="s">
        <v>37</v>
      </c>
      <c r="B67" s="8">
        <v>0</v>
      </c>
      <c r="C67" s="8">
        <v>0</v>
      </c>
      <c r="D67" s="8"/>
      <c r="E67" s="8"/>
      <c r="F67" s="8"/>
      <c r="G67" s="8"/>
      <c r="H67" s="8"/>
      <c r="I67" s="8"/>
      <c r="J67" s="8"/>
      <c r="K67" s="8"/>
      <c r="L67" s="8"/>
      <c r="M67" s="62" cm="1">
        <f t="array" ref="M67">INDEX(tblPrices[cv_2018], MATCH(tblMicrosoftUnits[[#This Row],[Products]],tblPrices[Products],0), 0)* tblMicrosoftUnits[[#This Row],[cv_2018]]/10^6</f>
        <v>0</v>
      </c>
      <c r="N67" s="62" cm="1">
        <f t="array" ref="N67">INDEX(tblPrices[cv_2019], MATCH(tblMicrosoftUnits[[#This Row],[Products]],tblPrices[Products],0), 0)* tblMicrosoftUnits[[#This Row],[cv_2019]]/10^6</f>
        <v>0</v>
      </c>
      <c r="O67" s="62" cm="1">
        <f t="array" ref="O67">INDEX(tblPrices[cv_2020], MATCH(tblMicrosoftUnits[[#This Row],[Products]],tblPrices[Products],0), 0)* tblMicrosoftUnits[[#This Row],[cv_2020]]/10^6</f>
        <v>0</v>
      </c>
      <c r="P67" s="62" cm="1">
        <f t="array" ref="P67">INDEX(tblPrices[cv_2021], MATCH(tblMicrosoftUnits[[#This Row],[Products]],tblPrices[Products],0), 0)* tblMicrosoftUnits[[#This Row],[cv_2021]]/10^6</f>
        <v>0</v>
      </c>
      <c r="Q67" s="62" cm="1">
        <f t="array" ref="Q67">INDEX(tblPrices[cv_2022], MATCH(tblMicrosoftUnits[[#This Row],[Products]],tblPrices[Products],0), 0)* tblMicrosoftUnits[[#This Row],[cv_2022]]/10^6</f>
        <v>0</v>
      </c>
      <c r="R67" s="62" cm="1">
        <f t="array" ref="R67">INDEX(tblPrices[cv_2023], MATCH(tblMicrosoftUnits[[#This Row],[Products]],tblPrices[Products],0), 0)* tblMicrosoftUnits[[#This Row],[cv_2023]]/10^6</f>
        <v>0</v>
      </c>
      <c r="S67" s="62" cm="1">
        <f t="array" ref="S67">INDEX(tblPrices[cv_2024], MATCH(tblMicrosoftUnits[[#This Row],[Products]],tblPrices[Products],0), 0)* tblMicrosoftUnits[[#This Row],[cv_2024]]/10^6</f>
        <v>0</v>
      </c>
      <c r="T67" s="62" cm="1">
        <f t="array" ref="T67">INDEX(tblPrices[cv_2025], MATCH(tblMicrosoftUnits[[#This Row],[Products]],tblPrices[Products],0), 0)* tblMicrosoftUnits[[#This Row],[cv_2025]]/10^6</f>
        <v>0</v>
      </c>
      <c r="U67" s="62" cm="1">
        <f t="array" ref="U67">INDEX(tblPrices[cv_2026], MATCH(tblMicrosoftUnits[[#This Row],[Products]],tblPrices[Products],0), 0)* tblMicrosoftUnits[[#This Row],[cv_2026]]/10^6</f>
        <v>0</v>
      </c>
      <c r="V67" s="62" cm="1">
        <f t="array" ref="V67">INDEX(tblPrices[cv_2027], MATCH(tblMicrosoftUnits[[#This Row],[Products]],tblPrices[Products],0), 0)* tblMicrosoftUnits[[#This Row],[cv_2027]]/10^6</f>
        <v>0</v>
      </c>
      <c r="W67" s="62" cm="1">
        <f t="array" ref="W67">INDEX(tblPrices[cv_2028], MATCH(tblMicrosoftUnits[[#This Row],[Products]],tblPrices[Products],0), 0)* tblMicrosoftUnits[[#This Row],[cv_2028]]/10^6</f>
        <v>0</v>
      </c>
      <c r="X67" s="1">
        <f>VLOOKUP(A67,Products!$A$29:$F$110,6,FALSE)</f>
        <v>800</v>
      </c>
    </row>
    <row r="68" spans="1:24" s="1" customFormat="1" ht="13.15">
      <c r="A68" s="9" t="s">
        <v>38</v>
      </c>
      <c r="B68" s="8">
        <v>0</v>
      </c>
      <c r="C68" s="8">
        <v>0</v>
      </c>
      <c r="D68" s="8"/>
      <c r="E68" s="8"/>
      <c r="F68" s="8"/>
      <c r="G68" s="8"/>
      <c r="H68" s="8"/>
      <c r="I68" s="8"/>
      <c r="J68" s="8"/>
      <c r="K68" s="8"/>
      <c r="L68" s="8"/>
      <c r="M68" s="62" cm="1">
        <f t="array" ref="M68">INDEX(tblPrices[cv_2018], MATCH(tblMicrosoftUnits[[#This Row],[Products]],tblPrices[Products],0), 0)* tblMicrosoftUnits[[#This Row],[cv_2018]]/10^6</f>
        <v>0</v>
      </c>
      <c r="N68" s="62" cm="1">
        <f t="array" ref="N68">INDEX(tblPrices[cv_2019], MATCH(tblMicrosoftUnits[[#This Row],[Products]],tblPrices[Products],0), 0)* tblMicrosoftUnits[[#This Row],[cv_2019]]/10^6</f>
        <v>0</v>
      </c>
      <c r="O68" s="62" cm="1">
        <f t="array" ref="O68">INDEX(tblPrices[cv_2020], MATCH(tblMicrosoftUnits[[#This Row],[Products]],tblPrices[Products],0), 0)* tblMicrosoftUnits[[#This Row],[cv_2020]]/10^6</f>
        <v>0</v>
      </c>
      <c r="P68" s="62" cm="1">
        <f t="array" ref="P68">INDEX(tblPrices[cv_2021], MATCH(tblMicrosoftUnits[[#This Row],[Products]],tblPrices[Products],0), 0)* tblMicrosoftUnits[[#This Row],[cv_2021]]/10^6</f>
        <v>0</v>
      </c>
      <c r="Q68" s="62" cm="1">
        <f t="array" ref="Q68">INDEX(tblPrices[cv_2022], MATCH(tblMicrosoftUnits[[#This Row],[Products]],tblPrices[Products],0), 0)* tblMicrosoftUnits[[#This Row],[cv_2022]]/10^6</f>
        <v>0</v>
      </c>
      <c r="R68" s="62" cm="1">
        <f t="array" ref="R68">INDEX(tblPrices[cv_2023], MATCH(tblMicrosoftUnits[[#This Row],[Products]],tblPrices[Products],0), 0)* tblMicrosoftUnits[[#This Row],[cv_2023]]/10^6</f>
        <v>0</v>
      </c>
      <c r="S68" s="62" cm="1">
        <f t="array" ref="S68">INDEX(tblPrices[cv_2024], MATCH(tblMicrosoftUnits[[#This Row],[Products]],tblPrices[Products],0), 0)* tblMicrosoftUnits[[#This Row],[cv_2024]]/10^6</f>
        <v>0</v>
      </c>
      <c r="T68" s="62" cm="1">
        <f t="array" ref="T68">INDEX(tblPrices[cv_2025], MATCH(tblMicrosoftUnits[[#This Row],[Products]],tblPrices[Products],0), 0)* tblMicrosoftUnits[[#This Row],[cv_2025]]/10^6</f>
        <v>0</v>
      </c>
      <c r="U68" s="62" cm="1">
        <f t="array" ref="U68">INDEX(tblPrices[cv_2026], MATCH(tblMicrosoftUnits[[#This Row],[Products]],tblPrices[Products],0), 0)* tblMicrosoftUnits[[#This Row],[cv_2026]]/10^6</f>
        <v>0</v>
      </c>
      <c r="V68" s="62" cm="1">
        <f t="array" ref="V68">INDEX(tblPrices[cv_2027], MATCH(tblMicrosoftUnits[[#This Row],[Products]],tblPrices[Products],0), 0)* tblMicrosoftUnits[[#This Row],[cv_2027]]/10^6</f>
        <v>0</v>
      </c>
      <c r="W68" s="62" cm="1">
        <f t="array" ref="W68">INDEX(tblPrices[cv_2028], MATCH(tblMicrosoftUnits[[#This Row],[Products]],tblPrices[Products],0), 0)* tblMicrosoftUnits[[#This Row],[cv_2028]]/10^6</f>
        <v>0</v>
      </c>
      <c r="X68" s="1">
        <f>VLOOKUP(A68,Products!$A$29:$F$110,6,FALSE)</f>
        <v>1200</v>
      </c>
    </row>
    <row r="69" spans="1:24" s="1" customFormat="1" ht="13.15">
      <c r="A69" s="9" t="s">
        <v>39</v>
      </c>
      <c r="B69" s="8">
        <v>0</v>
      </c>
      <c r="C69" s="8">
        <v>0</v>
      </c>
      <c r="D69" s="8"/>
      <c r="E69" s="8"/>
      <c r="F69" s="8"/>
      <c r="G69" s="8"/>
      <c r="H69" s="8"/>
      <c r="I69" s="8"/>
      <c r="J69" s="8"/>
      <c r="K69" s="8"/>
      <c r="L69" s="8"/>
      <c r="M69" s="62" cm="1">
        <f t="array" ref="M69">INDEX(tblPrices[cv_2018], MATCH(tblMicrosoftUnits[[#This Row],[Products]],tblPrices[Products],0), 0)* tblMicrosoftUnits[[#This Row],[cv_2018]]/10^6</f>
        <v>0</v>
      </c>
      <c r="N69" s="62" cm="1">
        <f t="array" ref="N69">INDEX(tblPrices[cv_2019], MATCH(tblMicrosoftUnits[[#This Row],[Products]],tblPrices[Products],0), 0)* tblMicrosoftUnits[[#This Row],[cv_2019]]/10^6</f>
        <v>0</v>
      </c>
      <c r="O69" s="62" cm="1">
        <f t="array" ref="O69">INDEX(tblPrices[cv_2020], MATCH(tblMicrosoftUnits[[#This Row],[Products]],tblPrices[Products],0), 0)* tblMicrosoftUnits[[#This Row],[cv_2020]]/10^6</f>
        <v>0</v>
      </c>
      <c r="P69" s="62" cm="1">
        <f t="array" ref="P69">INDEX(tblPrices[cv_2021], MATCH(tblMicrosoftUnits[[#This Row],[Products]],tblPrices[Products],0), 0)* tblMicrosoftUnits[[#This Row],[cv_2021]]/10^6</f>
        <v>0</v>
      </c>
      <c r="Q69" s="62" cm="1">
        <f t="array" ref="Q69">INDEX(tblPrices[cv_2022], MATCH(tblMicrosoftUnits[[#This Row],[Products]],tblPrices[Products],0), 0)* tblMicrosoftUnits[[#This Row],[cv_2022]]/10^6</f>
        <v>0</v>
      </c>
      <c r="R69" s="62" cm="1">
        <f t="array" ref="R69">INDEX(tblPrices[cv_2023], MATCH(tblMicrosoftUnits[[#This Row],[Products]],tblPrices[Products],0), 0)* tblMicrosoftUnits[[#This Row],[cv_2023]]/10^6</f>
        <v>0</v>
      </c>
      <c r="S69" s="62" cm="1">
        <f t="array" ref="S69">INDEX(tblPrices[cv_2024], MATCH(tblMicrosoftUnits[[#This Row],[Products]],tblPrices[Products],0), 0)* tblMicrosoftUnits[[#This Row],[cv_2024]]/10^6</f>
        <v>0</v>
      </c>
      <c r="T69" s="62" cm="1">
        <f t="array" ref="T69">INDEX(tblPrices[cv_2025], MATCH(tblMicrosoftUnits[[#This Row],[Products]],tblPrices[Products],0), 0)* tblMicrosoftUnits[[#This Row],[cv_2025]]/10^6</f>
        <v>0</v>
      </c>
      <c r="U69" s="62" cm="1">
        <f t="array" ref="U69">INDEX(tblPrices[cv_2026], MATCH(tblMicrosoftUnits[[#This Row],[Products]],tblPrices[Products],0), 0)* tblMicrosoftUnits[[#This Row],[cv_2026]]/10^6</f>
        <v>0</v>
      </c>
      <c r="V69" s="62" cm="1">
        <f t="array" ref="V69">INDEX(tblPrices[cv_2027], MATCH(tblMicrosoftUnits[[#This Row],[Products]],tblPrices[Products],0), 0)* tblMicrosoftUnits[[#This Row],[cv_2027]]/10^6</f>
        <v>0</v>
      </c>
      <c r="W69" s="62" cm="1">
        <f t="array" ref="W69">INDEX(tblPrices[cv_2028], MATCH(tblMicrosoftUnits[[#This Row],[Products]],tblPrices[Products],0), 0)* tblMicrosoftUnits[[#This Row],[cv_2028]]/10^6</f>
        <v>0</v>
      </c>
      <c r="X69" s="1">
        <f>VLOOKUP(A69,Products!$A$29:$F$110,6,FALSE)</f>
        <v>1600</v>
      </c>
    </row>
    <row r="70" spans="1:24">
      <c r="A70" s="1" t="s">
        <v>46</v>
      </c>
      <c r="B70" s="2">
        <f t="shared" ref="B70:W70" si="0">SUM(B41:B69)</f>
        <v>397266.42973843915</v>
      </c>
      <c r="C70" s="2">
        <f t="shared" si="0"/>
        <v>659965.26540405757</v>
      </c>
      <c r="D70" s="2">
        <f t="shared" si="0"/>
        <v>0</v>
      </c>
      <c r="E70" s="2">
        <f t="shared" si="0"/>
        <v>0</v>
      </c>
      <c r="F70" s="2">
        <f t="shared" si="0"/>
        <v>0</v>
      </c>
      <c r="G70" s="2">
        <f t="shared" si="0"/>
        <v>0</v>
      </c>
      <c r="H70" s="2">
        <f t="shared" si="0"/>
        <v>0</v>
      </c>
      <c r="I70" s="2">
        <f t="shared" si="0"/>
        <v>0</v>
      </c>
      <c r="J70" s="2">
        <f t="shared" si="0"/>
        <v>0</v>
      </c>
      <c r="K70" s="2">
        <f t="shared" si="0"/>
        <v>0</v>
      </c>
      <c r="L70" s="2">
        <f t="shared" si="0"/>
        <v>0</v>
      </c>
      <c r="M70" s="63">
        <f t="shared" si="0"/>
        <v>203.63574831975438</v>
      </c>
      <c r="N70" s="63">
        <f t="shared" si="0"/>
        <v>244.24431498648801</v>
      </c>
      <c r="O70" s="63">
        <f t="shared" si="0"/>
        <v>0</v>
      </c>
      <c r="P70" s="63">
        <f t="shared" si="0"/>
        <v>0</v>
      </c>
      <c r="Q70" s="63">
        <f t="shared" si="0"/>
        <v>0</v>
      </c>
      <c r="R70" s="63">
        <f t="shared" si="0"/>
        <v>0</v>
      </c>
      <c r="S70" s="63">
        <f t="shared" si="0"/>
        <v>0</v>
      </c>
      <c r="T70" s="63">
        <f t="shared" si="0"/>
        <v>0</v>
      </c>
      <c r="U70" s="63">
        <f t="shared" si="0"/>
        <v>0</v>
      </c>
      <c r="V70" s="63">
        <f t="shared" si="0"/>
        <v>0</v>
      </c>
      <c r="W70" s="63">
        <f t="shared" si="0"/>
        <v>0</v>
      </c>
      <c r="X70" s="1"/>
    </row>
    <row r="71" spans="1:24">
      <c r="A71" s="1"/>
      <c r="B71" s="1"/>
      <c r="C71" s="1"/>
      <c r="D71" s="1"/>
      <c r="E71" s="1"/>
      <c r="F71" s="33"/>
      <c r="G71" s="33"/>
      <c r="H71" s="33"/>
      <c r="I71" s="33"/>
      <c r="J71" s="33"/>
      <c r="K71" s="33"/>
      <c r="L71" s="33"/>
      <c r="M71" s="1"/>
      <c r="N71" s="1"/>
      <c r="O71" s="1"/>
      <c r="P71" s="1"/>
      <c r="Q71" s="1"/>
      <c r="R71" s="1"/>
      <c r="S71" s="1"/>
      <c r="T71" s="1"/>
      <c r="U71" s="1"/>
      <c r="V71" s="1"/>
      <c r="W71" s="1"/>
      <c r="X71" s="1"/>
    </row>
    <row r="72" spans="1:24">
      <c r="A72" s="175" t="s">
        <v>431</v>
      </c>
      <c r="B72" s="68">
        <v>2018</v>
      </c>
      <c r="C72" s="50">
        <v>2019</v>
      </c>
      <c r="D72" s="50">
        <v>2020</v>
      </c>
      <c r="E72" s="50">
        <v>2021</v>
      </c>
      <c r="F72" s="50">
        <v>2022</v>
      </c>
      <c r="G72" s="50">
        <v>2023</v>
      </c>
      <c r="H72" s="50">
        <v>2024</v>
      </c>
      <c r="I72" s="50">
        <v>2025</v>
      </c>
      <c r="J72" s="50">
        <v>2026</v>
      </c>
      <c r="K72" s="50">
        <v>2027</v>
      </c>
      <c r="L72" s="50">
        <v>2028</v>
      </c>
      <c r="M72" s="68">
        <v>2018</v>
      </c>
      <c r="N72" s="50">
        <v>2019</v>
      </c>
      <c r="O72" s="50">
        <v>2020</v>
      </c>
      <c r="P72" s="50">
        <v>2021</v>
      </c>
      <c r="Q72" s="50">
        <v>2022</v>
      </c>
      <c r="R72" s="50">
        <v>2023</v>
      </c>
      <c r="S72" s="50">
        <v>2024</v>
      </c>
      <c r="T72" s="50">
        <v>2025</v>
      </c>
      <c r="U72" s="50">
        <v>2026</v>
      </c>
      <c r="V72" s="50">
        <v>2027</v>
      </c>
      <c r="W72" s="50">
        <v>2028</v>
      </c>
      <c r="X72" s="1"/>
    </row>
    <row r="73" spans="1:24">
      <c r="A73" s="65" t="s">
        <v>80</v>
      </c>
      <c r="B73" s="2">
        <f t="shared" ref="B73:W73" si="1">SUMIF($X$41:$X$50,40,B$41:B$50)</f>
        <v>100541.6</v>
      </c>
      <c r="C73" s="2">
        <f t="shared" si="1"/>
        <v>59580</v>
      </c>
      <c r="D73" s="2">
        <f t="shared" si="1"/>
        <v>0</v>
      </c>
      <c r="E73" s="2">
        <f t="shared" si="1"/>
        <v>0</v>
      </c>
      <c r="F73" s="2">
        <f t="shared" si="1"/>
        <v>0</v>
      </c>
      <c r="G73" s="2">
        <f t="shared" si="1"/>
        <v>0</v>
      </c>
      <c r="H73" s="2">
        <f t="shared" si="1"/>
        <v>0</v>
      </c>
      <c r="I73" s="2">
        <f t="shared" si="1"/>
        <v>0</v>
      </c>
      <c r="J73" s="2">
        <f t="shared" si="1"/>
        <v>0</v>
      </c>
      <c r="K73" s="2">
        <f t="shared" si="1"/>
        <v>0</v>
      </c>
      <c r="L73" s="2">
        <f t="shared" si="1"/>
        <v>0</v>
      </c>
      <c r="M73" s="71">
        <f t="shared" si="1"/>
        <v>25.311430000000001</v>
      </c>
      <c r="N73" s="63">
        <f t="shared" si="1"/>
        <v>13.649742839999998</v>
      </c>
      <c r="O73" s="63">
        <f t="shared" si="1"/>
        <v>0</v>
      </c>
      <c r="P73" s="63">
        <f t="shared" si="1"/>
        <v>0</v>
      </c>
      <c r="Q73" s="63">
        <f t="shared" si="1"/>
        <v>0</v>
      </c>
      <c r="R73" s="63">
        <f t="shared" si="1"/>
        <v>0</v>
      </c>
      <c r="S73" s="63">
        <f t="shared" si="1"/>
        <v>0</v>
      </c>
      <c r="T73" s="63">
        <f t="shared" si="1"/>
        <v>0</v>
      </c>
      <c r="U73" s="63">
        <f t="shared" si="1"/>
        <v>0</v>
      </c>
      <c r="V73" s="63">
        <f t="shared" si="1"/>
        <v>0</v>
      </c>
      <c r="W73" s="63">
        <f t="shared" si="1"/>
        <v>0</v>
      </c>
      <c r="X73" s="1"/>
    </row>
    <row r="74" spans="1:24">
      <c r="A74" s="65" t="s">
        <v>205</v>
      </c>
      <c r="B74" s="2">
        <f t="shared" ref="B74:W74" si="2">SUMIF($X$41:$X$50,100,B$41:B$50)</f>
        <v>48859.544999999984</v>
      </c>
      <c r="C74" s="2">
        <f t="shared" si="2"/>
        <v>190738.99999999997</v>
      </c>
      <c r="D74" s="2">
        <f t="shared" si="2"/>
        <v>0</v>
      </c>
      <c r="E74" s="2">
        <f t="shared" si="2"/>
        <v>0</v>
      </c>
      <c r="F74" s="2">
        <f t="shared" si="2"/>
        <v>0</v>
      </c>
      <c r="G74" s="2">
        <f t="shared" si="2"/>
        <v>0</v>
      </c>
      <c r="H74" s="2">
        <f t="shared" si="2"/>
        <v>0</v>
      </c>
      <c r="I74" s="2">
        <f t="shared" si="2"/>
        <v>0</v>
      </c>
      <c r="J74" s="2">
        <f t="shared" si="2"/>
        <v>0</v>
      </c>
      <c r="K74" s="2">
        <f t="shared" si="2"/>
        <v>0</v>
      </c>
      <c r="L74" s="2">
        <f t="shared" si="2"/>
        <v>0</v>
      </c>
      <c r="M74" s="69">
        <f t="shared" si="2"/>
        <v>9.1865881599999959</v>
      </c>
      <c r="N74" s="63">
        <f t="shared" si="2"/>
        <v>30.519245742156603</v>
      </c>
      <c r="O74" s="63">
        <f t="shared" si="2"/>
        <v>0</v>
      </c>
      <c r="P74" s="63">
        <f t="shared" si="2"/>
        <v>0</v>
      </c>
      <c r="Q74" s="63">
        <f t="shared" si="2"/>
        <v>0</v>
      </c>
      <c r="R74" s="63">
        <f t="shared" si="2"/>
        <v>0</v>
      </c>
      <c r="S74" s="63">
        <f t="shared" si="2"/>
        <v>0</v>
      </c>
      <c r="T74" s="63">
        <f t="shared" si="2"/>
        <v>0</v>
      </c>
      <c r="U74" s="63">
        <f t="shared" si="2"/>
        <v>0</v>
      </c>
      <c r="V74" s="63">
        <f t="shared" si="2"/>
        <v>0</v>
      </c>
      <c r="W74" s="63">
        <f t="shared" si="2"/>
        <v>0</v>
      </c>
      <c r="X74" s="1"/>
    </row>
    <row r="75" spans="1:24">
      <c r="A75" s="65" t="s">
        <v>206</v>
      </c>
      <c r="B75" s="2">
        <f t="shared" ref="B75:W75" si="3">SUMIF($X$41:$X$50,200,B$41:B$50)</f>
        <v>0</v>
      </c>
      <c r="C75" s="2">
        <f t="shared" si="3"/>
        <v>0</v>
      </c>
      <c r="D75" s="2">
        <f t="shared" si="3"/>
        <v>0</v>
      </c>
      <c r="E75" s="2">
        <f t="shared" si="3"/>
        <v>0</v>
      </c>
      <c r="F75" s="2">
        <f t="shared" si="3"/>
        <v>0</v>
      </c>
      <c r="G75" s="2">
        <f t="shared" si="3"/>
        <v>0</v>
      </c>
      <c r="H75" s="2">
        <f t="shared" si="3"/>
        <v>0</v>
      </c>
      <c r="I75" s="2">
        <f t="shared" si="3"/>
        <v>0</v>
      </c>
      <c r="J75" s="2">
        <f t="shared" si="3"/>
        <v>0</v>
      </c>
      <c r="K75" s="2">
        <f t="shared" si="3"/>
        <v>0</v>
      </c>
      <c r="L75" s="2">
        <f t="shared" si="3"/>
        <v>0</v>
      </c>
      <c r="M75" s="69">
        <f t="shared" si="3"/>
        <v>0</v>
      </c>
      <c r="N75" s="63">
        <f t="shared" si="3"/>
        <v>0</v>
      </c>
      <c r="O75" s="63">
        <f t="shared" si="3"/>
        <v>0</v>
      </c>
      <c r="P75" s="63">
        <f t="shared" si="3"/>
        <v>0</v>
      </c>
      <c r="Q75" s="63">
        <f t="shared" si="3"/>
        <v>0</v>
      </c>
      <c r="R75" s="63">
        <f t="shared" si="3"/>
        <v>0</v>
      </c>
      <c r="S75" s="63">
        <f t="shared" si="3"/>
        <v>0</v>
      </c>
      <c r="T75" s="63">
        <f t="shared" si="3"/>
        <v>0</v>
      </c>
      <c r="U75" s="63">
        <f t="shared" si="3"/>
        <v>0</v>
      </c>
      <c r="V75" s="63">
        <f t="shared" si="3"/>
        <v>0</v>
      </c>
      <c r="W75" s="63">
        <f t="shared" si="3"/>
        <v>0</v>
      </c>
      <c r="X75" s="1"/>
    </row>
    <row r="76" spans="1:24">
      <c r="A76" s="65" t="s">
        <v>207</v>
      </c>
      <c r="B76" s="2">
        <f t="shared" ref="B76:W76" si="4">SUMIF($X$41:$X$50,400,B$41:B$50)</f>
        <v>0</v>
      </c>
      <c r="C76" s="2">
        <f t="shared" si="4"/>
        <v>0</v>
      </c>
      <c r="D76" s="2">
        <f t="shared" si="4"/>
        <v>0</v>
      </c>
      <c r="E76" s="2">
        <f t="shared" si="4"/>
        <v>0</v>
      </c>
      <c r="F76" s="2">
        <f t="shared" si="4"/>
        <v>0</v>
      </c>
      <c r="G76" s="2">
        <f t="shared" si="4"/>
        <v>0</v>
      </c>
      <c r="H76" s="2">
        <f t="shared" si="4"/>
        <v>0</v>
      </c>
      <c r="I76" s="2">
        <f t="shared" si="4"/>
        <v>0</v>
      </c>
      <c r="J76" s="2">
        <f t="shared" si="4"/>
        <v>0</v>
      </c>
      <c r="K76" s="2">
        <f t="shared" si="4"/>
        <v>0</v>
      </c>
      <c r="L76" s="2">
        <f t="shared" si="4"/>
        <v>0</v>
      </c>
      <c r="M76" s="69">
        <f t="shared" si="4"/>
        <v>0</v>
      </c>
      <c r="N76" s="63">
        <f t="shared" si="4"/>
        <v>0</v>
      </c>
      <c r="O76" s="63">
        <f t="shared" si="4"/>
        <v>0</v>
      </c>
      <c r="P76" s="63">
        <f t="shared" si="4"/>
        <v>0</v>
      </c>
      <c r="Q76" s="63">
        <f t="shared" si="4"/>
        <v>0</v>
      </c>
      <c r="R76" s="63">
        <f t="shared" si="4"/>
        <v>0</v>
      </c>
      <c r="S76" s="63">
        <f t="shared" si="4"/>
        <v>0</v>
      </c>
      <c r="T76" s="63">
        <f t="shared" si="4"/>
        <v>0</v>
      </c>
      <c r="U76" s="63">
        <f t="shared" si="4"/>
        <v>0</v>
      </c>
      <c r="V76" s="63">
        <f t="shared" si="4"/>
        <v>0</v>
      </c>
      <c r="W76" s="63">
        <f t="shared" si="4"/>
        <v>0</v>
      </c>
      <c r="X76" s="1"/>
    </row>
    <row r="77" spans="1:24">
      <c r="A77" s="65" t="s">
        <v>209</v>
      </c>
      <c r="B77" s="2">
        <f t="shared" ref="B77:W77" si="5">SUMIF($X$41:$X$50,800,B$41:B$50)</f>
        <v>0</v>
      </c>
      <c r="C77" s="2">
        <f t="shared" si="5"/>
        <v>0</v>
      </c>
      <c r="D77" s="2">
        <f t="shared" si="5"/>
        <v>0</v>
      </c>
      <c r="E77" s="2">
        <f t="shared" si="5"/>
        <v>0</v>
      </c>
      <c r="F77" s="2">
        <f t="shared" si="5"/>
        <v>0</v>
      </c>
      <c r="G77" s="2">
        <f t="shared" si="5"/>
        <v>0</v>
      </c>
      <c r="H77" s="2">
        <f t="shared" si="5"/>
        <v>0</v>
      </c>
      <c r="I77" s="2">
        <f t="shared" si="5"/>
        <v>0</v>
      </c>
      <c r="J77" s="2">
        <f t="shared" si="5"/>
        <v>0</v>
      </c>
      <c r="K77" s="2">
        <f t="shared" si="5"/>
        <v>0</v>
      </c>
      <c r="L77" s="2">
        <f t="shared" si="5"/>
        <v>0</v>
      </c>
      <c r="M77" s="69">
        <f t="shared" si="5"/>
        <v>0</v>
      </c>
      <c r="N77" s="63">
        <f t="shared" si="5"/>
        <v>0</v>
      </c>
      <c r="O77" s="63">
        <f t="shared" si="5"/>
        <v>0</v>
      </c>
      <c r="P77" s="63">
        <f t="shared" si="5"/>
        <v>0</v>
      </c>
      <c r="Q77" s="63">
        <f t="shared" si="5"/>
        <v>0</v>
      </c>
      <c r="R77" s="63">
        <f t="shared" si="5"/>
        <v>0</v>
      </c>
      <c r="S77" s="63">
        <f t="shared" si="5"/>
        <v>0</v>
      </c>
      <c r="T77" s="63">
        <f t="shared" si="5"/>
        <v>0</v>
      </c>
      <c r="U77" s="63">
        <f t="shared" si="5"/>
        <v>0</v>
      </c>
      <c r="V77" s="63">
        <f t="shared" si="5"/>
        <v>0</v>
      </c>
      <c r="W77" s="63">
        <f t="shared" si="5"/>
        <v>0</v>
      </c>
    </row>
    <row r="78" spans="1:24">
      <c r="A78" s="65" t="s">
        <v>211</v>
      </c>
      <c r="B78" s="2">
        <f t="shared" ref="B78:W78" si="6">SUMIF($X$41:$X$50,1600,B$41:B$50)</f>
        <v>0</v>
      </c>
      <c r="C78" s="2">
        <f t="shared" si="6"/>
        <v>0</v>
      </c>
      <c r="D78" s="2">
        <f t="shared" si="6"/>
        <v>0</v>
      </c>
      <c r="E78" s="2">
        <f t="shared" si="6"/>
        <v>0</v>
      </c>
      <c r="F78" s="2">
        <f t="shared" si="6"/>
        <v>0</v>
      </c>
      <c r="G78" s="2">
        <f t="shared" si="6"/>
        <v>0</v>
      </c>
      <c r="H78" s="2">
        <f t="shared" si="6"/>
        <v>0</v>
      </c>
      <c r="I78" s="2">
        <f t="shared" si="6"/>
        <v>0</v>
      </c>
      <c r="J78" s="2">
        <f t="shared" si="6"/>
        <v>0</v>
      </c>
      <c r="K78" s="2">
        <f t="shared" si="6"/>
        <v>0</v>
      </c>
      <c r="L78" s="2">
        <f t="shared" si="6"/>
        <v>0</v>
      </c>
      <c r="M78" s="69">
        <f t="shared" si="6"/>
        <v>0</v>
      </c>
      <c r="N78" s="63">
        <f t="shared" si="6"/>
        <v>0</v>
      </c>
      <c r="O78" s="63">
        <f t="shared" si="6"/>
        <v>0</v>
      </c>
      <c r="P78" s="63">
        <f t="shared" si="6"/>
        <v>0</v>
      </c>
      <c r="Q78" s="63">
        <f t="shared" si="6"/>
        <v>0</v>
      </c>
      <c r="R78" s="63">
        <f t="shared" si="6"/>
        <v>0</v>
      </c>
      <c r="S78" s="63">
        <f t="shared" si="6"/>
        <v>0</v>
      </c>
      <c r="T78" s="63">
        <f t="shared" si="6"/>
        <v>0</v>
      </c>
      <c r="U78" s="63">
        <f t="shared" si="6"/>
        <v>0</v>
      </c>
      <c r="V78" s="63">
        <f t="shared" si="6"/>
        <v>0</v>
      </c>
      <c r="W78" s="63">
        <f t="shared" si="6"/>
        <v>0</v>
      </c>
    </row>
    <row r="79" spans="1:24">
      <c r="A79" s="65" t="s">
        <v>276</v>
      </c>
      <c r="B79" s="2">
        <f>SUM(B41:B50)</f>
        <v>351933.03547455062</v>
      </c>
      <c r="C79" s="2">
        <f t="shared" ref="C79:W79" si="7">SUM(C41:C50)</f>
        <v>596692.26834592421</v>
      </c>
      <c r="D79" s="2">
        <f t="shared" si="7"/>
        <v>0</v>
      </c>
      <c r="E79" s="2">
        <f t="shared" si="7"/>
        <v>0</v>
      </c>
      <c r="F79" s="2">
        <f t="shared" si="7"/>
        <v>0</v>
      </c>
      <c r="G79" s="2">
        <f t="shared" si="7"/>
        <v>0</v>
      </c>
      <c r="H79" s="2">
        <f t="shared" si="7"/>
        <v>0</v>
      </c>
      <c r="I79" s="2">
        <f t="shared" si="7"/>
        <v>0</v>
      </c>
      <c r="J79" s="2">
        <f t="shared" si="7"/>
        <v>0</v>
      </c>
      <c r="K79" s="2">
        <f t="shared" si="7"/>
        <v>0</v>
      </c>
      <c r="L79" s="2">
        <f t="shared" si="7"/>
        <v>0</v>
      </c>
      <c r="M79" s="69">
        <f t="shared" si="7"/>
        <v>37.497691770029796</v>
      </c>
      <c r="N79" s="63">
        <f t="shared" si="7"/>
        <v>48.890778643376123</v>
      </c>
      <c r="O79" s="63">
        <f t="shared" si="7"/>
        <v>0</v>
      </c>
      <c r="P79" s="63">
        <f t="shared" si="7"/>
        <v>0</v>
      </c>
      <c r="Q79" s="63">
        <f t="shared" si="7"/>
        <v>0</v>
      </c>
      <c r="R79" s="63">
        <f t="shared" si="7"/>
        <v>0</v>
      </c>
      <c r="S79" s="63">
        <f t="shared" si="7"/>
        <v>0</v>
      </c>
      <c r="T79" s="63">
        <f t="shared" si="7"/>
        <v>0</v>
      </c>
      <c r="U79" s="63">
        <f t="shared" si="7"/>
        <v>0</v>
      </c>
      <c r="V79" s="63">
        <f t="shared" si="7"/>
        <v>0</v>
      </c>
      <c r="W79" s="63">
        <f t="shared" si="7"/>
        <v>0</v>
      </c>
    </row>
    <row r="80" spans="1:24">
      <c r="A80" s="65"/>
    </row>
    <row r="81" spans="1:23">
      <c r="A81" s="176" t="s">
        <v>428</v>
      </c>
      <c r="B81" s="68">
        <v>2018</v>
      </c>
      <c r="C81" s="50">
        <v>2019</v>
      </c>
      <c r="D81" s="50">
        <v>2020</v>
      </c>
      <c r="E81" s="50">
        <v>2021</v>
      </c>
      <c r="F81" s="50">
        <v>2022</v>
      </c>
      <c r="G81" s="50">
        <v>2023</v>
      </c>
      <c r="H81" s="50">
        <v>2024</v>
      </c>
      <c r="I81" s="50">
        <v>2025</v>
      </c>
      <c r="J81" s="50">
        <v>2026</v>
      </c>
      <c r="K81" s="50">
        <v>2027</v>
      </c>
      <c r="L81" s="50">
        <v>2028</v>
      </c>
      <c r="M81" s="68">
        <v>2018</v>
      </c>
      <c r="N81" s="50">
        <v>2019</v>
      </c>
      <c r="O81" s="50">
        <v>2020</v>
      </c>
      <c r="P81" s="50">
        <v>2021</v>
      </c>
      <c r="Q81" s="50">
        <v>2022</v>
      </c>
      <c r="R81" s="50">
        <v>2023</v>
      </c>
      <c r="S81" s="50">
        <v>2024</v>
      </c>
      <c r="T81" s="50">
        <v>2025</v>
      </c>
      <c r="U81" s="50">
        <v>2026</v>
      </c>
      <c r="V81" s="50">
        <v>2027</v>
      </c>
      <c r="W81" s="50">
        <v>2028</v>
      </c>
    </row>
    <row r="82" spans="1:23">
      <c r="A82" s="65" t="s">
        <v>205</v>
      </c>
      <c r="B82" s="2">
        <f>SUMIF($X$51:$X$69,100,B$51:B$69)</f>
        <v>37265.334142577034</v>
      </c>
      <c r="C82" s="2">
        <f t="shared" ref="C82:W82" si="8">SUMIF($X$51:$X$76,100,C$51:C$76)</f>
        <v>51414.298799999997</v>
      </c>
      <c r="D82" s="2">
        <f t="shared" si="8"/>
        <v>0</v>
      </c>
      <c r="E82" s="2">
        <f t="shared" si="8"/>
        <v>0</v>
      </c>
      <c r="F82" s="2">
        <f t="shared" si="8"/>
        <v>0</v>
      </c>
      <c r="G82" s="2">
        <f t="shared" si="8"/>
        <v>0</v>
      </c>
      <c r="H82" s="2">
        <f t="shared" si="8"/>
        <v>0</v>
      </c>
      <c r="I82" s="2">
        <f t="shared" si="8"/>
        <v>0</v>
      </c>
      <c r="J82" s="2">
        <f t="shared" si="8"/>
        <v>0</v>
      </c>
      <c r="K82" s="2">
        <f t="shared" si="8"/>
        <v>0</v>
      </c>
      <c r="L82" s="2">
        <f t="shared" si="8"/>
        <v>0</v>
      </c>
      <c r="M82" s="63">
        <f t="shared" si="8"/>
        <v>145.18123159299722</v>
      </c>
      <c r="N82" s="63">
        <f t="shared" si="8"/>
        <v>165.6887933866667</v>
      </c>
      <c r="O82" s="63">
        <f t="shared" si="8"/>
        <v>0</v>
      </c>
      <c r="P82" s="63">
        <f t="shared" si="8"/>
        <v>0</v>
      </c>
      <c r="Q82" s="63">
        <f t="shared" si="8"/>
        <v>0</v>
      </c>
      <c r="R82" s="63">
        <f t="shared" si="8"/>
        <v>0</v>
      </c>
      <c r="S82" s="63">
        <f t="shared" si="8"/>
        <v>0</v>
      </c>
      <c r="T82" s="63">
        <f t="shared" si="8"/>
        <v>0</v>
      </c>
      <c r="U82" s="63">
        <f t="shared" si="8"/>
        <v>0</v>
      </c>
      <c r="V82" s="63">
        <f t="shared" si="8"/>
        <v>0</v>
      </c>
      <c r="W82" s="63">
        <f t="shared" si="8"/>
        <v>0</v>
      </c>
    </row>
    <row r="83" spans="1:23">
      <c r="A83" s="65" t="s">
        <v>206</v>
      </c>
      <c r="B83" s="2">
        <f>SUMIF($X$51:$X$69,200,B$51:B$69)</f>
        <v>2297.1467213114747</v>
      </c>
      <c r="C83" s="2">
        <f t="shared" ref="C83:W83" si="9">SUMIF($X$51:$X$76,200,C$51:C$76)</f>
        <v>4341.6767999999975</v>
      </c>
      <c r="D83" s="2">
        <f t="shared" si="9"/>
        <v>0</v>
      </c>
      <c r="E83" s="2">
        <f t="shared" si="9"/>
        <v>0</v>
      </c>
      <c r="F83" s="2">
        <f t="shared" si="9"/>
        <v>0</v>
      </c>
      <c r="G83" s="2">
        <f t="shared" si="9"/>
        <v>0</v>
      </c>
      <c r="H83" s="2">
        <f t="shared" si="9"/>
        <v>0</v>
      </c>
      <c r="I83" s="2">
        <f t="shared" si="9"/>
        <v>0</v>
      </c>
      <c r="J83" s="2">
        <f t="shared" si="9"/>
        <v>0</v>
      </c>
      <c r="K83" s="2">
        <f t="shared" si="9"/>
        <v>0</v>
      </c>
      <c r="L83" s="2">
        <f t="shared" si="9"/>
        <v>0</v>
      </c>
      <c r="M83" s="63">
        <f t="shared" si="9"/>
        <v>18.192129210134127</v>
      </c>
      <c r="N83" s="63">
        <f t="shared" si="9"/>
        <v>25.823506385454536</v>
      </c>
      <c r="O83" s="63">
        <f t="shared" si="9"/>
        <v>0</v>
      </c>
      <c r="P83" s="63">
        <f t="shared" si="9"/>
        <v>0</v>
      </c>
      <c r="Q83" s="63">
        <f t="shared" si="9"/>
        <v>0</v>
      </c>
      <c r="R83" s="63">
        <f t="shared" si="9"/>
        <v>0</v>
      </c>
      <c r="S83" s="63">
        <f t="shared" si="9"/>
        <v>0</v>
      </c>
      <c r="T83" s="63">
        <f t="shared" si="9"/>
        <v>0</v>
      </c>
      <c r="U83" s="63">
        <f t="shared" si="9"/>
        <v>0</v>
      </c>
      <c r="V83" s="63">
        <f t="shared" si="9"/>
        <v>0</v>
      </c>
      <c r="W83" s="63">
        <f t="shared" si="9"/>
        <v>0</v>
      </c>
    </row>
    <row r="84" spans="1:23">
      <c r="A84" s="65" t="s">
        <v>207</v>
      </c>
      <c r="B84" s="2">
        <f>SUMIF($X$51:$X$69,400,B$51:B$69)</f>
        <v>0</v>
      </c>
      <c r="C84" s="2">
        <f t="shared" ref="C84:W84" si="10">SUMIF($X$51:$X$76,400,C$51:C$76)</f>
        <v>160</v>
      </c>
      <c r="D84" s="2">
        <f t="shared" si="10"/>
        <v>0</v>
      </c>
      <c r="E84" s="2">
        <f t="shared" si="10"/>
        <v>0</v>
      </c>
      <c r="F84" s="2">
        <f t="shared" si="10"/>
        <v>0</v>
      </c>
      <c r="G84" s="2">
        <f t="shared" si="10"/>
        <v>0</v>
      </c>
      <c r="H84" s="2">
        <f t="shared" si="10"/>
        <v>0</v>
      </c>
      <c r="I84" s="2">
        <f t="shared" si="10"/>
        <v>0</v>
      </c>
      <c r="J84" s="2">
        <f t="shared" si="10"/>
        <v>0</v>
      </c>
      <c r="K84" s="2">
        <f t="shared" si="10"/>
        <v>0</v>
      </c>
      <c r="L84" s="2">
        <f t="shared" si="10"/>
        <v>0</v>
      </c>
      <c r="M84" s="63">
        <f t="shared" si="10"/>
        <v>0</v>
      </c>
      <c r="N84" s="63">
        <f t="shared" si="10"/>
        <v>0.96</v>
      </c>
      <c r="O84" s="63">
        <f t="shared" si="10"/>
        <v>0</v>
      </c>
      <c r="P84" s="63">
        <f t="shared" si="10"/>
        <v>0</v>
      </c>
      <c r="Q84" s="63">
        <f t="shared" si="10"/>
        <v>0</v>
      </c>
      <c r="R84" s="63">
        <f t="shared" si="10"/>
        <v>0</v>
      </c>
      <c r="S84" s="63">
        <f t="shared" si="10"/>
        <v>0</v>
      </c>
      <c r="T84" s="63">
        <f t="shared" si="10"/>
        <v>0</v>
      </c>
      <c r="U84" s="63">
        <f t="shared" si="10"/>
        <v>0</v>
      </c>
      <c r="V84" s="63">
        <f t="shared" si="10"/>
        <v>0</v>
      </c>
      <c r="W84" s="63">
        <f t="shared" si="10"/>
        <v>0</v>
      </c>
    </row>
    <row r="85" spans="1:23">
      <c r="A85" s="65" t="s">
        <v>429</v>
      </c>
      <c r="B85" s="2">
        <f>SUMIF($X$51:$X$69,600,B$51:B$69)+SUMIF($X$51:$X$69,800,B$51:B$69)</f>
        <v>0</v>
      </c>
      <c r="C85" s="2">
        <f t="shared" ref="C85:W85" si="11">SUMIF($X$51:$X$76,600,C$51:C$76)+SUMIF($X$51:$X$76,800,C$51:C$76)</f>
        <v>0</v>
      </c>
      <c r="D85" s="2">
        <f t="shared" si="11"/>
        <v>0</v>
      </c>
      <c r="E85" s="2">
        <f t="shared" si="11"/>
        <v>0</v>
      </c>
      <c r="F85" s="2">
        <f t="shared" si="11"/>
        <v>0</v>
      </c>
      <c r="G85" s="2">
        <f t="shared" si="11"/>
        <v>0</v>
      </c>
      <c r="H85" s="2">
        <f t="shared" si="11"/>
        <v>0</v>
      </c>
      <c r="I85" s="2">
        <f t="shared" si="11"/>
        <v>0</v>
      </c>
      <c r="J85" s="2">
        <f t="shared" si="11"/>
        <v>0</v>
      </c>
      <c r="K85" s="2">
        <f t="shared" si="11"/>
        <v>0</v>
      </c>
      <c r="L85" s="2">
        <f t="shared" si="11"/>
        <v>0</v>
      </c>
      <c r="M85" s="63">
        <f t="shared" si="11"/>
        <v>0</v>
      </c>
      <c r="N85" s="63">
        <f t="shared" si="11"/>
        <v>0</v>
      </c>
      <c r="O85" s="63">
        <f t="shared" si="11"/>
        <v>0</v>
      </c>
      <c r="P85" s="63">
        <f t="shared" si="11"/>
        <v>0</v>
      </c>
      <c r="Q85" s="63">
        <f t="shared" si="11"/>
        <v>0</v>
      </c>
      <c r="R85" s="63">
        <f t="shared" si="11"/>
        <v>0</v>
      </c>
      <c r="S85" s="63">
        <f t="shared" si="11"/>
        <v>0</v>
      </c>
      <c r="T85" s="63">
        <f t="shared" si="11"/>
        <v>0</v>
      </c>
      <c r="U85" s="63">
        <f t="shared" si="11"/>
        <v>0</v>
      </c>
      <c r="V85" s="63">
        <f t="shared" si="11"/>
        <v>0</v>
      </c>
      <c r="W85" s="63">
        <f t="shared" si="11"/>
        <v>0</v>
      </c>
    </row>
    <row r="86" spans="1:23">
      <c r="A86" s="65" t="s">
        <v>430</v>
      </c>
      <c r="B86" s="2">
        <f>SUMIF($X$51:$X$69,1200,B$51:B$69)+SUMIF($X$51:$X$69,1600,B$51:B$69)</f>
        <v>0</v>
      </c>
      <c r="C86" s="2">
        <f t="shared" ref="C86:W86" si="12">SUMIF($X$51:$X$76,1200,C$51:C$76)+SUMIF($X$51:$X$76,1600,C$51:C$76)</f>
        <v>0</v>
      </c>
      <c r="D86" s="2">
        <f t="shared" si="12"/>
        <v>0</v>
      </c>
      <c r="E86" s="2">
        <f t="shared" si="12"/>
        <v>0</v>
      </c>
      <c r="F86" s="2">
        <f t="shared" si="12"/>
        <v>0</v>
      </c>
      <c r="G86" s="2">
        <f t="shared" si="12"/>
        <v>0</v>
      </c>
      <c r="H86" s="2">
        <f t="shared" si="12"/>
        <v>0</v>
      </c>
      <c r="I86" s="2">
        <f t="shared" si="12"/>
        <v>0</v>
      </c>
      <c r="J86" s="2">
        <f t="shared" si="12"/>
        <v>0</v>
      </c>
      <c r="K86" s="2">
        <f t="shared" si="12"/>
        <v>0</v>
      </c>
      <c r="L86" s="2">
        <f t="shared" si="12"/>
        <v>0</v>
      </c>
      <c r="M86" s="63">
        <f t="shared" si="12"/>
        <v>0</v>
      </c>
      <c r="N86" s="63">
        <f t="shared" si="12"/>
        <v>0</v>
      </c>
      <c r="O86" s="63">
        <f t="shared" si="12"/>
        <v>0</v>
      </c>
      <c r="P86" s="63">
        <f t="shared" si="12"/>
        <v>0</v>
      </c>
      <c r="Q86" s="63">
        <f t="shared" si="12"/>
        <v>0</v>
      </c>
      <c r="R86" s="63">
        <f t="shared" si="12"/>
        <v>0</v>
      </c>
      <c r="S86" s="63">
        <f t="shared" si="12"/>
        <v>0</v>
      </c>
      <c r="T86" s="63">
        <f t="shared" si="12"/>
        <v>0</v>
      </c>
      <c r="U86" s="63">
        <f t="shared" si="12"/>
        <v>0</v>
      </c>
      <c r="V86" s="63">
        <f t="shared" si="12"/>
        <v>0</v>
      </c>
      <c r="W86" s="63">
        <f t="shared" si="12"/>
        <v>0</v>
      </c>
    </row>
    <row r="87" spans="1:23">
      <c r="A87" s="65" t="s">
        <v>277</v>
      </c>
      <c r="B87" s="2">
        <f>SUM(B51:B69)</f>
        <v>45333.394263888506</v>
      </c>
      <c r="C87" s="2">
        <f t="shared" ref="C87:W87" si="13">SUM(C51:C69)</f>
        <v>63272.9970581335</v>
      </c>
      <c r="D87" s="2">
        <f t="shared" si="13"/>
        <v>0</v>
      </c>
      <c r="E87" s="2">
        <f t="shared" si="13"/>
        <v>0</v>
      </c>
      <c r="F87" s="2">
        <f t="shared" si="13"/>
        <v>0</v>
      </c>
      <c r="G87" s="2">
        <f t="shared" si="13"/>
        <v>0</v>
      </c>
      <c r="H87" s="2">
        <f t="shared" si="13"/>
        <v>0</v>
      </c>
      <c r="I87" s="2">
        <f t="shared" si="13"/>
        <v>0</v>
      </c>
      <c r="J87" s="2">
        <f t="shared" si="13"/>
        <v>0</v>
      </c>
      <c r="K87" s="2">
        <f t="shared" si="13"/>
        <v>0</v>
      </c>
      <c r="L87" s="2">
        <f t="shared" si="13"/>
        <v>0</v>
      </c>
      <c r="M87" s="63">
        <f t="shared" si="13"/>
        <v>166.13805654972458</v>
      </c>
      <c r="N87" s="63">
        <f t="shared" si="13"/>
        <v>195.3535363431119</v>
      </c>
      <c r="O87" s="63">
        <f t="shared" si="13"/>
        <v>0</v>
      </c>
      <c r="P87" s="63">
        <f t="shared" si="13"/>
        <v>0</v>
      </c>
      <c r="Q87" s="63">
        <f t="shared" si="13"/>
        <v>0</v>
      </c>
      <c r="R87" s="63">
        <f t="shared" si="13"/>
        <v>0</v>
      </c>
      <c r="S87" s="63">
        <f t="shared" si="13"/>
        <v>0</v>
      </c>
      <c r="T87" s="63">
        <f t="shared" si="13"/>
        <v>0</v>
      </c>
      <c r="U87" s="63">
        <f t="shared" si="13"/>
        <v>0</v>
      </c>
      <c r="V87" s="63">
        <f t="shared" si="13"/>
        <v>0</v>
      </c>
      <c r="W87" s="63">
        <f t="shared" si="13"/>
        <v>0</v>
      </c>
    </row>
    <row r="88" spans="1:23">
      <c r="A88" s="67"/>
    </row>
    <row r="90" spans="1:23">
      <c r="M90" s="68">
        <v>2018</v>
      </c>
      <c r="N90" s="50">
        <v>2019</v>
      </c>
      <c r="O90" s="50">
        <v>2020</v>
      </c>
      <c r="P90" s="50">
        <v>2021</v>
      </c>
      <c r="Q90" s="50">
        <v>2022</v>
      </c>
      <c r="R90" s="112">
        <v>2023</v>
      </c>
      <c r="S90" s="50">
        <v>2024</v>
      </c>
      <c r="T90" s="50">
        <v>2025</v>
      </c>
      <c r="U90" s="50">
        <v>2026</v>
      </c>
      <c r="V90" s="50">
        <v>2027</v>
      </c>
      <c r="W90" s="50">
        <v>2028</v>
      </c>
    </row>
    <row r="91" spans="1:23">
      <c r="A91" s="25" t="s">
        <v>341</v>
      </c>
      <c r="M91" s="76">
        <v>14223</v>
      </c>
      <c r="N91" s="76">
        <v>13546</v>
      </c>
      <c r="O91" s="76">
        <v>17592</v>
      </c>
      <c r="P91" s="76">
        <v>23216</v>
      </c>
      <c r="Q91" s="76">
        <v>24768</v>
      </c>
      <c r="R91" s="76">
        <f t="shared" ref="R91:W91" si="14">Q91*$R$92</f>
        <v>27244.800000000003</v>
      </c>
      <c r="S91" s="76">
        <f t="shared" si="14"/>
        <v>29969.280000000006</v>
      </c>
      <c r="T91" s="76">
        <f t="shared" si="14"/>
        <v>32966.208000000006</v>
      </c>
      <c r="U91" s="76">
        <f t="shared" si="14"/>
        <v>36262.82880000001</v>
      </c>
      <c r="V91" s="76">
        <f t="shared" si="14"/>
        <v>39889.111680000016</v>
      </c>
      <c r="W91" s="76">
        <f t="shared" si="14"/>
        <v>43878.022848000022</v>
      </c>
    </row>
    <row r="92" spans="1:23">
      <c r="A92" s="25" t="s">
        <v>350</v>
      </c>
      <c r="N92" s="119">
        <f>N91/M91</f>
        <v>0.95240104056809394</v>
      </c>
      <c r="O92" s="119">
        <f>O91/N91</f>
        <v>1.2986859589546729</v>
      </c>
      <c r="P92" s="119">
        <f>P91/O91</f>
        <v>1.3196907685311505</v>
      </c>
      <c r="Q92" s="119">
        <f>Q91/P91</f>
        <v>1.0668504479669194</v>
      </c>
      <c r="R92" s="120">
        <v>1.1000000000000001</v>
      </c>
    </row>
    <row r="93" spans="1:23">
      <c r="A93" s="25" t="str">
        <f>"Ethernet transceivers % of total capex: "&amp;$A$39</f>
        <v>Ethernet transceivers % of total capex: Microsoft</v>
      </c>
      <c r="M93" s="111">
        <f t="shared" ref="M93:R93" si="15">M79/M91</f>
        <v>2.6364122737839975E-3</v>
      </c>
      <c r="N93" s="111">
        <f t="shared" si="15"/>
        <v>3.6092410042356505E-3</v>
      </c>
      <c r="O93" s="111">
        <f t="shared" si="15"/>
        <v>0</v>
      </c>
      <c r="P93" s="111">
        <f t="shared" si="15"/>
        <v>0</v>
      </c>
      <c r="Q93" s="111">
        <f t="shared" si="15"/>
        <v>0</v>
      </c>
      <c r="R93" s="111">
        <f t="shared" si="15"/>
        <v>0</v>
      </c>
      <c r="S93" s="111">
        <f t="shared" ref="S93:W93" si="16">S79/S91</f>
        <v>0</v>
      </c>
      <c r="T93" s="111">
        <f t="shared" si="16"/>
        <v>0</v>
      </c>
      <c r="U93" s="111">
        <f t="shared" si="16"/>
        <v>0</v>
      </c>
      <c r="V93" s="111">
        <f t="shared" si="16"/>
        <v>0</v>
      </c>
      <c r="W93" s="111">
        <f t="shared" si="16"/>
        <v>0</v>
      </c>
    </row>
    <row r="94" spans="1:23">
      <c r="A94" s="25" t="str">
        <f>"DWDM transceivers % of total capex: "&amp;$A$39</f>
        <v>DWDM transceivers % of total capex: Microsoft</v>
      </c>
      <c r="M94" s="111">
        <f>M87/M91</f>
        <v>1.1680943299565814E-2</v>
      </c>
      <c r="N94" s="111">
        <f t="shared" ref="N94:W94" si="17">N87/N91</f>
        <v>1.4421492421608733E-2</v>
      </c>
      <c r="O94" s="111">
        <f t="shared" si="17"/>
        <v>0</v>
      </c>
      <c r="P94" s="111">
        <f t="shared" si="17"/>
        <v>0</v>
      </c>
      <c r="Q94" s="111">
        <f t="shared" si="17"/>
        <v>0</v>
      </c>
      <c r="R94" s="111">
        <f t="shared" si="17"/>
        <v>0</v>
      </c>
      <c r="S94" s="111">
        <f t="shared" si="17"/>
        <v>0</v>
      </c>
      <c r="T94" s="111">
        <f t="shared" si="17"/>
        <v>0</v>
      </c>
      <c r="U94" s="111">
        <f t="shared" si="17"/>
        <v>0</v>
      </c>
      <c r="V94" s="111">
        <f t="shared" si="17"/>
        <v>0</v>
      </c>
      <c r="W94" s="111">
        <f t="shared" si="17"/>
        <v>0</v>
      </c>
    </row>
    <row r="95" spans="1:23">
      <c r="A95" s="25" t="str">
        <f>"Ethernet&amp;DWDM transceivers % of total capex: "&amp;$A$39</f>
        <v>Ethernet&amp;DWDM transceivers % of total capex: Microsoft</v>
      </c>
      <c r="M95" s="111">
        <f>M94+M93</f>
        <v>1.4317355573349812E-2</v>
      </c>
      <c r="N95" s="111">
        <f t="shared" ref="N95:W95" si="18">N94+N93</f>
        <v>1.8030733425844384E-2</v>
      </c>
      <c r="O95" s="111">
        <f t="shared" si="18"/>
        <v>0</v>
      </c>
      <c r="P95" s="111">
        <f t="shared" si="18"/>
        <v>0</v>
      </c>
      <c r="Q95" s="111">
        <f t="shared" si="18"/>
        <v>0</v>
      </c>
      <c r="R95" s="111">
        <f t="shared" si="18"/>
        <v>0</v>
      </c>
      <c r="S95" s="111">
        <f t="shared" si="18"/>
        <v>0</v>
      </c>
      <c r="T95" s="111">
        <f t="shared" si="18"/>
        <v>0</v>
      </c>
      <c r="U95" s="111">
        <f t="shared" si="18"/>
        <v>0</v>
      </c>
      <c r="V95" s="111">
        <f t="shared" si="18"/>
        <v>0</v>
      </c>
      <c r="W95" s="111">
        <f t="shared" si="18"/>
        <v>0</v>
      </c>
    </row>
    <row r="98" spans="1:12">
      <c r="A98" t="s">
        <v>275</v>
      </c>
    </row>
    <row r="99" spans="1:12">
      <c r="A99" s="40" t="s">
        <v>213</v>
      </c>
      <c r="B99" s="17">
        <v>2018</v>
      </c>
      <c r="C99" s="17">
        <v>2019</v>
      </c>
      <c r="D99" s="17">
        <v>2020</v>
      </c>
      <c r="E99" s="17">
        <v>2021</v>
      </c>
      <c r="F99" s="17">
        <v>2022</v>
      </c>
      <c r="G99" s="17">
        <v>2023</v>
      </c>
      <c r="H99" s="17">
        <v>2024</v>
      </c>
      <c r="I99" s="17">
        <v>2025</v>
      </c>
      <c r="J99" s="17">
        <v>2026</v>
      </c>
      <c r="K99" s="17">
        <v>2027</v>
      </c>
      <c r="L99" s="17">
        <v>2028</v>
      </c>
    </row>
    <row r="100" spans="1:12">
      <c r="A100" s="25" t="s">
        <v>250</v>
      </c>
      <c r="B100" s="39">
        <f>SUMPRODUCT(B41:B$50,$X$41:$X$50)/10^6</f>
        <v>10.932937404745504</v>
      </c>
      <c r="C100" s="39">
        <f>SUMPRODUCT(C41:C$50,$X$41:$X$50)/10^6</f>
        <v>24.920832683459238</v>
      </c>
      <c r="D100" s="39">
        <f>SUMPRODUCT(D41:D$50,$X$41:$X$50)/10^6</f>
        <v>0</v>
      </c>
      <c r="E100" s="39">
        <f>SUMPRODUCT(E41:E$50,$X$41:$X$50)/10^6</f>
        <v>0</v>
      </c>
      <c r="F100" s="39">
        <f>SUMPRODUCT(F41:F$50,$X$41:$X$50)/10^6</f>
        <v>0</v>
      </c>
      <c r="G100" s="39">
        <f>SUMPRODUCT(G41:G$50,$X$41:$X$50)/10^6</f>
        <v>0</v>
      </c>
      <c r="H100" s="39">
        <f>SUMPRODUCT(H41:H$50,$X$41:$X$50)/10^6</f>
        <v>0</v>
      </c>
      <c r="I100" s="39">
        <f>SUMPRODUCT(I41:I$50,$X$41:$X$50)/10^6</f>
        <v>0</v>
      </c>
      <c r="J100" s="39">
        <f>SUMPRODUCT(J41:J$50,$X$41:$X$50)/10^6</f>
        <v>0</v>
      </c>
      <c r="K100" s="39">
        <f>SUMPRODUCT(K41:K$50,$X$41:$X$50)/10^6</f>
        <v>0</v>
      </c>
      <c r="L100" s="39">
        <f>SUMPRODUCT(L41:L$50,$X$41:$X$50)/10^6</f>
        <v>0</v>
      </c>
    </row>
    <row r="101" spans="1:12">
      <c r="A101" s="25" t="s">
        <v>251</v>
      </c>
      <c r="B101" s="54">
        <f>B100+41.65</f>
        <v>52.5829374047455</v>
      </c>
      <c r="C101" s="29">
        <f>B101+C100</f>
        <v>77.503770088204732</v>
      </c>
      <c r="D101" s="29">
        <f>C101+D100</f>
        <v>77.503770088204732</v>
      </c>
      <c r="E101" s="29">
        <f t="shared" ref="E101:L101" si="19">D101+E100</f>
        <v>77.503770088204732</v>
      </c>
      <c r="F101" s="29">
        <f t="shared" si="19"/>
        <v>77.503770088204732</v>
      </c>
      <c r="G101" s="29">
        <f t="shared" si="19"/>
        <v>77.503770088204732</v>
      </c>
      <c r="H101" s="29">
        <f t="shared" si="19"/>
        <v>77.503770088204732</v>
      </c>
      <c r="I101" s="29">
        <f t="shared" si="19"/>
        <v>77.503770088204732</v>
      </c>
      <c r="J101" s="29">
        <f t="shared" si="19"/>
        <v>77.503770088204732</v>
      </c>
      <c r="K101" s="29">
        <f t="shared" si="19"/>
        <v>77.503770088204732</v>
      </c>
      <c r="L101" s="29">
        <f t="shared" si="19"/>
        <v>77.503770088204732</v>
      </c>
    </row>
    <row r="102" spans="1:12">
      <c r="A102" s="25" t="s">
        <v>252</v>
      </c>
      <c r="B102" s="26"/>
      <c r="C102" s="31">
        <f>C101/B101-1</f>
        <v>0.47393382556087826</v>
      </c>
      <c r="D102" s="31">
        <f t="shared" ref="D102:L102" si="20">D101/C101-1</f>
        <v>0</v>
      </c>
      <c r="E102" s="31">
        <f t="shared" si="20"/>
        <v>0</v>
      </c>
      <c r="F102" s="31">
        <f t="shared" si="20"/>
        <v>0</v>
      </c>
      <c r="G102" s="31">
        <f t="shared" si="20"/>
        <v>0</v>
      </c>
      <c r="H102" s="31">
        <f t="shared" si="20"/>
        <v>0</v>
      </c>
      <c r="I102" s="31">
        <f t="shared" si="20"/>
        <v>0</v>
      </c>
      <c r="J102" s="31">
        <f t="shared" si="20"/>
        <v>0</v>
      </c>
      <c r="K102" s="31">
        <f t="shared" si="20"/>
        <v>0</v>
      </c>
      <c r="L102" s="31">
        <f t="shared" si="20"/>
        <v>0</v>
      </c>
    </row>
    <row r="104" spans="1:12">
      <c r="A104" s="40" t="s">
        <v>214</v>
      </c>
      <c r="B104" s="17">
        <v>2018</v>
      </c>
      <c r="C104" s="17">
        <v>2019</v>
      </c>
      <c r="D104" s="17">
        <v>2020</v>
      </c>
      <c r="E104" s="17">
        <v>2021</v>
      </c>
      <c r="F104" s="17">
        <v>2022</v>
      </c>
      <c r="G104" s="17">
        <v>2023</v>
      </c>
      <c r="H104" s="17">
        <v>2024</v>
      </c>
      <c r="I104" s="17">
        <v>2025</v>
      </c>
      <c r="J104" s="17">
        <v>2026</v>
      </c>
      <c r="K104" s="17">
        <v>2027</v>
      </c>
      <c r="L104" s="17">
        <v>2028</v>
      </c>
    </row>
    <row r="105" spans="1:12">
      <c r="A105" s="25" t="s">
        <v>250</v>
      </c>
      <c r="B105" s="39">
        <f t="shared" ref="B105:L105" si="21">SUMPRODUCT(B$51:B$69,$X$51:$X$69)/10^6</f>
        <v>4.2436718925199983</v>
      </c>
      <c r="C105" s="39">
        <f t="shared" si="21"/>
        <v>6.1473354545813352</v>
      </c>
      <c r="D105" s="39">
        <f t="shared" si="21"/>
        <v>0</v>
      </c>
      <c r="E105" s="39">
        <f t="shared" si="21"/>
        <v>0</v>
      </c>
      <c r="F105" s="39">
        <f t="shared" si="21"/>
        <v>0</v>
      </c>
      <c r="G105" s="39">
        <f t="shared" si="21"/>
        <v>0</v>
      </c>
      <c r="H105" s="39">
        <f t="shared" si="21"/>
        <v>0</v>
      </c>
      <c r="I105" s="39">
        <f t="shared" si="21"/>
        <v>0</v>
      </c>
      <c r="J105" s="39">
        <f t="shared" si="21"/>
        <v>0</v>
      </c>
      <c r="K105" s="39">
        <f t="shared" si="21"/>
        <v>0</v>
      </c>
      <c r="L105" s="39">
        <f t="shared" si="21"/>
        <v>0</v>
      </c>
    </row>
    <row r="106" spans="1:12">
      <c r="A106" s="25" t="s">
        <v>251</v>
      </c>
      <c r="B106" s="54">
        <f>B105+3.3</f>
        <v>7.5436718925199981</v>
      </c>
      <c r="C106" s="29">
        <f>B106+C105</f>
        <v>13.691007347101333</v>
      </c>
      <c r="D106" s="29">
        <f>C106+D105</f>
        <v>13.691007347101333</v>
      </c>
      <c r="E106" s="29">
        <f t="shared" ref="E106" si="22">D106+E105</f>
        <v>13.691007347101333</v>
      </c>
      <c r="F106" s="29">
        <f t="shared" ref="F106" si="23">E106+F105</f>
        <v>13.691007347101333</v>
      </c>
      <c r="G106" s="29">
        <f t="shared" ref="G106" si="24">F106+G105</f>
        <v>13.691007347101333</v>
      </c>
      <c r="H106" s="29">
        <f t="shared" ref="H106" si="25">G106+H105</f>
        <v>13.691007347101333</v>
      </c>
      <c r="I106" s="29">
        <f t="shared" ref="I106" si="26">H106+I105</f>
        <v>13.691007347101333</v>
      </c>
      <c r="J106" s="29">
        <f t="shared" ref="J106" si="27">I106+J105</f>
        <v>13.691007347101333</v>
      </c>
      <c r="K106" s="29">
        <f t="shared" ref="K106" si="28">J106+K105</f>
        <v>13.691007347101333</v>
      </c>
      <c r="L106" s="29">
        <f t="shared" ref="L106" si="29">K106+L105</f>
        <v>13.691007347101333</v>
      </c>
    </row>
    <row r="107" spans="1:12">
      <c r="A107" s="25" t="s">
        <v>252</v>
      </c>
      <c r="B107" s="26"/>
      <c r="C107" s="31">
        <f>C106/B106-1</f>
        <v>0.81489963272087507</v>
      </c>
      <c r="D107" s="31">
        <f t="shared" ref="D107" si="30">D106/C106-1</f>
        <v>0</v>
      </c>
      <c r="E107" s="31">
        <f t="shared" ref="E107" si="31">E106/D106-1</f>
        <v>0</v>
      </c>
      <c r="F107" s="31">
        <f t="shared" ref="F107" si="32">F106/E106-1</f>
        <v>0</v>
      </c>
      <c r="G107" s="31">
        <f t="shared" ref="G107" si="33">G106/F106-1</f>
        <v>0</v>
      </c>
      <c r="H107" s="31">
        <f t="shared" ref="H107" si="34">H106/G106-1</f>
        <v>0</v>
      </c>
      <c r="I107" s="31">
        <f t="shared" ref="I107" si="35">I106/H106-1</f>
        <v>0</v>
      </c>
      <c r="J107" s="31">
        <f t="shared" ref="J107" si="36">J106/I106-1</f>
        <v>0</v>
      </c>
      <c r="K107" s="31">
        <f t="shared" ref="K107" si="37">K106/J106-1</f>
        <v>0</v>
      </c>
      <c r="L107" s="31">
        <f t="shared" ref="L107" si="38">L106/K106-1</f>
        <v>0</v>
      </c>
    </row>
  </sheetData>
  <mergeCells count="2">
    <mergeCell ref="B39:L39"/>
    <mergeCell ref="M39:W39"/>
  </mergeCells>
  <dataValidations count="1">
    <dataValidation type="list" allowBlank="1" showInputMessage="1" showErrorMessage="1" sqref="A41:A69" xr:uid="{00000000-0002-0000-0700-000000000000}">
      <formula1>INDIRECT("Products[LookupCodes]")</formula1>
    </dataValidation>
  </dataValidations>
  <pageMargins left="0.7" right="0.7" top="0.75" bottom="0.75" header="0.3" footer="0.3"/>
  <pageSetup paperSize="9" orientation="portrait" horizontalDpi="0" verticalDpi="0" r:id="rId1"/>
  <drawing r:id="rId2"/>
  <legacyDrawing r:id="rId3"/>
  <tableParts count="1">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J108"/>
  <sheetViews>
    <sheetView zoomScale="50" zoomScaleNormal="50" workbookViewId="0">
      <pane xSplit="1" topLeftCell="B1" activePane="topRight" state="frozen"/>
      <selection activeCell="AS8" sqref="AS8"/>
      <selection pane="topRight" activeCell="A5" sqref="A5"/>
    </sheetView>
  </sheetViews>
  <sheetFormatPr defaultColWidth="8.5" defaultRowHeight="15.75"/>
  <cols>
    <col min="1" max="1" width="35.5" bestFit="1" customWidth="1"/>
    <col min="11" max="12" width="10" customWidth="1"/>
    <col min="18" max="18" width="9.1875" bestFit="1" customWidth="1"/>
  </cols>
  <sheetData>
    <row r="1" spans="1:36" s="1" customFormat="1" ht="14.25">
      <c r="A1" s="19"/>
    </row>
    <row r="2" spans="1:36" s="1" customFormat="1" ht="18">
      <c r="A2" s="20" t="str">
        <f>'Figures in the Report'!B2</f>
        <v>LightCounting Mega Datacenter Report Database</v>
      </c>
    </row>
    <row r="3" spans="1:36" s="1" customFormat="1">
      <c r="A3" s="21" t="str">
        <f>'Figures in the Report'!B3</f>
        <v xml:space="preserve"> Mega Datacenter Report - July 2023  sample template</v>
      </c>
    </row>
    <row r="4" spans="1:36" s="1" customFormat="1" ht="21">
      <c r="A4" s="22" t="str">
        <f>"Forecast for "&amp;A39</f>
        <v>Forecast for Apple</v>
      </c>
    </row>
    <row r="5" spans="1:36" s="1" customFormat="1" ht="14.25">
      <c r="A5" s="19"/>
    </row>
    <row r="8" spans="1:36">
      <c r="B8" s="163" t="str">
        <f>"Ethernet transceivers consumed annually by "&amp;A39</f>
        <v>Ethernet transceivers consumed annually by Apple</v>
      </c>
      <c r="C8" s="163"/>
      <c r="D8" s="163"/>
      <c r="E8" s="163"/>
      <c r="F8" s="163"/>
      <c r="G8" s="163"/>
      <c r="H8" s="163"/>
      <c r="I8" s="163"/>
      <c r="J8" s="163" t="str">
        <f>"DWDM transceivers consumed annually by "&amp;A39</f>
        <v>DWDM transceivers consumed annually by Apple</v>
      </c>
      <c r="K8" s="163"/>
      <c r="L8" s="163"/>
      <c r="M8" s="163"/>
      <c r="N8" s="163"/>
      <c r="P8" s="163"/>
      <c r="R8" s="163" t="str">
        <f>"Annual spending on Ethernet transceivers by "&amp;A39</f>
        <v>Annual spending on Ethernet transceivers by Apple</v>
      </c>
      <c r="S8" s="163"/>
      <c r="T8" s="163"/>
      <c r="U8" s="163"/>
      <c r="V8" s="163"/>
      <c r="X8" s="163"/>
      <c r="Y8" s="163" t="str">
        <f>"Annual spending on DWDM transceivers by "&amp;A39</f>
        <v>Annual spending on DWDM transceivers by Apple</v>
      </c>
      <c r="Z8" s="163"/>
      <c r="AA8" s="163"/>
      <c r="AB8" s="163"/>
      <c r="AC8" s="163"/>
      <c r="AD8" s="163"/>
      <c r="AE8" s="163"/>
      <c r="AF8" s="163"/>
      <c r="AG8" s="163"/>
      <c r="AH8" s="163"/>
      <c r="AI8" s="163"/>
      <c r="AJ8" s="163"/>
    </row>
    <row r="39" spans="1:24">
      <c r="A39" s="12" t="s">
        <v>148</v>
      </c>
      <c r="B39" s="221" t="s">
        <v>249</v>
      </c>
      <c r="C39" s="221"/>
      <c r="D39" s="221"/>
      <c r="E39" s="221"/>
      <c r="F39" s="221"/>
      <c r="G39" s="221"/>
      <c r="H39" s="221"/>
      <c r="I39" s="221"/>
      <c r="J39" s="221"/>
      <c r="K39" s="221"/>
      <c r="L39" s="221"/>
      <c r="M39" s="222" t="s">
        <v>317</v>
      </c>
      <c r="N39" s="222"/>
      <c r="O39" s="222"/>
      <c r="P39" s="222"/>
      <c r="Q39" s="222"/>
      <c r="R39" s="222"/>
      <c r="S39" s="222"/>
      <c r="T39" s="222"/>
      <c r="U39" s="222"/>
      <c r="V39" s="222"/>
      <c r="W39" s="222"/>
    </row>
    <row r="40" spans="1:24" s="7" customFormat="1" ht="13.15">
      <c r="A40" s="13" t="s">
        <v>342</v>
      </c>
      <c r="B40" s="10" t="s">
        <v>233</v>
      </c>
      <c r="C40" s="10" t="s">
        <v>234</v>
      </c>
      <c r="D40" s="10" t="s">
        <v>235</v>
      </c>
      <c r="E40" s="10" t="s">
        <v>236</v>
      </c>
      <c r="F40" s="10" t="s">
        <v>237</v>
      </c>
      <c r="G40" s="10" t="s">
        <v>238</v>
      </c>
      <c r="H40" s="10" t="s">
        <v>239</v>
      </c>
      <c r="I40" s="10" t="s">
        <v>240</v>
      </c>
      <c r="J40" s="10" t="s">
        <v>241</v>
      </c>
      <c r="K40" s="10" t="s">
        <v>242</v>
      </c>
      <c r="L40" s="10" t="s">
        <v>243</v>
      </c>
      <c r="M40" s="11" t="s">
        <v>318</v>
      </c>
      <c r="N40" s="11" t="s">
        <v>319</v>
      </c>
      <c r="O40" s="11" t="s">
        <v>320</v>
      </c>
      <c r="P40" s="11" t="s">
        <v>321</v>
      </c>
      <c r="Q40" s="11" t="s">
        <v>322</v>
      </c>
      <c r="R40" s="11" t="s">
        <v>323</v>
      </c>
      <c r="S40" s="11" t="s">
        <v>324</v>
      </c>
      <c r="T40" s="11" t="s">
        <v>325</v>
      </c>
      <c r="U40" s="11" t="s">
        <v>326</v>
      </c>
      <c r="V40" s="11" t="s">
        <v>327</v>
      </c>
      <c r="W40" s="11" t="s">
        <v>328</v>
      </c>
      <c r="X40" s="7" t="s">
        <v>253</v>
      </c>
    </row>
    <row r="41" spans="1:24" s="1" customFormat="1" ht="13.15">
      <c r="A41" s="14" t="s">
        <v>155</v>
      </c>
      <c r="B41" s="8">
        <v>87318.413787126075</v>
      </c>
      <c r="C41" s="8">
        <v>99555.562334282091</v>
      </c>
      <c r="D41" s="8"/>
      <c r="E41" s="8"/>
      <c r="F41" s="8"/>
      <c r="G41" s="8"/>
      <c r="H41" s="8"/>
      <c r="I41" s="8"/>
      <c r="J41" s="8"/>
      <c r="K41" s="8"/>
      <c r="L41" s="8"/>
      <c r="M41" s="62" cm="1">
        <f t="array" ref="M41">INDEX(tblPrices[cv_2018], MATCH(tblAppleUnits[[#This Row],[Products]],tblPrices[Products],0), 0)* tblAppleUnits[[#This Row],[cv_2018]]/10^6</f>
        <v>1.1240603736750652</v>
      </c>
      <c r="N41" s="62" cm="1">
        <f t="array" ref="N41">INDEX(tblPrices[cv_2019], MATCH(tblAppleUnits[[#This Row],[Products]],tblPrices[Products],0), 0)* tblAppleUnits[[#This Row],[cv_2019]]/10^6</f>
        <v>1.1849012514277226</v>
      </c>
      <c r="O41" s="62" cm="1">
        <f t="array" ref="O41">INDEX(tblPrices[cv_2020], MATCH(tblAppleUnits[[#This Row],[Products]],tblPrices[Products],0), 0)* tblAppleUnits[[#This Row],[cv_2020]]/10^6</f>
        <v>0</v>
      </c>
      <c r="P41" s="62" cm="1">
        <f t="array" ref="P41">INDEX(tblPrices[cv_2021], MATCH(tblAppleUnits[[#This Row],[Products]],tblPrices[Products],0), 0)* tblAppleUnits[[#This Row],[cv_2021]]/10^6</f>
        <v>0</v>
      </c>
      <c r="Q41" s="62" cm="1">
        <f t="array" ref="Q41">INDEX(tblPrices[cv_2022], MATCH(tblAppleUnits[[#This Row],[Products]],tblPrices[Products],0), 0)* tblAppleUnits[[#This Row],[cv_2022]]/10^6</f>
        <v>0</v>
      </c>
      <c r="R41" s="62" cm="1">
        <f t="array" ref="R41">INDEX(tblPrices[cv_2023], MATCH(tblAppleUnits[[#This Row],[Products]],tblPrices[Products],0), 0)* tblAppleUnits[[#This Row],[cv_2023]]/10^6</f>
        <v>0</v>
      </c>
      <c r="S41" s="62" cm="1">
        <f t="array" ref="S41">INDEX(tblPrices[cv_2024], MATCH(tblAppleUnits[[#This Row],[Products]],tblPrices[Products],0), 0)* tblAppleUnits[[#This Row],[cv_2024]]/10^6</f>
        <v>0</v>
      </c>
      <c r="T41" s="62" cm="1">
        <f t="array" ref="T41">INDEX(tblPrices[cv_2025], MATCH(tblAppleUnits[[#This Row],[Products]],tblPrices[Products],0), 0)* tblAppleUnits[[#This Row],[cv_2025]]/10^6</f>
        <v>0</v>
      </c>
      <c r="U41" s="62" cm="1">
        <f t="array" ref="U41">INDEX(tblPrices[cv_2026], MATCH(tblAppleUnits[[#This Row],[Products]],tblPrices[Products],0), 0)* tblAppleUnits[[#This Row],[cv_2026]]/10^6</f>
        <v>0</v>
      </c>
      <c r="V41" s="62" cm="1">
        <f t="array" ref="V41">INDEX(tblPrices[cv_2027], MATCH(tblAppleUnits[[#This Row],[Products]],tblPrices[Products],0), 0)* tblAppleUnits[[#This Row],[cv_2027]]/10^6</f>
        <v>0</v>
      </c>
      <c r="W41" s="62" cm="1">
        <f t="array" ref="W41">INDEX(tblPrices[cv_2028], MATCH(tblAppleUnits[[#This Row],[Products]],tblPrices[Products],0), 0)* tblAppleUnits[[#This Row],[cv_2028]]/10^6</f>
        <v>0</v>
      </c>
      <c r="X41" s="1">
        <f>VLOOKUP(A41,Products!$A$11:$F$110,6,FALSE)</f>
        <v>10</v>
      </c>
    </row>
    <row r="42" spans="1:24" s="1" customFormat="1" ht="13.15">
      <c r="A42" s="16" t="s">
        <v>158</v>
      </c>
      <c r="B42" s="36">
        <v>13543.294038288965</v>
      </c>
      <c r="C42" s="36">
        <v>15441.304936292581</v>
      </c>
      <c r="D42" s="36"/>
      <c r="E42" s="36"/>
      <c r="F42" s="36"/>
      <c r="G42" s="36"/>
      <c r="H42" s="36"/>
      <c r="I42" s="36"/>
      <c r="J42" s="36"/>
      <c r="K42" s="36"/>
      <c r="L42" s="36"/>
      <c r="M42" s="144" cm="1">
        <f t="array" ref="M42">INDEX(tblPrices[cv_2018], MATCH(tblAppleUnits[[#This Row],[Products]],tblPrices[Products],0), 0)* tblAppleUnits[[#This Row],[cv_2018]]/10^6</f>
        <v>0.32740259267910782</v>
      </c>
      <c r="N42" s="144" cm="1">
        <f t="array" ref="N42">INDEX(tblPrices[cv_2019], MATCH(tblAppleUnits[[#This Row],[Products]],tblPrices[Products],0), 0)* tblAppleUnits[[#This Row],[cv_2019]]/10^6</f>
        <v>0.33395223498547011</v>
      </c>
      <c r="O42" s="144" cm="1">
        <f t="array" ref="O42">INDEX(tblPrices[cv_2020], MATCH(tblAppleUnits[[#This Row],[Products]],tblPrices[Products],0), 0)* tblAppleUnits[[#This Row],[cv_2020]]/10^6</f>
        <v>0</v>
      </c>
      <c r="P42" s="144" cm="1">
        <f t="array" ref="P42">INDEX(tblPrices[cv_2021], MATCH(tblAppleUnits[[#This Row],[Products]],tblPrices[Products],0), 0)* tblAppleUnits[[#This Row],[cv_2021]]/10^6</f>
        <v>0</v>
      </c>
      <c r="Q42" s="144" cm="1">
        <f t="array" ref="Q42">INDEX(tblPrices[cv_2022], MATCH(tblAppleUnits[[#This Row],[Products]],tblPrices[Products],0), 0)* tblAppleUnits[[#This Row],[cv_2022]]/10^6</f>
        <v>0</v>
      </c>
      <c r="R42" s="144" cm="1">
        <f t="array" ref="R42">INDEX(tblPrices[cv_2023], MATCH(tblAppleUnits[[#This Row],[Products]],tblPrices[Products],0), 0)* tblAppleUnits[[#This Row],[cv_2023]]/10^6</f>
        <v>0</v>
      </c>
      <c r="S42" s="144" cm="1">
        <f t="array" ref="S42">INDEX(tblPrices[cv_2024], MATCH(tblAppleUnits[[#This Row],[Products]],tblPrices[Products],0), 0)* tblAppleUnits[[#This Row],[cv_2024]]/10^6</f>
        <v>0</v>
      </c>
      <c r="T42" s="144" cm="1">
        <f t="array" ref="T42">INDEX(tblPrices[cv_2025], MATCH(tblAppleUnits[[#This Row],[Products]],tblPrices[Products],0), 0)* tblAppleUnits[[#This Row],[cv_2025]]/10^6</f>
        <v>0</v>
      </c>
      <c r="U42" s="144" cm="1">
        <f t="array" ref="U42">INDEX(tblPrices[cv_2026], MATCH(tblAppleUnits[[#This Row],[Products]],tblPrices[Products],0), 0)* tblAppleUnits[[#This Row],[cv_2026]]/10^6</f>
        <v>0</v>
      </c>
      <c r="V42" s="144" cm="1">
        <f t="array" ref="V42">INDEX(tblPrices[cv_2027], MATCH(tblAppleUnits[[#This Row],[Products]],tblPrices[Products],0), 0)* tblAppleUnits[[#This Row],[cv_2027]]/10^6</f>
        <v>0</v>
      </c>
      <c r="W42" s="144" cm="1">
        <f t="array" ref="W42">INDEX(tblPrices[cv_2028], MATCH(tblAppleUnits[[#This Row],[Products]],tblPrices[Products],0), 0)* tblAppleUnits[[#This Row],[cv_2028]]/10^6</f>
        <v>0</v>
      </c>
      <c r="X42" s="1">
        <f>VLOOKUP(A42,Products!$A$11:$F$110,6,FALSE)</f>
        <v>10</v>
      </c>
    </row>
    <row r="43" spans="1:24" s="1" customFormat="1" ht="13.15">
      <c r="A43" s="16" t="s">
        <v>159</v>
      </c>
      <c r="B43" s="36">
        <v>404.23741186028195</v>
      </c>
      <c r="C43" s="36">
        <v>460.88884473344166</v>
      </c>
      <c r="D43" s="36"/>
      <c r="E43" s="36"/>
      <c r="F43" s="36"/>
      <c r="G43" s="36"/>
      <c r="H43" s="36"/>
      <c r="I43" s="36"/>
      <c r="J43" s="36"/>
      <c r="K43" s="36"/>
      <c r="L43" s="36"/>
      <c r="M43" s="144" cm="1">
        <f t="array" ref="M43">INDEX(tblPrices[cv_2018], MATCH(tblAppleUnits[[#This Row],[Products]],tblPrices[Products],0), 0)* tblAppleUnits[[#This Row],[cv_2018]]/10^6</f>
        <v>4.8373838660726982E-2</v>
      </c>
      <c r="N43" s="144" cm="1">
        <f t="array" ref="N43">INDEX(tblPrices[cv_2019], MATCH(tblAppleUnits[[#This Row],[Products]],tblPrices[Products],0), 0)* tblAppleUnits[[#This Row],[cv_2019]]/10^6</f>
        <v>5.5076533993314074E-2</v>
      </c>
      <c r="O43" s="144" cm="1">
        <f t="array" ref="O43">INDEX(tblPrices[cv_2020], MATCH(tblAppleUnits[[#This Row],[Products]],tblPrices[Products],0), 0)* tblAppleUnits[[#This Row],[cv_2020]]/10^6</f>
        <v>0</v>
      </c>
      <c r="P43" s="144" cm="1">
        <f t="array" ref="P43">INDEX(tblPrices[cv_2021], MATCH(tblAppleUnits[[#This Row],[Products]],tblPrices[Products],0), 0)* tblAppleUnits[[#This Row],[cv_2021]]/10^6</f>
        <v>0</v>
      </c>
      <c r="Q43" s="144" cm="1">
        <f t="array" ref="Q43">INDEX(tblPrices[cv_2022], MATCH(tblAppleUnits[[#This Row],[Products]],tblPrices[Products],0), 0)* tblAppleUnits[[#This Row],[cv_2022]]/10^6</f>
        <v>0</v>
      </c>
      <c r="R43" s="144" cm="1">
        <f t="array" ref="R43">INDEX(tblPrices[cv_2023], MATCH(tblAppleUnits[[#This Row],[Products]],tblPrices[Products],0), 0)* tblAppleUnits[[#This Row],[cv_2023]]/10^6</f>
        <v>0</v>
      </c>
      <c r="S43" s="144" cm="1">
        <f t="array" ref="S43">INDEX(tblPrices[cv_2024], MATCH(tblAppleUnits[[#This Row],[Products]],tblPrices[Products],0), 0)* tblAppleUnits[[#This Row],[cv_2024]]/10^6</f>
        <v>0</v>
      </c>
      <c r="T43" s="144" cm="1">
        <f t="array" ref="T43">INDEX(tblPrices[cv_2025], MATCH(tblAppleUnits[[#This Row],[Products]],tblPrices[Products],0), 0)* tblAppleUnits[[#This Row],[cv_2025]]/10^6</f>
        <v>0</v>
      </c>
      <c r="U43" s="144" cm="1">
        <f t="array" ref="U43">INDEX(tblPrices[cv_2026], MATCH(tblAppleUnits[[#This Row],[Products]],tblPrices[Products],0), 0)* tblAppleUnits[[#This Row],[cv_2026]]/10^6</f>
        <v>0</v>
      </c>
      <c r="V43" s="144" cm="1">
        <f t="array" ref="V43">INDEX(tblPrices[cv_2027], MATCH(tblAppleUnits[[#This Row],[Products]],tblPrices[Products],0), 0)* tblAppleUnits[[#This Row],[cv_2027]]/10^6</f>
        <v>0</v>
      </c>
      <c r="W43" s="144" cm="1">
        <f t="array" ref="W43">INDEX(tblPrices[cv_2028], MATCH(tblAppleUnits[[#This Row],[Products]],tblPrices[Products],0), 0)* tblAppleUnits[[#This Row],[cv_2028]]/10^6</f>
        <v>0</v>
      </c>
      <c r="X43" s="1">
        <f>VLOOKUP(A43,Products!$A$11:$F$110,6,FALSE)</f>
        <v>10</v>
      </c>
    </row>
    <row r="44" spans="1:24" s="1" customFormat="1" ht="13.15">
      <c r="A44" s="9" t="s">
        <v>2</v>
      </c>
      <c r="B44" s="8">
        <v>16309.260000000002</v>
      </c>
      <c r="C44" s="8">
        <v>19385.55</v>
      </c>
      <c r="D44" s="8"/>
      <c r="E44" s="8"/>
      <c r="F44" s="8"/>
      <c r="G44" s="8"/>
      <c r="H44" s="8"/>
      <c r="I44" s="8"/>
      <c r="J44" s="8"/>
      <c r="K44" s="8"/>
      <c r="L44" s="8"/>
      <c r="M44" s="62" cm="1">
        <f t="array" ref="M44">INDEX(tblPrices[cv_2018], MATCH(tblAppleUnits[[#This Row],[Products]],tblPrices[Products],0), 0)* tblAppleUnits[[#This Row],[cv_2018]]/10^6</f>
        <v>4.9528968156000008</v>
      </c>
      <c r="N44" s="62" cm="1">
        <f t="array" ref="N44">INDEX(tblPrices[cv_2019], MATCH(tblAppleUnits[[#This Row],[Products]],tblPrices[Products],0), 0)* tblAppleUnits[[#This Row],[cv_2019]]/10^6</f>
        <v>4.9129085648647486</v>
      </c>
      <c r="O44" s="62" cm="1">
        <f t="array" ref="O44">INDEX(tblPrices[cv_2020], MATCH(tblAppleUnits[[#This Row],[Products]],tblPrices[Products],0), 0)* tblAppleUnits[[#This Row],[cv_2020]]/10^6</f>
        <v>0</v>
      </c>
      <c r="P44" s="62" cm="1">
        <f t="array" ref="P44">INDEX(tblPrices[cv_2021], MATCH(tblAppleUnits[[#This Row],[Products]],tblPrices[Products],0), 0)* tblAppleUnits[[#This Row],[cv_2021]]/10^6</f>
        <v>0</v>
      </c>
      <c r="Q44" s="62" cm="1">
        <f t="array" ref="Q44">INDEX(tblPrices[cv_2022], MATCH(tblAppleUnits[[#This Row],[Products]],tblPrices[Products],0), 0)* tblAppleUnits[[#This Row],[cv_2022]]/10^6</f>
        <v>0</v>
      </c>
      <c r="R44" s="62" cm="1">
        <f t="array" ref="R44">INDEX(tblPrices[cv_2023], MATCH(tblAppleUnits[[#This Row],[Products]],tblPrices[Products],0), 0)* tblAppleUnits[[#This Row],[cv_2023]]/10^6</f>
        <v>0</v>
      </c>
      <c r="S44" s="62" cm="1">
        <f t="array" ref="S44">INDEX(tblPrices[cv_2024], MATCH(tblAppleUnits[[#This Row],[Products]],tblPrices[Products],0), 0)* tblAppleUnits[[#This Row],[cv_2024]]/10^6</f>
        <v>0</v>
      </c>
      <c r="T44" s="62" cm="1">
        <f t="array" ref="T44">INDEX(tblPrices[cv_2025], MATCH(tblAppleUnits[[#This Row],[Products]],tblPrices[Products],0), 0)* tblAppleUnits[[#This Row],[cv_2025]]/10^6</f>
        <v>0</v>
      </c>
      <c r="U44" s="62" cm="1">
        <f t="array" ref="U44">INDEX(tblPrices[cv_2026], MATCH(tblAppleUnits[[#This Row],[Products]],tblPrices[Products],0), 0)* tblAppleUnits[[#This Row],[cv_2026]]/10^6</f>
        <v>0</v>
      </c>
      <c r="V44" s="62" cm="1">
        <f t="array" ref="V44">INDEX(tblPrices[cv_2027], MATCH(tblAppleUnits[[#This Row],[Products]],tblPrices[Products],0), 0)* tblAppleUnits[[#This Row],[cv_2027]]/10^6</f>
        <v>0</v>
      </c>
      <c r="W44" s="62" cm="1">
        <f t="array" ref="W44">INDEX(tblPrices[cv_2028], MATCH(tblAppleUnits[[#This Row],[Products]],tblPrices[Products],0), 0)* tblAppleUnits[[#This Row],[cv_2028]]/10^6</f>
        <v>0</v>
      </c>
      <c r="X44" s="1">
        <f>VLOOKUP(A44,Products!$A$29:$F$110,6,FALSE)</f>
        <v>40</v>
      </c>
    </row>
    <row r="45" spans="1:24" s="1" customFormat="1" ht="13.15">
      <c r="A45" s="9" t="s">
        <v>5</v>
      </c>
      <c r="B45" s="8">
        <v>145180.92357142858</v>
      </c>
      <c r="C45" s="8">
        <v>319647.95</v>
      </c>
      <c r="D45" s="8"/>
      <c r="E45" s="8"/>
      <c r="F45" s="8"/>
      <c r="G45" s="8"/>
      <c r="H45" s="8"/>
      <c r="I45" s="8"/>
      <c r="J45" s="8"/>
      <c r="K45" s="8"/>
      <c r="L45" s="8"/>
      <c r="M45" s="62" cm="1">
        <f t="array" ref="M45">INDEX(tblPrices[cv_2018], MATCH(tblAppleUnits[[#This Row],[Products]],tblPrices[Products],0), 0)* tblAppleUnits[[#This Row],[cv_2018]]/10^6</f>
        <v>71.138652550000003</v>
      </c>
      <c r="N45" s="62" cm="1">
        <f t="array" ref="N45">INDEX(tblPrices[cv_2019], MATCH(tblAppleUnits[[#This Row],[Products]],tblPrices[Products],0), 0)* tblAppleUnits[[#This Row],[cv_2019]]/10^6</f>
        <v>76.715508</v>
      </c>
      <c r="O45" s="62" cm="1">
        <f t="array" ref="O45">INDEX(tblPrices[cv_2020], MATCH(tblAppleUnits[[#This Row],[Products]],tblPrices[Products],0), 0)* tblAppleUnits[[#This Row],[cv_2020]]/10^6</f>
        <v>0</v>
      </c>
      <c r="P45" s="62" cm="1">
        <f t="array" ref="P45">INDEX(tblPrices[cv_2021], MATCH(tblAppleUnits[[#This Row],[Products]],tblPrices[Products],0), 0)* tblAppleUnits[[#This Row],[cv_2021]]/10^6</f>
        <v>0</v>
      </c>
      <c r="Q45" s="62" cm="1">
        <f t="array" ref="Q45">INDEX(tblPrices[cv_2022], MATCH(tblAppleUnits[[#This Row],[Products]],tblPrices[Products],0), 0)* tblAppleUnits[[#This Row],[cv_2022]]/10^6</f>
        <v>0</v>
      </c>
      <c r="R45" s="62" cm="1">
        <f t="array" ref="R45">INDEX(tblPrices[cv_2023], MATCH(tblAppleUnits[[#This Row],[Products]],tblPrices[Products],0), 0)* tblAppleUnits[[#This Row],[cv_2023]]/10^6</f>
        <v>0</v>
      </c>
      <c r="S45" s="62" cm="1">
        <f t="array" ref="S45">INDEX(tblPrices[cv_2024], MATCH(tblAppleUnits[[#This Row],[Products]],tblPrices[Products],0), 0)* tblAppleUnits[[#This Row],[cv_2024]]/10^6</f>
        <v>0</v>
      </c>
      <c r="T45" s="62" cm="1">
        <f t="array" ref="T45">INDEX(tblPrices[cv_2025], MATCH(tblAppleUnits[[#This Row],[Products]],tblPrices[Products],0), 0)* tblAppleUnits[[#This Row],[cv_2025]]/10^6</f>
        <v>0</v>
      </c>
      <c r="U45" s="62" cm="1">
        <f t="array" ref="U45">INDEX(tblPrices[cv_2026], MATCH(tblAppleUnits[[#This Row],[Products]],tblPrices[Products],0), 0)* tblAppleUnits[[#This Row],[cv_2026]]/10^6</f>
        <v>0</v>
      </c>
      <c r="V45" s="62" cm="1">
        <f t="array" ref="V45">INDEX(tblPrices[cv_2027], MATCH(tblAppleUnits[[#This Row],[Products]],tblPrices[Products],0), 0)* tblAppleUnits[[#This Row],[cv_2027]]/10^6</f>
        <v>0</v>
      </c>
      <c r="W45" s="62" cm="1">
        <f t="array" ref="W45">INDEX(tblPrices[cv_2028], MATCH(tblAppleUnits[[#This Row],[Products]],tblPrices[Products],0), 0)* tblAppleUnits[[#This Row],[cv_2028]]/10^6</f>
        <v>0</v>
      </c>
      <c r="X45" s="1">
        <f>VLOOKUP(A45,Products!$A$29:$F$110,6,FALSE)</f>
        <v>100</v>
      </c>
    </row>
    <row r="46" spans="1:24" s="1" customFormat="1" ht="13.15">
      <c r="A46" s="9" t="s">
        <v>6</v>
      </c>
      <c r="B46" s="8">
        <v>6336.4160485294124</v>
      </c>
      <c r="C46" s="8">
        <v>7179.0972000000011</v>
      </c>
      <c r="D46" s="8"/>
      <c r="E46" s="8"/>
      <c r="F46" s="8"/>
      <c r="G46" s="8"/>
      <c r="H46" s="8"/>
      <c r="I46" s="8"/>
      <c r="J46" s="8"/>
      <c r="K46" s="8"/>
      <c r="L46" s="8"/>
      <c r="M46" s="62" cm="1">
        <f t="array" ref="M46">INDEX(tblPrices[cv_2018], MATCH(tblAppleUnits[[#This Row],[Products]],tblPrices[Products],0), 0)* tblAppleUnits[[#This Row],[cv_2018]]/10^6</f>
        <v>5.2835116173342085</v>
      </c>
      <c r="N46" s="62" cm="1">
        <f t="array" ref="N46">INDEX(tblPrices[cv_2019], MATCH(tblAppleUnits[[#This Row],[Products]],tblPrices[Products],0), 0)* tblAppleUnits[[#This Row],[cv_2019]]/10^6</f>
        <v>3.7840101274648594</v>
      </c>
      <c r="O46" s="62" cm="1">
        <f t="array" ref="O46">INDEX(tblPrices[cv_2020], MATCH(tblAppleUnits[[#This Row],[Products]],tblPrices[Products],0), 0)* tblAppleUnits[[#This Row],[cv_2020]]/10^6</f>
        <v>0</v>
      </c>
      <c r="P46" s="62" cm="1">
        <f t="array" ref="P46">INDEX(tblPrices[cv_2021], MATCH(tblAppleUnits[[#This Row],[Products]],tblPrices[Products],0), 0)* tblAppleUnits[[#This Row],[cv_2021]]/10^6</f>
        <v>0</v>
      </c>
      <c r="Q46" s="62" cm="1">
        <f t="array" ref="Q46">INDEX(tblPrices[cv_2022], MATCH(tblAppleUnits[[#This Row],[Products]],tblPrices[Products],0), 0)* tblAppleUnits[[#This Row],[cv_2022]]/10^6</f>
        <v>0</v>
      </c>
      <c r="R46" s="62" cm="1">
        <f t="array" ref="R46">INDEX(tblPrices[cv_2023], MATCH(tblAppleUnits[[#This Row],[Products]],tblPrices[Products],0), 0)* tblAppleUnits[[#This Row],[cv_2023]]/10^6</f>
        <v>0</v>
      </c>
      <c r="S46" s="62" cm="1">
        <f t="array" ref="S46">INDEX(tblPrices[cv_2024], MATCH(tblAppleUnits[[#This Row],[Products]],tblPrices[Products],0), 0)* tblAppleUnits[[#This Row],[cv_2024]]/10^6</f>
        <v>0</v>
      </c>
      <c r="T46" s="62" cm="1">
        <f t="array" ref="T46">INDEX(tblPrices[cv_2025], MATCH(tblAppleUnits[[#This Row],[Products]],tblPrices[Products],0), 0)* tblAppleUnits[[#This Row],[cv_2025]]/10^6</f>
        <v>0</v>
      </c>
      <c r="U46" s="62" cm="1">
        <f t="array" ref="U46">INDEX(tblPrices[cv_2026], MATCH(tblAppleUnits[[#This Row],[Products]],tblPrices[Products],0), 0)* tblAppleUnits[[#This Row],[cv_2026]]/10^6</f>
        <v>0</v>
      </c>
      <c r="V46" s="62" cm="1">
        <f t="array" ref="V46">INDEX(tblPrices[cv_2027], MATCH(tblAppleUnits[[#This Row],[Products]],tblPrices[Products],0), 0)* tblAppleUnits[[#This Row],[cv_2027]]/10^6</f>
        <v>0</v>
      </c>
      <c r="W46" s="62" cm="1">
        <f t="array" ref="W46">INDEX(tblPrices[cv_2028], MATCH(tblAppleUnits[[#This Row],[Products]],tblPrices[Products],0), 0)* tblAppleUnits[[#This Row],[cv_2028]]/10^6</f>
        <v>0</v>
      </c>
      <c r="X46" s="1">
        <f>VLOOKUP(A46,Products!$A$29:$F$110,6,FALSE)</f>
        <v>100</v>
      </c>
    </row>
    <row r="47" spans="1:24" s="1" customFormat="1" ht="13.15">
      <c r="A47" s="9" t="s">
        <v>11</v>
      </c>
      <c r="B47" s="8">
        <v>0</v>
      </c>
      <c r="C47" s="8">
        <v>0</v>
      </c>
      <c r="D47" s="8"/>
      <c r="E47" s="8"/>
      <c r="F47" s="8"/>
      <c r="G47" s="8"/>
      <c r="H47" s="8"/>
      <c r="I47" s="8"/>
      <c r="J47" s="8"/>
      <c r="K47" s="8"/>
      <c r="L47" s="8"/>
      <c r="M47" s="62" cm="1">
        <f t="array" ref="M47">INDEX(tblPrices[cv_2018], MATCH(tblAppleUnits[[#This Row],[Products]],tblPrices[Products],0), 0)* tblAppleUnits[[#This Row],[cv_2018]]/10^6</f>
        <v>0</v>
      </c>
      <c r="N47" s="62" cm="1">
        <f t="array" ref="N47">INDEX(tblPrices[cv_2019], MATCH(tblAppleUnits[[#This Row],[Products]],tblPrices[Products],0), 0)* tblAppleUnits[[#This Row],[cv_2019]]/10^6</f>
        <v>0</v>
      </c>
      <c r="O47" s="62" cm="1">
        <f t="array" ref="O47">INDEX(tblPrices[cv_2020], MATCH(tblAppleUnits[[#This Row],[Products]],tblPrices[Products],0), 0)* tblAppleUnits[[#This Row],[cv_2020]]/10^6</f>
        <v>0</v>
      </c>
      <c r="P47" s="62" cm="1">
        <f t="array" ref="P47">INDEX(tblPrices[cv_2021], MATCH(tblAppleUnits[[#This Row],[Products]],tblPrices[Products],0), 0)* tblAppleUnits[[#This Row],[cv_2021]]/10^6</f>
        <v>0</v>
      </c>
      <c r="Q47" s="62" cm="1">
        <f t="array" ref="Q47">INDEX(tblPrices[cv_2022], MATCH(tblAppleUnits[[#This Row],[Products]],tblPrices[Products],0), 0)* tblAppleUnits[[#This Row],[cv_2022]]/10^6</f>
        <v>0</v>
      </c>
      <c r="R47" s="62" cm="1">
        <f t="array" ref="R47">INDEX(tblPrices[cv_2023], MATCH(tblAppleUnits[[#This Row],[Products]],tblPrices[Products],0), 0)* tblAppleUnits[[#This Row],[cv_2023]]/10^6</f>
        <v>0</v>
      </c>
      <c r="S47" s="62" cm="1">
        <f t="array" ref="S47">INDEX(tblPrices[cv_2024], MATCH(tblAppleUnits[[#This Row],[Products]],tblPrices[Products],0), 0)* tblAppleUnits[[#This Row],[cv_2024]]/10^6</f>
        <v>0</v>
      </c>
      <c r="T47" s="62" cm="1">
        <f t="array" ref="T47">INDEX(tblPrices[cv_2025], MATCH(tblAppleUnits[[#This Row],[Products]],tblPrices[Products],0), 0)* tblAppleUnits[[#This Row],[cv_2025]]/10^6</f>
        <v>0</v>
      </c>
      <c r="U47" s="62" cm="1">
        <f t="array" ref="U47">INDEX(tblPrices[cv_2026], MATCH(tblAppleUnits[[#This Row],[Products]],tblPrices[Products],0), 0)* tblAppleUnits[[#This Row],[cv_2026]]/10^6</f>
        <v>0</v>
      </c>
      <c r="V47" s="62" cm="1">
        <f t="array" ref="V47">INDEX(tblPrices[cv_2027], MATCH(tblAppleUnits[[#This Row],[Products]],tblPrices[Products],0), 0)* tblAppleUnits[[#This Row],[cv_2027]]/10^6</f>
        <v>0</v>
      </c>
      <c r="W47" s="62" cm="1">
        <f t="array" ref="W47">INDEX(tblPrices[cv_2028], MATCH(tblAppleUnits[[#This Row],[Products]],tblPrices[Products],0), 0)* tblAppleUnits[[#This Row],[cv_2028]]/10^6</f>
        <v>0</v>
      </c>
      <c r="X47" s="1">
        <f>VLOOKUP(A47,Products!$A$29:$F$110,6,FALSE)</f>
        <v>400</v>
      </c>
    </row>
    <row r="48" spans="1:24" s="1" customFormat="1" ht="13.15">
      <c r="A48" s="9" t="s">
        <v>42</v>
      </c>
      <c r="B48" s="8">
        <v>0</v>
      </c>
      <c r="C48" s="8">
        <v>0</v>
      </c>
      <c r="D48" s="8"/>
      <c r="E48" s="8"/>
      <c r="F48" s="8"/>
      <c r="G48" s="8"/>
      <c r="H48" s="8"/>
      <c r="I48" s="8"/>
      <c r="J48" s="8"/>
      <c r="K48" s="8"/>
      <c r="L48" s="8"/>
      <c r="M48" s="62" cm="1">
        <f t="array" ref="M48">INDEX(tblPrices[cv_2018], MATCH(tblAppleUnits[[#This Row],[Products]],tblPrices[Products],0), 0)* tblAppleUnits[[#This Row],[cv_2018]]/10^6</f>
        <v>0</v>
      </c>
      <c r="N48" s="62" cm="1">
        <f t="array" ref="N48">INDEX(tblPrices[cv_2019], MATCH(tblAppleUnits[[#This Row],[Products]],tblPrices[Products],0), 0)* tblAppleUnits[[#This Row],[cv_2019]]/10^6</f>
        <v>0</v>
      </c>
      <c r="O48" s="62" cm="1">
        <f t="array" ref="O48">INDEX(tblPrices[cv_2020], MATCH(tblAppleUnits[[#This Row],[Products]],tblPrices[Products],0), 0)* tblAppleUnits[[#This Row],[cv_2020]]/10^6</f>
        <v>0</v>
      </c>
      <c r="P48" s="62" cm="1">
        <f t="array" ref="P48">INDEX(tblPrices[cv_2021], MATCH(tblAppleUnits[[#This Row],[Products]],tblPrices[Products],0), 0)* tblAppleUnits[[#This Row],[cv_2021]]/10^6</f>
        <v>0</v>
      </c>
      <c r="Q48" s="62" cm="1">
        <f t="array" ref="Q48">INDEX(tblPrices[cv_2022], MATCH(tblAppleUnits[[#This Row],[Products]],tblPrices[Products],0), 0)* tblAppleUnits[[#This Row],[cv_2022]]/10^6</f>
        <v>0</v>
      </c>
      <c r="R48" s="62" cm="1">
        <f t="array" ref="R48">INDEX(tblPrices[cv_2023], MATCH(tblAppleUnits[[#This Row],[Products]],tblPrices[Products],0), 0)* tblAppleUnits[[#This Row],[cv_2023]]/10^6</f>
        <v>0</v>
      </c>
      <c r="S48" s="62" cm="1">
        <f t="array" ref="S48">INDEX(tblPrices[cv_2024], MATCH(tblAppleUnits[[#This Row],[Products]],tblPrices[Products],0), 0)* tblAppleUnits[[#This Row],[cv_2024]]/10^6</f>
        <v>0</v>
      </c>
      <c r="T48" s="62" cm="1">
        <f t="array" ref="T48">INDEX(tblPrices[cv_2025], MATCH(tblAppleUnits[[#This Row],[Products]],tblPrices[Products],0), 0)* tblAppleUnits[[#This Row],[cv_2025]]/10^6</f>
        <v>0</v>
      </c>
      <c r="U48" s="62" cm="1">
        <f t="array" ref="U48">INDEX(tblPrices[cv_2026], MATCH(tblAppleUnits[[#This Row],[Products]],tblPrices[Products],0), 0)* tblAppleUnits[[#This Row],[cv_2026]]/10^6</f>
        <v>0</v>
      </c>
      <c r="V48" s="62" cm="1">
        <f t="array" ref="V48">INDEX(tblPrices[cv_2027], MATCH(tblAppleUnits[[#This Row],[Products]],tblPrices[Products],0), 0)* tblAppleUnits[[#This Row],[cv_2027]]/10^6</f>
        <v>0</v>
      </c>
      <c r="W48" s="62" cm="1">
        <f t="array" ref="W48">INDEX(tblPrices[cv_2028], MATCH(tblAppleUnits[[#This Row],[Products]],tblPrices[Products],0), 0)* tblAppleUnits[[#This Row],[cv_2028]]/10^6</f>
        <v>0</v>
      </c>
      <c r="X48" s="1">
        <f>VLOOKUP(A48,Products!$A$29:$F$110,6,FALSE)</f>
        <v>400</v>
      </c>
    </row>
    <row r="49" spans="1:24" s="1" customFormat="1" ht="13.15">
      <c r="A49" s="9" t="s">
        <v>12</v>
      </c>
      <c r="B49" s="8">
        <v>0</v>
      </c>
      <c r="C49" s="8">
        <v>0</v>
      </c>
      <c r="D49" s="8"/>
      <c r="E49" s="8"/>
      <c r="F49" s="8"/>
      <c r="G49" s="8"/>
      <c r="H49" s="8"/>
      <c r="I49" s="8"/>
      <c r="J49" s="8"/>
      <c r="K49" s="8"/>
      <c r="L49" s="8"/>
      <c r="M49" s="62" cm="1">
        <f t="array" ref="M49">INDEX(tblPrices[cv_2018], MATCH(tblAppleUnits[[#This Row],[Products]],tblPrices[Products],0), 0)* tblAppleUnits[[#This Row],[cv_2018]]/10^6</f>
        <v>0</v>
      </c>
      <c r="N49" s="62" cm="1">
        <f t="array" ref="N49">INDEX(tblPrices[cv_2019], MATCH(tblAppleUnits[[#This Row],[Products]],tblPrices[Products],0), 0)* tblAppleUnits[[#This Row],[cv_2019]]/10^6</f>
        <v>0</v>
      </c>
      <c r="O49" s="62" cm="1">
        <f t="array" ref="O49">INDEX(tblPrices[cv_2020], MATCH(tblAppleUnits[[#This Row],[Products]],tblPrices[Products],0), 0)* tblAppleUnits[[#This Row],[cv_2020]]/10^6</f>
        <v>0</v>
      </c>
      <c r="P49" s="62" cm="1">
        <f t="array" ref="P49">INDEX(tblPrices[cv_2021], MATCH(tblAppleUnits[[#This Row],[Products]],tblPrices[Products],0), 0)* tblAppleUnits[[#This Row],[cv_2021]]/10^6</f>
        <v>0</v>
      </c>
      <c r="Q49" s="62" cm="1">
        <f t="array" ref="Q49">INDEX(tblPrices[cv_2022], MATCH(tblAppleUnits[[#This Row],[Products]],tblPrices[Products],0), 0)* tblAppleUnits[[#This Row],[cv_2022]]/10^6</f>
        <v>0</v>
      </c>
      <c r="R49" s="62" cm="1">
        <f t="array" ref="R49">INDEX(tblPrices[cv_2023], MATCH(tblAppleUnits[[#This Row],[Products]],tblPrices[Products],0), 0)* tblAppleUnits[[#This Row],[cv_2023]]/10^6</f>
        <v>0</v>
      </c>
      <c r="S49" s="62" cm="1">
        <f t="array" ref="S49">INDEX(tblPrices[cv_2024], MATCH(tblAppleUnits[[#This Row],[Products]],tblPrices[Products],0), 0)* tblAppleUnits[[#This Row],[cv_2024]]/10^6</f>
        <v>0</v>
      </c>
      <c r="T49" s="62" cm="1">
        <f t="array" ref="T49">INDEX(tblPrices[cv_2025], MATCH(tblAppleUnits[[#This Row],[Products]],tblPrices[Products],0), 0)* tblAppleUnits[[#This Row],[cv_2025]]/10^6</f>
        <v>0</v>
      </c>
      <c r="U49" s="62" cm="1">
        <f t="array" ref="U49">INDEX(tblPrices[cv_2026], MATCH(tblAppleUnits[[#This Row],[Products]],tblPrices[Products],0), 0)* tblAppleUnits[[#This Row],[cv_2026]]/10^6</f>
        <v>0</v>
      </c>
      <c r="V49" s="62" cm="1">
        <f t="array" ref="V49">INDEX(tblPrices[cv_2027], MATCH(tblAppleUnits[[#This Row],[Products]],tblPrices[Products],0), 0)* tblAppleUnits[[#This Row],[cv_2027]]/10^6</f>
        <v>0</v>
      </c>
      <c r="W49" s="62" cm="1">
        <f t="array" ref="W49">INDEX(tblPrices[cv_2028], MATCH(tblAppleUnits[[#This Row],[Products]],tblPrices[Products],0), 0)* tblAppleUnits[[#This Row],[cv_2028]]/10^6</f>
        <v>0</v>
      </c>
      <c r="X49" s="1">
        <f>VLOOKUP(A49,Products!$A$29:$F$110,6,FALSE)</f>
        <v>400</v>
      </c>
    </row>
    <row r="50" spans="1:24" s="1" customFormat="1" ht="13.15">
      <c r="A50" s="9" t="s">
        <v>13</v>
      </c>
      <c r="B50" s="8">
        <v>0</v>
      </c>
      <c r="C50" s="8">
        <v>0</v>
      </c>
      <c r="D50" s="8"/>
      <c r="E50" s="8"/>
      <c r="F50" s="8"/>
      <c r="G50" s="8"/>
      <c r="H50" s="8"/>
      <c r="I50" s="8"/>
      <c r="J50" s="8"/>
      <c r="K50" s="8"/>
      <c r="L50" s="8"/>
      <c r="M50" s="122" cm="1">
        <f t="array" ref="M50">INDEX(tblPrices[cv_2018], MATCH(tblAppleUnits[[#This Row],[Products]],tblPrices[Products],0), 0)* tblAppleUnits[[#This Row],[cv_2018]]/10^6</f>
        <v>0</v>
      </c>
      <c r="N50" s="122" cm="1">
        <f t="array" ref="N50">INDEX(tblPrices[cv_2019], MATCH(tblAppleUnits[[#This Row],[Products]],tblPrices[Products],0), 0)* tblAppleUnits[[#This Row],[cv_2019]]/10^6</f>
        <v>0</v>
      </c>
      <c r="O50" s="122" cm="1">
        <f t="array" ref="O50">INDEX(tblPrices[cv_2020], MATCH(tblAppleUnits[[#This Row],[Products]],tblPrices[Products],0), 0)* tblAppleUnits[[#This Row],[cv_2020]]/10^6</f>
        <v>0</v>
      </c>
      <c r="P50" s="122" cm="1">
        <f t="array" ref="P50">INDEX(tblPrices[cv_2021], MATCH(tblAppleUnits[[#This Row],[Products]],tblPrices[Products],0), 0)* tblAppleUnits[[#This Row],[cv_2021]]/10^6</f>
        <v>0</v>
      </c>
      <c r="Q50" s="122" cm="1">
        <f t="array" ref="Q50">INDEX(tblPrices[cv_2022], MATCH(tblAppleUnits[[#This Row],[Products]],tblPrices[Products],0), 0)* tblAppleUnits[[#This Row],[cv_2022]]/10^6</f>
        <v>0</v>
      </c>
      <c r="R50" s="122" cm="1">
        <f t="array" ref="R50">INDEX(tblPrices[cv_2023], MATCH(tblAppleUnits[[#This Row],[Products]],tblPrices[Products],0), 0)* tblAppleUnits[[#This Row],[cv_2023]]/10^6</f>
        <v>0</v>
      </c>
      <c r="S50" s="122" cm="1">
        <f t="array" ref="S50">INDEX(tblPrices[cv_2024], MATCH(tblAppleUnits[[#This Row],[Products]],tblPrices[Products],0), 0)* tblAppleUnits[[#This Row],[cv_2024]]/10^6</f>
        <v>0</v>
      </c>
      <c r="T50" s="122" cm="1">
        <f t="array" ref="T50">INDEX(tblPrices[cv_2025], MATCH(tblAppleUnits[[#This Row],[Products]],tblPrices[Products],0), 0)* tblAppleUnits[[#This Row],[cv_2025]]/10^6</f>
        <v>0</v>
      </c>
      <c r="U50" s="122" cm="1">
        <f t="array" ref="U50">INDEX(tblPrices[cv_2026], MATCH(tblAppleUnits[[#This Row],[Products]],tblPrices[Products],0), 0)* tblAppleUnits[[#This Row],[cv_2026]]/10^6</f>
        <v>0</v>
      </c>
      <c r="V50" s="122" cm="1">
        <f t="array" ref="V50">INDEX(tblPrices[cv_2027], MATCH(tblAppleUnits[[#This Row],[Products]],tblPrices[Products],0), 0)* tblAppleUnits[[#This Row],[cv_2027]]/10^6</f>
        <v>0</v>
      </c>
      <c r="W50" s="122" cm="1">
        <f t="array" ref="W50">INDEX(tblPrices[cv_2028], MATCH(tblAppleUnits[[#This Row],[Products]],tblPrices[Products],0), 0)* tblAppleUnits[[#This Row],[cv_2028]]/10^6</f>
        <v>0</v>
      </c>
      <c r="X50" s="1">
        <f>VLOOKUP(A50,Products!$A$29:$F$110,6,FALSE)</f>
        <v>800</v>
      </c>
    </row>
    <row r="51" spans="1:24" s="1" customFormat="1" ht="13.15">
      <c r="A51" s="72" t="s">
        <v>14</v>
      </c>
      <c r="B51" s="73">
        <v>0</v>
      </c>
      <c r="C51" s="73">
        <v>0</v>
      </c>
      <c r="D51" s="73"/>
      <c r="E51" s="73"/>
      <c r="F51" s="73"/>
      <c r="G51" s="73"/>
      <c r="H51" s="73"/>
      <c r="I51" s="73"/>
      <c r="J51" s="73"/>
      <c r="K51" s="73"/>
      <c r="L51" s="73"/>
      <c r="M51" s="115" cm="1">
        <f t="array" ref="M51">INDEX(tblPrices[cv_2018], MATCH(tblMicrosoftUnits[[#This Row],[Products]],tblPrices[Products],0), 0)* tblMicrosoftUnits[[#This Row],[cv_2018]]/10^6</f>
        <v>2.7646957465932172</v>
      </c>
      <c r="N51" s="115" cm="1">
        <f t="array" ref="N51">INDEX(tblPrices[cv_2019], MATCH(tblMicrosoftUnits[[#This Row],[Products]],tblPrices[Products],0), 0)* tblMicrosoftUnits[[#This Row],[cv_2019]]/10^6</f>
        <v>2.8812365709906658</v>
      </c>
      <c r="O51" s="115" cm="1">
        <f t="array" ref="O51">INDEX(tblPrices[cv_2020], MATCH(tblMicrosoftUnits[[#This Row],[Products]],tblPrices[Products],0), 0)* tblMicrosoftUnits[[#This Row],[cv_2020]]/10^6</f>
        <v>0</v>
      </c>
      <c r="P51" s="115" cm="1">
        <f t="array" ref="P51">INDEX(tblPrices[cv_2021], MATCH(tblMicrosoftUnits[[#This Row],[Products]],tblPrices[Products],0), 0)* tblMicrosoftUnits[[#This Row],[cv_2021]]/10^6</f>
        <v>0</v>
      </c>
      <c r="Q51" s="115" cm="1">
        <f t="array" ref="Q51">INDEX(tblPrices[cv_2022], MATCH(tblMicrosoftUnits[[#This Row],[Products]],tblPrices[Products],0), 0)* tblMicrosoftUnits[[#This Row],[cv_2022]]/10^6</f>
        <v>0</v>
      </c>
      <c r="R51" s="115" cm="1">
        <f t="array" ref="R51">INDEX(tblPrices[cv_2023], MATCH(tblMicrosoftUnits[[#This Row],[Products]],tblPrices[Products],0), 0)* tblMicrosoftUnits[[#This Row],[cv_2023]]/10^6</f>
        <v>0</v>
      </c>
      <c r="S51" s="115" cm="1">
        <f t="array" ref="S51">INDEX(tblPrices[cv_2024], MATCH(tblAppleUnits[[#This Row],[Products]],tblPrices[Products],0), 0)* tblAppleUnits[[#This Row],[cv_2024]]/10^6</f>
        <v>0</v>
      </c>
      <c r="T51" s="115" cm="1">
        <f t="array" ref="T51">INDEX(tblPrices[cv_2025], MATCH(tblAppleUnits[[#This Row],[Products]],tblPrices[Products],0), 0)* tblAppleUnits[[#This Row],[cv_2025]]/10^6</f>
        <v>0</v>
      </c>
      <c r="U51" s="115" cm="1">
        <f t="array" ref="U51">INDEX(tblPrices[cv_2026], MATCH(tblAppleUnits[[#This Row],[Products]],tblPrices[Products],0), 0)* tblAppleUnits[[#This Row],[cv_2026]]/10^6</f>
        <v>0</v>
      </c>
      <c r="V51" s="115" cm="1">
        <f t="array" ref="V51">INDEX(tblPrices[cv_2027], MATCH(tblAppleUnits[[#This Row],[Products]],tblPrices[Products],0), 0)* tblAppleUnits[[#This Row],[cv_2027]]/10^6</f>
        <v>0</v>
      </c>
      <c r="W51" s="115" cm="1">
        <f t="array" ref="W51">INDEX(tblPrices[cv_2028], MATCH(tblAppleUnits[[#This Row],[Products]],tblPrices[Products],0), 0)* tblAppleUnits[[#This Row],[cv_2028]]/10^6</f>
        <v>0</v>
      </c>
    </row>
    <row r="52" spans="1:24" s="1" customFormat="1" ht="13.15">
      <c r="A52" s="9" t="s">
        <v>21</v>
      </c>
      <c r="B52" s="8">
        <v>2885.4567000000006</v>
      </c>
      <c r="C52" s="8">
        <v>3678.5107290667538</v>
      </c>
      <c r="D52" s="8"/>
      <c r="E52" s="8"/>
      <c r="F52" s="8"/>
      <c r="G52" s="8"/>
      <c r="H52" s="8"/>
      <c r="I52" s="8"/>
      <c r="J52" s="8"/>
      <c r="K52" s="8"/>
      <c r="L52" s="8"/>
      <c r="M52" s="62" cm="1">
        <f t="array" ref="M52">INDEX(tblPrices[cv_2018], MATCH(tblAppleUnits[[#This Row],[Products]],tblPrices[Products],0), 0)* tblAppleUnits[[#This Row],[cv_2018]]/10^6</f>
        <v>1.3823478732966092</v>
      </c>
      <c r="N52" s="62" cm="1">
        <f t="array" ref="N52">INDEX(tblPrices[cv_2019], MATCH(tblAppleUnits[[#This Row],[Products]],tblPrices[Products],0), 0)* tblAppleUnits[[#This Row],[cv_2019]]/10^6</f>
        <v>1.4406182854953333</v>
      </c>
      <c r="O52" s="62" cm="1">
        <f t="array" ref="O52">INDEX(tblPrices[cv_2020], MATCH(tblAppleUnits[[#This Row],[Products]],tblPrices[Products],0), 0)* tblAppleUnits[[#This Row],[cv_2020]]/10^6</f>
        <v>0</v>
      </c>
      <c r="P52" s="62" cm="1">
        <f t="array" ref="P52">INDEX(tblPrices[cv_2021], MATCH(tblAppleUnits[[#This Row],[Products]],tblPrices[Products],0), 0)* tblAppleUnits[[#This Row],[cv_2021]]/10^6</f>
        <v>0</v>
      </c>
      <c r="Q52" s="62" cm="1">
        <f t="array" ref="Q52">INDEX(tblPrices[cv_2022], MATCH(tblAppleUnits[[#This Row],[Products]],tblPrices[Products],0), 0)* tblAppleUnits[[#This Row],[cv_2022]]/10^6</f>
        <v>0</v>
      </c>
      <c r="R52" s="62" cm="1">
        <f t="array" ref="R52">INDEX(tblPrices[cv_2023], MATCH(tblAppleUnits[[#This Row],[Products]],tblPrices[Products],0), 0)* tblAppleUnits[[#This Row],[cv_2023]]/10^6</f>
        <v>0</v>
      </c>
      <c r="S52" s="62" cm="1">
        <f t="array" ref="S52">INDEX(tblPrices[cv_2024], MATCH(tblAppleUnits[[#This Row],[Products]],tblPrices[Products],0), 0)* tblAppleUnits[[#This Row],[cv_2024]]/10^6</f>
        <v>0</v>
      </c>
      <c r="T52" s="62" cm="1">
        <f t="array" ref="T52">INDEX(tblPrices[cv_2025], MATCH(tblAppleUnits[[#This Row],[Products]],tblPrices[Products],0), 0)* tblAppleUnits[[#This Row],[cv_2025]]/10^6</f>
        <v>0</v>
      </c>
      <c r="U52" s="62" cm="1">
        <f t="array" ref="U52">INDEX(tblPrices[cv_2026], MATCH(tblAppleUnits[[#This Row],[Products]],tblPrices[Products],0), 0)* tblAppleUnits[[#This Row],[cv_2026]]/10^6</f>
        <v>0</v>
      </c>
      <c r="V52" s="62" cm="1">
        <f t="array" ref="V52">INDEX(tblPrices[cv_2027], MATCH(tblAppleUnits[[#This Row],[Products]],tblPrices[Products],0), 0)* tblAppleUnits[[#This Row],[cv_2027]]/10^6</f>
        <v>0</v>
      </c>
      <c r="W52" s="62" cm="1">
        <f t="array" ref="W52">INDEX(tblPrices[cv_2028], MATCH(tblAppleUnits[[#This Row],[Products]],tblPrices[Products],0), 0)* tblAppleUnits[[#This Row],[cv_2028]]/10^6</f>
        <v>0</v>
      </c>
      <c r="X52" s="1">
        <f>VLOOKUP(A52,Products!$A$29:$F$110,6,FALSE)</f>
        <v>10</v>
      </c>
    </row>
    <row r="53" spans="1:24" s="1" customFormat="1" ht="13.15">
      <c r="A53" s="9" t="s">
        <v>22</v>
      </c>
      <c r="B53" s="8">
        <v>0</v>
      </c>
      <c r="C53" s="8">
        <v>0</v>
      </c>
      <c r="D53" s="8"/>
      <c r="E53" s="8"/>
      <c r="F53" s="8"/>
      <c r="G53" s="8"/>
      <c r="H53" s="8"/>
      <c r="I53" s="8"/>
      <c r="J53" s="8"/>
      <c r="K53" s="8"/>
      <c r="L53" s="8"/>
      <c r="M53" s="62" cm="1">
        <f t="array" ref="M53">INDEX(tblPrices[cv_2018], MATCH(tblAppleUnits[[#This Row],[Products]],tblPrices[Products],0), 0)* tblAppleUnits[[#This Row],[cv_2018]]/10^6</f>
        <v>0</v>
      </c>
      <c r="N53" s="62" cm="1">
        <f t="array" ref="N53">INDEX(tblPrices[cv_2019], MATCH(tblAppleUnits[[#This Row],[Products]],tblPrices[Products],0), 0)* tblAppleUnits[[#This Row],[cv_2019]]/10^6</f>
        <v>0</v>
      </c>
      <c r="O53" s="62" cm="1">
        <f t="array" ref="O53">INDEX(tblPrices[cv_2020], MATCH(tblAppleUnits[[#This Row],[Products]],tblPrices[Products],0), 0)* tblAppleUnits[[#This Row],[cv_2020]]/10^6</f>
        <v>0</v>
      </c>
      <c r="P53" s="62" cm="1">
        <f t="array" ref="P53">INDEX(tblPrices[cv_2021], MATCH(tblAppleUnits[[#This Row],[Products]],tblPrices[Products],0), 0)* tblAppleUnits[[#This Row],[cv_2021]]/10^6</f>
        <v>0</v>
      </c>
      <c r="Q53" s="62" cm="1">
        <f t="array" ref="Q53">INDEX(tblPrices[cv_2022], MATCH(tblAppleUnits[[#This Row],[Products]],tblPrices[Products],0), 0)* tblAppleUnits[[#This Row],[cv_2022]]/10^6</f>
        <v>0</v>
      </c>
      <c r="R53" s="62" cm="1">
        <f t="array" ref="R53">INDEX(tblPrices[cv_2023], MATCH(tblAppleUnits[[#This Row],[Products]],tblPrices[Products],0), 0)* tblAppleUnits[[#This Row],[cv_2023]]/10^6</f>
        <v>0</v>
      </c>
      <c r="S53" s="62" cm="1">
        <f t="array" ref="S53">INDEX(tblPrices[cv_2024], MATCH(tblAppleUnits[[#This Row],[Products]],tblPrices[Products],0), 0)* tblAppleUnits[[#This Row],[cv_2024]]/10^6</f>
        <v>0</v>
      </c>
      <c r="T53" s="62" cm="1">
        <f t="array" ref="T53">INDEX(tblPrices[cv_2025], MATCH(tblAppleUnits[[#This Row],[Products]],tblPrices[Products],0), 0)* tblAppleUnits[[#This Row],[cv_2025]]/10^6</f>
        <v>0</v>
      </c>
      <c r="U53" s="62" cm="1">
        <f t="array" ref="U53">INDEX(tblPrices[cv_2026], MATCH(tblAppleUnits[[#This Row],[Products]],tblPrices[Products],0), 0)* tblAppleUnits[[#This Row],[cv_2026]]/10^6</f>
        <v>0</v>
      </c>
      <c r="V53" s="62" cm="1">
        <f t="array" ref="V53">INDEX(tblPrices[cv_2027], MATCH(tblAppleUnits[[#This Row],[Products]],tblPrices[Products],0), 0)* tblAppleUnits[[#This Row],[cv_2027]]/10^6</f>
        <v>0</v>
      </c>
      <c r="W53" s="62" cm="1">
        <f t="array" ref="W53">INDEX(tblPrices[cv_2028], MATCH(tblAppleUnits[[#This Row],[Products]],tblPrices[Products],0), 0)* tblAppleUnits[[#This Row],[cv_2028]]/10^6</f>
        <v>0</v>
      </c>
      <c r="X53" s="1">
        <f>VLOOKUP(A53,Products!$A$29:$F$110,6,FALSE)</f>
        <v>40</v>
      </c>
    </row>
    <row r="54" spans="1:24" s="1" customFormat="1" ht="13.15">
      <c r="A54" s="9" t="s">
        <v>23</v>
      </c>
      <c r="B54" s="8">
        <v>3245.7401776470601</v>
      </c>
      <c r="C54" s="8">
        <v>2649.8424000000014</v>
      </c>
      <c r="D54" s="8"/>
      <c r="E54" s="8"/>
      <c r="F54" s="8"/>
      <c r="G54" s="8"/>
      <c r="H54" s="8"/>
      <c r="I54" s="8"/>
      <c r="J54" s="8"/>
      <c r="K54" s="8"/>
      <c r="L54" s="8"/>
      <c r="M54" s="62" cm="1">
        <f t="array" ref="M54">INDEX(tblPrices[cv_2018], MATCH(tblAppleUnits[[#This Row],[Products]],tblPrices[Products],0), 0)* tblAppleUnits[[#This Row],[cv_2018]]/10^6</f>
        <v>25.965921421176482</v>
      </c>
      <c r="N54" s="62" cm="1">
        <f t="array" ref="N54">INDEX(tblPrices[cv_2019], MATCH(tblAppleUnits[[#This Row],[Products]],tblPrices[Products],0), 0)* tblAppleUnits[[#This Row],[cv_2019]]/10^6</f>
        <v>16.958991360000006</v>
      </c>
      <c r="O54" s="62" cm="1">
        <f t="array" ref="O54">INDEX(tblPrices[cv_2020], MATCH(tblAppleUnits[[#This Row],[Products]],tblPrices[Products],0), 0)* tblAppleUnits[[#This Row],[cv_2020]]/10^6</f>
        <v>0</v>
      </c>
      <c r="P54" s="62" cm="1">
        <f t="array" ref="P54">INDEX(tblPrices[cv_2021], MATCH(tblAppleUnits[[#This Row],[Products]],tblPrices[Products],0), 0)* tblAppleUnits[[#This Row],[cv_2021]]/10^6</f>
        <v>0</v>
      </c>
      <c r="Q54" s="62" cm="1">
        <f t="array" ref="Q54">INDEX(tblPrices[cv_2022], MATCH(tblAppleUnits[[#This Row],[Products]],tblPrices[Products],0), 0)* tblAppleUnits[[#This Row],[cv_2022]]/10^6</f>
        <v>0</v>
      </c>
      <c r="R54" s="62" cm="1">
        <f t="array" ref="R54">INDEX(tblPrices[cv_2023], MATCH(tblAppleUnits[[#This Row],[Products]],tblPrices[Products],0), 0)* tblAppleUnits[[#This Row],[cv_2023]]/10^6</f>
        <v>0</v>
      </c>
      <c r="S54" s="62" cm="1">
        <f t="array" ref="S54">INDEX(tblPrices[cv_2024], MATCH(tblAppleUnits[[#This Row],[Products]],tblPrices[Products],0), 0)* tblAppleUnits[[#This Row],[cv_2024]]/10^6</f>
        <v>0</v>
      </c>
      <c r="T54" s="62" cm="1">
        <f t="array" ref="T54">INDEX(tblPrices[cv_2025], MATCH(tblAppleUnits[[#This Row],[Products]],tblPrices[Products],0), 0)* tblAppleUnits[[#This Row],[cv_2025]]/10^6</f>
        <v>0</v>
      </c>
      <c r="U54" s="62" cm="1">
        <f t="array" ref="U54">INDEX(tblPrices[cv_2026], MATCH(tblAppleUnits[[#This Row],[Products]],tblPrices[Products],0), 0)* tblAppleUnits[[#This Row],[cv_2026]]/10^6</f>
        <v>0</v>
      </c>
      <c r="V54" s="62" cm="1">
        <f t="array" ref="V54">INDEX(tblPrices[cv_2027], MATCH(tblAppleUnits[[#This Row],[Products]],tblPrices[Products],0), 0)* tblAppleUnits[[#This Row],[cv_2027]]/10^6</f>
        <v>0</v>
      </c>
      <c r="W54" s="62" cm="1">
        <f t="array" ref="W54">INDEX(tblPrices[cv_2028], MATCH(tblAppleUnits[[#This Row],[Products]],tblPrices[Products],0), 0)* tblAppleUnits[[#This Row],[cv_2028]]/10^6</f>
        <v>0</v>
      </c>
      <c r="X54" s="1">
        <f>VLOOKUP(A54,Products!$A$29:$F$110,6,FALSE)</f>
        <v>100</v>
      </c>
    </row>
    <row r="55" spans="1:24" s="1" customFormat="1" ht="13.15">
      <c r="A55" s="9" t="s">
        <v>24</v>
      </c>
      <c r="B55" s="8">
        <v>0</v>
      </c>
      <c r="C55" s="8">
        <v>0</v>
      </c>
      <c r="D55" s="8"/>
      <c r="E55" s="8"/>
      <c r="F55" s="8"/>
      <c r="G55" s="8"/>
      <c r="H55" s="8"/>
      <c r="I55" s="8"/>
      <c r="J55" s="8"/>
      <c r="K55" s="8"/>
      <c r="L55" s="8"/>
      <c r="M55" s="62" cm="1">
        <f t="array" ref="M55">INDEX(tblPrices[cv_2018], MATCH(tblAppleUnits[[#This Row],[Products]],tblPrices[Products],0), 0)* tblAppleUnits[[#This Row],[cv_2018]]/10^6</f>
        <v>0</v>
      </c>
      <c r="N55" s="62" cm="1">
        <f t="array" ref="N55">INDEX(tblPrices[cv_2019], MATCH(tblAppleUnits[[#This Row],[Products]],tblPrices[Products],0), 0)* tblAppleUnits[[#This Row],[cv_2019]]/10^6</f>
        <v>0</v>
      </c>
      <c r="O55" s="62" cm="1">
        <f t="array" ref="O55">INDEX(tblPrices[cv_2020], MATCH(tblAppleUnits[[#This Row],[Products]],tblPrices[Products],0), 0)* tblAppleUnits[[#This Row],[cv_2020]]/10^6</f>
        <v>0</v>
      </c>
      <c r="P55" s="62" cm="1">
        <f t="array" ref="P55">INDEX(tblPrices[cv_2021], MATCH(tblAppleUnits[[#This Row],[Products]],tblPrices[Products],0), 0)* tblAppleUnits[[#This Row],[cv_2021]]/10^6</f>
        <v>0</v>
      </c>
      <c r="Q55" s="62" cm="1">
        <f t="array" ref="Q55">INDEX(tblPrices[cv_2022], MATCH(tblAppleUnits[[#This Row],[Products]],tblPrices[Products],0), 0)* tblAppleUnits[[#This Row],[cv_2022]]/10^6</f>
        <v>0</v>
      </c>
      <c r="R55" s="62" cm="1">
        <f t="array" ref="R55">INDEX(tblPrices[cv_2023], MATCH(tblAppleUnits[[#This Row],[Products]],tblPrices[Products],0), 0)* tblAppleUnits[[#This Row],[cv_2023]]/10^6</f>
        <v>0</v>
      </c>
      <c r="S55" s="62" cm="1">
        <f t="array" ref="S55">INDEX(tblPrices[cv_2024], MATCH(tblAppleUnits[[#This Row],[Products]],tblPrices[Products],0), 0)* tblAppleUnits[[#This Row],[cv_2024]]/10^6</f>
        <v>0</v>
      </c>
      <c r="T55" s="62" cm="1">
        <f t="array" ref="T55">INDEX(tblPrices[cv_2025], MATCH(tblAppleUnits[[#This Row],[Products]],tblPrices[Products],0), 0)* tblAppleUnits[[#This Row],[cv_2025]]/10^6</f>
        <v>0</v>
      </c>
      <c r="U55" s="62" cm="1">
        <f t="array" ref="U55">INDEX(tblPrices[cv_2026], MATCH(tblAppleUnits[[#This Row],[Products]],tblPrices[Products],0), 0)* tblAppleUnits[[#This Row],[cv_2026]]/10^6</f>
        <v>0</v>
      </c>
      <c r="V55" s="62" cm="1">
        <f t="array" ref="V55">INDEX(tblPrices[cv_2027], MATCH(tblAppleUnits[[#This Row],[Products]],tblPrices[Products],0), 0)* tblAppleUnits[[#This Row],[cv_2027]]/10^6</f>
        <v>0</v>
      </c>
      <c r="W55" s="62" cm="1">
        <f t="array" ref="W55">INDEX(tblPrices[cv_2028], MATCH(tblAppleUnits[[#This Row],[Products]],tblPrices[Products],0), 0)* tblAppleUnits[[#This Row],[cv_2028]]/10^6</f>
        <v>0</v>
      </c>
      <c r="X55" s="1">
        <f>VLOOKUP(A55,Products!$A$29:$F$110,6,FALSE)</f>
        <v>100</v>
      </c>
    </row>
    <row r="56" spans="1:24" s="1" customFormat="1" ht="13.15">
      <c r="A56" s="9" t="s">
        <v>25</v>
      </c>
      <c r="B56" s="8">
        <v>413.7720773809524</v>
      </c>
      <c r="C56" s="8">
        <v>864.14272000000017</v>
      </c>
      <c r="D56" s="8"/>
      <c r="E56" s="8"/>
      <c r="F56" s="8"/>
      <c r="G56" s="8"/>
      <c r="H56" s="8"/>
      <c r="I56" s="8"/>
      <c r="J56" s="8"/>
      <c r="K56" s="8"/>
      <c r="L56" s="8"/>
      <c r="M56" s="62" cm="1">
        <f t="array" ref="M56">INDEX(tblPrices[cv_2018], MATCH(tblAppleUnits[[#This Row],[Products]],tblPrices[Products],0), 0)* tblAppleUnits[[#This Row],[cv_2018]]/10^6</f>
        <v>2.2757464255952384</v>
      </c>
      <c r="N56" s="62" cm="1">
        <f t="array" ref="N56">INDEX(tblPrices[cv_2019], MATCH(tblAppleUnits[[#This Row],[Products]],tblPrices[Products],0), 0)* tblAppleUnits[[#This Row],[cv_2019]]/10^6</f>
        <v>3.8022279680000008</v>
      </c>
      <c r="O56" s="62" cm="1">
        <f t="array" ref="O56">INDEX(tblPrices[cv_2020], MATCH(tblAppleUnits[[#This Row],[Products]],tblPrices[Products],0), 0)* tblAppleUnits[[#This Row],[cv_2020]]/10^6</f>
        <v>0</v>
      </c>
      <c r="P56" s="62" cm="1">
        <f t="array" ref="P56">INDEX(tblPrices[cv_2021], MATCH(tblAppleUnits[[#This Row],[Products]],tblPrices[Products],0), 0)* tblAppleUnits[[#This Row],[cv_2021]]/10^6</f>
        <v>0</v>
      </c>
      <c r="Q56" s="62" cm="1">
        <f t="array" ref="Q56">INDEX(tblPrices[cv_2022], MATCH(tblAppleUnits[[#This Row],[Products]],tblPrices[Products],0), 0)* tblAppleUnits[[#This Row],[cv_2022]]/10^6</f>
        <v>0</v>
      </c>
      <c r="R56" s="62" cm="1">
        <f t="array" ref="R56">INDEX(tblPrices[cv_2023], MATCH(tblAppleUnits[[#This Row],[Products]],tblPrices[Products],0), 0)* tblAppleUnits[[#This Row],[cv_2023]]/10^6</f>
        <v>0</v>
      </c>
      <c r="S56" s="62" cm="1">
        <f t="array" ref="S56">INDEX(tblPrices[cv_2024], MATCH(tblAppleUnits[[#This Row],[Products]],tblPrices[Products],0), 0)* tblAppleUnits[[#This Row],[cv_2024]]/10^6</f>
        <v>0</v>
      </c>
      <c r="T56" s="62" cm="1">
        <f t="array" ref="T56">INDEX(tblPrices[cv_2025], MATCH(tblAppleUnits[[#This Row],[Products]],tblPrices[Products],0), 0)* tblAppleUnits[[#This Row],[cv_2025]]/10^6</f>
        <v>0</v>
      </c>
      <c r="U56" s="62" cm="1">
        <f t="array" ref="U56">INDEX(tblPrices[cv_2026], MATCH(tblAppleUnits[[#This Row],[Products]],tblPrices[Products],0), 0)* tblAppleUnits[[#This Row],[cv_2026]]/10^6</f>
        <v>0</v>
      </c>
      <c r="V56" s="62" cm="1">
        <f t="array" ref="V56">INDEX(tblPrices[cv_2027], MATCH(tblAppleUnits[[#This Row],[Products]],tblPrices[Products],0), 0)* tblAppleUnits[[#This Row],[cv_2027]]/10^6</f>
        <v>0</v>
      </c>
      <c r="W56" s="62" cm="1">
        <f t="array" ref="W56">INDEX(tblPrices[cv_2028], MATCH(tblAppleUnits[[#This Row],[Products]],tblPrices[Products],0), 0)* tblAppleUnits[[#This Row],[cv_2028]]/10^6</f>
        <v>0</v>
      </c>
      <c r="X56" s="1">
        <f>VLOOKUP(A56,Products!$A$29:$F$110,6,FALSE)</f>
        <v>100</v>
      </c>
    </row>
    <row r="57" spans="1:24" s="1" customFormat="1" ht="13.15">
      <c r="A57" s="9" t="s">
        <v>26</v>
      </c>
      <c r="B57" s="8">
        <v>0</v>
      </c>
      <c r="C57" s="8">
        <v>0</v>
      </c>
      <c r="D57" s="8"/>
      <c r="E57" s="8"/>
      <c r="F57" s="8"/>
      <c r="G57" s="8"/>
      <c r="H57" s="8"/>
      <c r="I57" s="8"/>
      <c r="J57" s="8"/>
      <c r="K57" s="8"/>
      <c r="L57" s="8"/>
      <c r="M57" s="62" cm="1">
        <f t="array" ref="M57">INDEX(tblPrices[cv_2018], MATCH(tblAppleUnits[[#This Row],[Products]],tblPrices[Products],0), 0)* tblAppleUnits[[#This Row],[cv_2018]]/10^6</f>
        <v>0</v>
      </c>
      <c r="N57" s="62" cm="1">
        <f t="array" ref="N57">INDEX(tblPrices[cv_2019], MATCH(tblAppleUnits[[#This Row],[Products]],tblPrices[Products],0), 0)* tblAppleUnits[[#This Row],[cv_2019]]/10^6</f>
        <v>0</v>
      </c>
      <c r="O57" s="62" cm="1">
        <f t="array" ref="O57">INDEX(tblPrices[cv_2020], MATCH(tblAppleUnits[[#This Row],[Products]],tblPrices[Products],0), 0)* tblAppleUnits[[#This Row],[cv_2020]]/10^6</f>
        <v>0</v>
      </c>
      <c r="P57" s="62" cm="1">
        <f t="array" ref="P57">INDEX(tblPrices[cv_2021], MATCH(tblAppleUnits[[#This Row],[Products]],tblPrices[Products],0), 0)* tblAppleUnits[[#This Row],[cv_2021]]/10^6</f>
        <v>0</v>
      </c>
      <c r="Q57" s="62" cm="1">
        <f t="array" ref="Q57">INDEX(tblPrices[cv_2022], MATCH(tblAppleUnits[[#This Row],[Products]],tblPrices[Products],0), 0)* tblAppleUnits[[#This Row],[cv_2022]]/10^6</f>
        <v>0</v>
      </c>
      <c r="R57" s="62" cm="1">
        <f t="array" ref="R57">INDEX(tblPrices[cv_2023], MATCH(tblAppleUnits[[#This Row],[Products]],tblPrices[Products],0), 0)* tblAppleUnits[[#This Row],[cv_2023]]/10^6</f>
        <v>0</v>
      </c>
      <c r="S57" s="62" cm="1">
        <f t="array" ref="S57">INDEX(tblPrices[cv_2024], MATCH(tblAppleUnits[[#This Row],[Products]],tblPrices[Products],0), 0)* tblAppleUnits[[#This Row],[cv_2024]]/10^6</f>
        <v>0</v>
      </c>
      <c r="T57" s="62" cm="1">
        <f t="array" ref="T57">INDEX(tblPrices[cv_2025], MATCH(tblAppleUnits[[#This Row],[Products]],tblPrices[Products],0), 0)* tblAppleUnits[[#This Row],[cv_2025]]/10^6</f>
        <v>0</v>
      </c>
      <c r="U57" s="62" cm="1">
        <f t="array" ref="U57">INDEX(tblPrices[cv_2026], MATCH(tblAppleUnits[[#This Row],[Products]],tblPrices[Products],0), 0)* tblAppleUnits[[#This Row],[cv_2026]]/10^6</f>
        <v>0</v>
      </c>
      <c r="V57" s="62" cm="1">
        <f t="array" ref="V57">INDEX(tblPrices[cv_2027], MATCH(tblAppleUnits[[#This Row],[Products]],tblPrices[Products],0), 0)* tblAppleUnits[[#This Row],[cv_2027]]/10^6</f>
        <v>0</v>
      </c>
      <c r="W57" s="62" cm="1">
        <f t="array" ref="W57">INDEX(tblPrices[cv_2028], MATCH(tblAppleUnits[[#This Row],[Products]],tblPrices[Products],0), 0)* tblAppleUnits[[#This Row],[cv_2028]]/10^6</f>
        <v>0</v>
      </c>
      <c r="X57" s="1">
        <f>VLOOKUP(A57,Products!$A$29:$F$110,6,FALSE)</f>
        <v>100</v>
      </c>
    </row>
    <row r="58" spans="1:24" s="1" customFormat="1" ht="13.15">
      <c r="A58" s="9" t="s">
        <v>27</v>
      </c>
      <c r="B58" s="8">
        <v>0</v>
      </c>
      <c r="C58" s="8">
        <v>0</v>
      </c>
      <c r="D58" s="8"/>
      <c r="E58" s="8"/>
      <c r="F58" s="8"/>
      <c r="G58" s="8"/>
      <c r="H58" s="8"/>
      <c r="I58" s="8"/>
      <c r="J58" s="8"/>
      <c r="K58" s="8"/>
      <c r="L58" s="8"/>
      <c r="M58" s="62" cm="1">
        <f t="array" ref="M58">INDEX(tblPrices[cv_2018], MATCH(tblAppleUnits[[#This Row],[Products]],tblPrices[Products],0), 0)* tblAppleUnits[[#This Row],[cv_2018]]/10^6</f>
        <v>0</v>
      </c>
      <c r="N58" s="62" cm="1">
        <f t="array" ref="N58">INDEX(tblPrices[cv_2019], MATCH(tblAppleUnits[[#This Row],[Products]],tblPrices[Products],0), 0)* tblAppleUnits[[#This Row],[cv_2019]]/10^6</f>
        <v>0</v>
      </c>
      <c r="O58" s="62" cm="1">
        <f t="array" ref="O58">INDEX(tblPrices[cv_2020], MATCH(tblAppleUnits[[#This Row],[Products]],tblPrices[Products],0), 0)* tblAppleUnits[[#This Row],[cv_2020]]/10^6</f>
        <v>0</v>
      </c>
      <c r="P58" s="62" cm="1">
        <f t="array" ref="P58">INDEX(tblPrices[cv_2021], MATCH(tblAppleUnits[[#This Row],[Products]],tblPrices[Products],0), 0)* tblAppleUnits[[#This Row],[cv_2021]]/10^6</f>
        <v>0</v>
      </c>
      <c r="Q58" s="62" cm="1">
        <f t="array" ref="Q58">INDEX(tblPrices[cv_2022], MATCH(tblAppleUnits[[#This Row],[Products]],tblPrices[Products],0), 0)* tblAppleUnits[[#This Row],[cv_2022]]/10^6</f>
        <v>0</v>
      </c>
      <c r="R58" s="62" cm="1">
        <f t="array" ref="R58">INDEX(tblPrices[cv_2023], MATCH(tblAppleUnits[[#This Row],[Products]],tblPrices[Products],0), 0)* tblAppleUnits[[#This Row],[cv_2023]]/10^6</f>
        <v>0</v>
      </c>
      <c r="S58" s="62" cm="1">
        <f t="array" ref="S58">INDEX(tblPrices[cv_2024], MATCH(tblAppleUnits[[#This Row],[Products]],tblPrices[Products],0), 0)* tblAppleUnits[[#This Row],[cv_2024]]/10^6</f>
        <v>0</v>
      </c>
      <c r="T58" s="62" cm="1">
        <f t="array" ref="T58">INDEX(tblPrices[cv_2025], MATCH(tblAppleUnits[[#This Row],[Products]],tblPrices[Products],0), 0)* tblAppleUnits[[#This Row],[cv_2025]]/10^6</f>
        <v>0</v>
      </c>
      <c r="U58" s="62" cm="1">
        <f t="array" ref="U58">INDEX(tblPrices[cv_2026], MATCH(tblAppleUnits[[#This Row],[Products]],tblPrices[Products],0), 0)* tblAppleUnits[[#This Row],[cv_2026]]/10^6</f>
        <v>0</v>
      </c>
      <c r="V58" s="62" cm="1">
        <f t="array" ref="V58">INDEX(tblPrices[cv_2027], MATCH(tblAppleUnits[[#This Row],[Products]],tblPrices[Products],0), 0)* tblAppleUnits[[#This Row],[cv_2027]]/10^6</f>
        <v>0</v>
      </c>
      <c r="W58" s="62" cm="1">
        <f t="array" ref="W58">INDEX(tblPrices[cv_2028], MATCH(tblAppleUnits[[#This Row],[Products]],tblPrices[Products],0), 0)* tblAppleUnits[[#This Row],[cv_2028]]/10^6</f>
        <v>0</v>
      </c>
      <c r="X58" s="1">
        <f>VLOOKUP(A58,Products!$A$29:$F$110,6,FALSE)</f>
        <v>100</v>
      </c>
    </row>
    <row r="59" spans="1:24" s="1" customFormat="1" ht="13.15">
      <c r="A59" s="9" t="s">
        <v>28</v>
      </c>
      <c r="B59" s="8">
        <v>0</v>
      </c>
      <c r="C59" s="8">
        <v>1142.0423999999998</v>
      </c>
      <c r="D59" s="8"/>
      <c r="E59" s="8"/>
      <c r="F59" s="8"/>
      <c r="G59" s="8"/>
      <c r="H59" s="8"/>
      <c r="I59" s="8"/>
      <c r="J59" s="8"/>
      <c r="K59" s="8"/>
      <c r="L59" s="8"/>
      <c r="M59" s="62" cm="1">
        <f t="array" ref="M59">INDEX(tblPrices[cv_2018], MATCH(tblAppleUnits[[#This Row],[Products]],tblPrices[Products],0), 0)* tblAppleUnits[[#This Row],[cv_2018]]/10^6</f>
        <v>0</v>
      </c>
      <c r="N59" s="62" cm="1">
        <f t="array" ref="N59">INDEX(tblPrices[cv_2019], MATCH(tblAppleUnits[[#This Row],[Products]],tblPrices[Products],0), 0)* tblAppleUnits[[#This Row],[cv_2019]]/10^6</f>
        <v>7.9735323927272717</v>
      </c>
      <c r="O59" s="62" cm="1">
        <f t="array" ref="O59">INDEX(tblPrices[cv_2020], MATCH(tblAppleUnits[[#This Row],[Products]],tblPrices[Products],0), 0)* tblAppleUnits[[#This Row],[cv_2020]]/10^6</f>
        <v>0</v>
      </c>
      <c r="P59" s="62" cm="1">
        <f t="array" ref="P59">INDEX(tblPrices[cv_2021], MATCH(tblAppleUnits[[#This Row],[Products]],tblPrices[Products],0), 0)* tblAppleUnits[[#This Row],[cv_2021]]/10^6</f>
        <v>0</v>
      </c>
      <c r="Q59" s="62" cm="1">
        <f t="array" ref="Q59">INDEX(tblPrices[cv_2022], MATCH(tblAppleUnits[[#This Row],[Products]],tblPrices[Products],0), 0)* tblAppleUnits[[#This Row],[cv_2022]]/10^6</f>
        <v>0</v>
      </c>
      <c r="R59" s="62" cm="1">
        <f t="array" ref="R59">INDEX(tblPrices[cv_2023], MATCH(tblAppleUnits[[#This Row],[Products]],tblPrices[Products],0), 0)* tblAppleUnits[[#This Row],[cv_2023]]/10^6</f>
        <v>0</v>
      </c>
      <c r="S59" s="62" cm="1">
        <f t="array" ref="S59">INDEX(tblPrices[cv_2024], MATCH(tblAppleUnits[[#This Row],[Products]],tblPrices[Products],0), 0)* tblAppleUnits[[#This Row],[cv_2024]]/10^6</f>
        <v>0</v>
      </c>
      <c r="T59" s="62" cm="1">
        <f t="array" ref="T59">INDEX(tblPrices[cv_2025], MATCH(tblAppleUnits[[#This Row],[Products]],tblPrices[Products],0), 0)* tblAppleUnits[[#This Row],[cv_2025]]/10^6</f>
        <v>0</v>
      </c>
      <c r="U59" s="62" cm="1">
        <f t="array" ref="U59">INDEX(tblPrices[cv_2026], MATCH(tblAppleUnits[[#This Row],[Products]],tblPrices[Products],0), 0)* tblAppleUnits[[#This Row],[cv_2026]]/10^6</f>
        <v>0</v>
      </c>
      <c r="V59" s="62" cm="1">
        <f t="array" ref="V59">INDEX(tblPrices[cv_2027], MATCH(tblAppleUnits[[#This Row],[Products]],tblPrices[Products],0), 0)* tblAppleUnits[[#This Row],[cv_2027]]/10^6</f>
        <v>0</v>
      </c>
      <c r="W59" s="62" cm="1">
        <f t="array" ref="W59">INDEX(tblPrices[cv_2028], MATCH(tblAppleUnits[[#This Row],[Products]],tblPrices[Products],0), 0)* tblAppleUnits[[#This Row],[cv_2028]]/10^6</f>
        <v>0</v>
      </c>
      <c r="X59" s="1">
        <f>VLOOKUP(A59,Products!$A$29:$F$110,6,FALSE)</f>
        <v>200</v>
      </c>
    </row>
    <row r="60" spans="1:24" s="1" customFormat="1" ht="13.15">
      <c r="A60" s="9" t="s">
        <v>29</v>
      </c>
      <c r="B60" s="8">
        <v>0</v>
      </c>
      <c r="C60" s="8">
        <v>1028.796</v>
      </c>
      <c r="D60" s="8"/>
      <c r="E60" s="8"/>
      <c r="F60" s="8"/>
      <c r="G60" s="8"/>
      <c r="H60" s="8"/>
      <c r="I60" s="8"/>
      <c r="J60" s="8"/>
      <c r="K60" s="8"/>
      <c r="L60" s="8"/>
      <c r="M60" s="62" cm="1">
        <f t="array" ref="M60">INDEX(tblPrices[cv_2018], MATCH(tblAppleUnits[[#This Row],[Products]],tblPrices[Products],0), 0)* tblAppleUnits[[#This Row],[cv_2018]]/10^6</f>
        <v>0</v>
      </c>
      <c r="N60" s="62" cm="1">
        <f t="array" ref="N60">INDEX(tblPrices[cv_2019], MATCH(tblAppleUnits[[#This Row],[Products]],tblPrices[Products],0), 0)* tblAppleUnits[[#This Row],[cv_2019]]/10^6</f>
        <v>4.9382207999999999</v>
      </c>
      <c r="O60" s="62" cm="1">
        <f t="array" ref="O60">INDEX(tblPrices[cv_2020], MATCH(tblAppleUnits[[#This Row],[Products]],tblPrices[Products],0), 0)* tblAppleUnits[[#This Row],[cv_2020]]/10^6</f>
        <v>0</v>
      </c>
      <c r="P60" s="62" cm="1">
        <f t="array" ref="P60">INDEX(tblPrices[cv_2021], MATCH(tblAppleUnits[[#This Row],[Products]],tblPrices[Products],0), 0)* tblAppleUnits[[#This Row],[cv_2021]]/10^6</f>
        <v>0</v>
      </c>
      <c r="Q60" s="62" cm="1">
        <f t="array" ref="Q60">INDEX(tblPrices[cv_2022], MATCH(tblAppleUnits[[#This Row],[Products]],tblPrices[Products],0), 0)* tblAppleUnits[[#This Row],[cv_2022]]/10^6</f>
        <v>0</v>
      </c>
      <c r="R60" s="62" cm="1">
        <f t="array" ref="R60">INDEX(tblPrices[cv_2023], MATCH(tblAppleUnits[[#This Row],[Products]],tblPrices[Products],0), 0)* tblAppleUnits[[#This Row],[cv_2023]]/10^6</f>
        <v>0</v>
      </c>
      <c r="S60" s="62" cm="1">
        <f t="array" ref="S60">INDEX(tblPrices[cv_2024], MATCH(tblAppleUnits[[#This Row],[Products]],tblPrices[Products],0), 0)* tblAppleUnits[[#This Row],[cv_2024]]/10^6</f>
        <v>0</v>
      </c>
      <c r="T60" s="62" cm="1">
        <f t="array" ref="T60">INDEX(tblPrices[cv_2025], MATCH(tblAppleUnits[[#This Row],[Products]],tblPrices[Products],0), 0)* tblAppleUnits[[#This Row],[cv_2025]]/10^6</f>
        <v>0</v>
      </c>
      <c r="U60" s="62" cm="1">
        <f t="array" ref="U60">INDEX(tblPrices[cv_2026], MATCH(tblAppleUnits[[#This Row],[Products]],tblPrices[Products],0), 0)* tblAppleUnits[[#This Row],[cv_2026]]/10^6</f>
        <v>0</v>
      </c>
      <c r="V60" s="62" cm="1">
        <f t="array" ref="V60">INDEX(tblPrices[cv_2027], MATCH(tblAppleUnits[[#This Row],[Products]],tblPrices[Products],0), 0)* tblAppleUnits[[#This Row],[cv_2027]]/10^6</f>
        <v>0</v>
      </c>
      <c r="W60" s="62" cm="1">
        <f t="array" ref="W60">INDEX(tblPrices[cv_2028], MATCH(tblAppleUnits[[#This Row],[Products]],tblPrices[Products],0), 0)* tblAppleUnits[[#This Row],[cv_2028]]/10^6</f>
        <v>0</v>
      </c>
      <c r="X60" s="1">
        <f>VLOOKUP(A60,Products!$A$29:$F$110,6,FALSE)</f>
        <v>200</v>
      </c>
    </row>
    <row r="61" spans="1:24" s="1" customFormat="1" ht="13.15">
      <c r="A61" s="9" t="s">
        <v>30</v>
      </c>
      <c r="B61" s="8">
        <v>0</v>
      </c>
      <c r="C61" s="8">
        <v>0</v>
      </c>
      <c r="D61" s="8"/>
      <c r="E61" s="8"/>
      <c r="F61" s="8"/>
      <c r="G61" s="8"/>
      <c r="H61" s="8"/>
      <c r="I61" s="8"/>
      <c r="J61" s="8"/>
      <c r="K61" s="8"/>
      <c r="L61" s="8"/>
      <c r="M61" s="62" cm="1">
        <f t="array" ref="M61">INDEX(tblPrices[cv_2018], MATCH(tblAppleUnits[[#This Row],[Products]],tblPrices[Products],0), 0)* tblAppleUnits[[#This Row],[cv_2018]]/10^6</f>
        <v>0</v>
      </c>
      <c r="N61" s="62" cm="1">
        <f t="array" ref="N61">INDEX(tblPrices[cv_2019], MATCH(tblAppleUnits[[#This Row],[Products]],tblPrices[Products],0), 0)* tblAppleUnits[[#This Row],[cv_2019]]/10^6</f>
        <v>0</v>
      </c>
      <c r="O61" s="62" cm="1">
        <f t="array" ref="O61">INDEX(tblPrices[cv_2020], MATCH(tblAppleUnits[[#This Row],[Products]],tblPrices[Products],0), 0)* tblAppleUnits[[#This Row],[cv_2020]]/10^6</f>
        <v>0</v>
      </c>
      <c r="P61" s="62" cm="1">
        <f t="array" ref="P61">INDEX(tblPrices[cv_2021], MATCH(tblAppleUnits[[#This Row],[Products]],tblPrices[Products],0), 0)* tblAppleUnits[[#This Row],[cv_2021]]/10^6</f>
        <v>0</v>
      </c>
      <c r="Q61" s="62" cm="1">
        <f t="array" ref="Q61">INDEX(tblPrices[cv_2022], MATCH(tblAppleUnits[[#This Row],[Products]],tblPrices[Products],0), 0)* tblAppleUnits[[#This Row],[cv_2022]]/10^6</f>
        <v>0</v>
      </c>
      <c r="R61" s="62" cm="1">
        <f t="array" ref="R61">INDEX(tblPrices[cv_2023], MATCH(tblAppleUnits[[#This Row],[Products]],tblPrices[Products],0), 0)* tblAppleUnits[[#This Row],[cv_2023]]/10^6</f>
        <v>0</v>
      </c>
      <c r="S61" s="62" cm="1">
        <f t="array" ref="S61">INDEX(tblPrices[cv_2024], MATCH(tblAppleUnits[[#This Row],[Products]],tblPrices[Products],0), 0)* tblAppleUnits[[#This Row],[cv_2024]]/10^6</f>
        <v>0</v>
      </c>
      <c r="T61" s="62" cm="1">
        <f t="array" ref="T61">INDEX(tblPrices[cv_2025], MATCH(tblAppleUnits[[#This Row],[Products]],tblPrices[Products],0), 0)* tblAppleUnits[[#This Row],[cv_2025]]/10^6</f>
        <v>0</v>
      </c>
      <c r="U61" s="62" cm="1">
        <f t="array" ref="U61">INDEX(tblPrices[cv_2026], MATCH(tblAppleUnits[[#This Row],[Products]],tblPrices[Products],0), 0)* tblAppleUnits[[#This Row],[cv_2026]]/10^6</f>
        <v>0</v>
      </c>
      <c r="V61" s="62" cm="1">
        <f t="array" ref="V61">INDEX(tblPrices[cv_2027], MATCH(tblAppleUnits[[#This Row],[Products]],tblPrices[Products],0), 0)* tblAppleUnits[[#This Row],[cv_2027]]/10^6</f>
        <v>0</v>
      </c>
      <c r="W61" s="62" cm="1">
        <f t="array" ref="W61">INDEX(tblPrices[cv_2028], MATCH(tblAppleUnits[[#This Row],[Products]],tblPrices[Products],0), 0)* tblAppleUnits[[#This Row],[cv_2028]]/10^6</f>
        <v>0</v>
      </c>
      <c r="X61" s="1">
        <f>VLOOKUP(A61,Products!$A$29:$F$110,6,FALSE)</f>
        <v>200</v>
      </c>
    </row>
    <row r="62" spans="1:24" s="1" customFormat="1" ht="13.15">
      <c r="A62" s="9" t="s">
        <v>31</v>
      </c>
      <c r="B62" s="8">
        <v>0</v>
      </c>
      <c r="C62" s="8">
        <v>0</v>
      </c>
      <c r="D62" s="8"/>
      <c r="E62" s="8"/>
      <c r="F62" s="8"/>
      <c r="G62" s="8"/>
      <c r="H62" s="8"/>
      <c r="I62" s="8"/>
      <c r="J62" s="8"/>
      <c r="K62" s="8"/>
      <c r="L62" s="8"/>
      <c r="M62" s="62" cm="1">
        <f t="array" ref="M62">INDEX(tblPrices[cv_2018], MATCH(tblAppleUnits[[#This Row],[Products]],tblPrices[Products],0), 0)* tblAppleUnits[[#This Row],[cv_2018]]/10^6</f>
        <v>0</v>
      </c>
      <c r="N62" s="62" cm="1">
        <f t="array" ref="N62">INDEX(tblPrices[cv_2019], MATCH(tblAppleUnits[[#This Row],[Products]],tblPrices[Products],0), 0)* tblAppleUnits[[#This Row],[cv_2019]]/10^6</f>
        <v>0</v>
      </c>
      <c r="O62" s="62" cm="1">
        <f t="array" ref="O62">INDEX(tblPrices[cv_2020], MATCH(tblAppleUnits[[#This Row],[Products]],tblPrices[Products],0), 0)* tblAppleUnits[[#This Row],[cv_2020]]/10^6</f>
        <v>0</v>
      </c>
      <c r="P62" s="62" cm="1">
        <f t="array" ref="P62">INDEX(tblPrices[cv_2021], MATCH(tblAppleUnits[[#This Row],[Products]],tblPrices[Products],0), 0)* tblAppleUnits[[#This Row],[cv_2021]]/10^6</f>
        <v>0</v>
      </c>
      <c r="Q62" s="62" cm="1">
        <f t="array" ref="Q62">INDEX(tblPrices[cv_2022], MATCH(tblAppleUnits[[#This Row],[Products]],tblPrices[Products],0), 0)* tblAppleUnits[[#This Row],[cv_2022]]/10^6</f>
        <v>0</v>
      </c>
      <c r="R62" s="62" cm="1">
        <f t="array" ref="R62">INDEX(tblPrices[cv_2023], MATCH(tblAppleUnits[[#This Row],[Products]],tblPrices[Products],0), 0)* tblAppleUnits[[#This Row],[cv_2023]]/10^6</f>
        <v>0</v>
      </c>
      <c r="S62" s="62" cm="1">
        <f t="array" ref="S62">INDEX(tblPrices[cv_2024], MATCH(tblAppleUnits[[#This Row],[Products]],tblPrices[Products],0), 0)* tblAppleUnits[[#This Row],[cv_2024]]/10^6</f>
        <v>0</v>
      </c>
      <c r="T62" s="62" cm="1">
        <f t="array" ref="T62">INDEX(tblPrices[cv_2025], MATCH(tblAppleUnits[[#This Row],[Products]],tblPrices[Products],0), 0)* tblAppleUnits[[#This Row],[cv_2025]]/10^6</f>
        <v>0</v>
      </c>
      <c r="U62" s="62" cm="1">
        <f t="array" ref="U62">INDEX(tblPrices[cv_2026], MATCH(tblAppleUnits[[#This Row],[Products]],tblPrices[Products],0), 0)* tblAppleUnits[[#This Row],[cv_2026]]/10^6</f>
        <v>0</v>
      </c>
      <c r="V62" s="62" cm="1">
        <f t="array" ref="V62">INDEX(tblPrices[cv_2027], MATCH(tblAppleUnits[[#This Row],[Products]],tblPrices[Products],0), 0)* tblAppleUnits[[#This Row],[cv_2027]]/10^6</f>
        <v>0</v>
      </c>
      <c r="W62" s="62" cm="1">
        <f t="array" ref="W62">INDEX(tblPrices[cv_2028], MATCH(tblAppleUnits[[#This Row],[Products]],tblPrices[Products],0), 0)* tblAppleUnits[[#This Row],[cv_2028]]/10^6</f>
        <v>0</v>
      </c>
      <c r="X62" s="1">
        <f>VLOOKUP(A62,Products!$A$29:$F$110,6,FALSE)</f>
        <v>400</v>
      </c>
    </row>
    <row r="63" spans="1:24" s="1" customFormat="1" ht="13.15">
      <c r="A63" s="9" t="s">
        <v>32</v>
      </c>
      <c r="B63" s="8">
        <v>0</v>
      </c>
      <c r="C63" s="8">
        <v>0</v>
      </c>
      <c r="D63" s="8"/>
      <c r="E63" s="8"/>
      <c r="F63" s="8"/>
      <c r="G63" s="8"/>
      <c r="H63" s="8"/>
      <c r="I63" s="8"/>
      <c r="J63" s="8"/>
      <c r="K63" s="8"/>
      <c r="L63" s="8"/>
      <c r="M63" s="62" cm="1">
        <f t="array" ref="M63">INDEX(tblPrices[cv_2018], MATCH(tblAppleUnits[[#This Row],[Products]],tblPrices[Products],0), 0)* tblAppleUnits[[#This Row],[cv_2018]]/10^6</f>
        <v>0</v>
      </c>
      <c r="N63" s="62" cm="1">
        <f t="array" ref="N63">INDEX(tblPrices[cv_2019], MATCH(tblAppleUnits[[#This Row],[Products]],tblPrices[Products],0), 0)* tblAppleUnits[[#This Row],[cv_2019]]/10^6</f>
        <v>0</v>
      </c>
      <c r="O63" s="62" cm="1">
        <f t="array" ref="O63">INDEX(tblPrices[cv_2020], MATCH(tblAppleUnits[[#This Row],[Products]],tblPrices[Products],0), 0)* tblAppleUnits[[#This Row],[cv_2020]]/10^6</f>
        <v>0</v>
      </c>
      <c r="P63" s="62" cm="1">
        <f t="array" ref="P63">INDEX(tblPrices[cv_2021], MATCH(tblAppleUnits[[#This Row],[Products]],tblPrices[Products],0), 0)* tblAppleUnits[[#This Row],[cv_2021]]/10^6</f>
        <v>0</v>
      </c>
      <c r="Q63" s="62" cm="1">
        <f t="array" ref="Q63">INDEX(tblPrices[cv_2022], MATCH(tblAppleUnits[[#This Row],[Products]],tblPrices[Products],0), 0)* tblAppleUnits[[#This Row],[cv_2022]]/10^6</f>
        <v>0</v>
      </c>
      <c r="R63" s="62" cm="1">
        <f t="array" ref="R63">INDEX(tblPrices[cv_2023], MATCH(tblAppleUnits[[#This Row],[Products]],tblPrices[Products],0), 0)* tblAppleUnits[[#This Row],[cv_2023]]/10^6</f>
        <v>0</v>
      </c>
      <c r="S63" s="62" cm="1">
        <f t="array" ref="S63">INDEX(tblPrices[cv_2024], MATCH(tblAppleUnits[[#This Row],[Products]],tblPrices[Products],0), 0)* tblAppleUnits[[#This Row],[cv_2024]]/10^6</f>
        <v>0</v>
      </c>
      <c r="T63" s="62" cm="1">
        <f t="array" ref="T63">INDEX(tblPrices[cv_2025], MATCH(tblAppleUnits[[#This Row],[Products]],tblPrices[Products],0), 0)* tblAppleUnits[[#This Row],[cv_2025]]/10^6</f>
        <v>0</v>
      </c>
      <c r="U63" s="62" cm="1">
        <f t="array" ref="U63">INDEX(tblPrices[cv_2026], MATCH(tblAppleUnits[[#This Row],[Products]],tblPrices[Products],0), 0)* tblAppleUnits[[#This Row],[cv_2026]]/10^6</f>
        <v>0</v>
      </c>
      <c r="V63" s="62" cm="1">
        <f t="array" ref="V63">INDEX(tblPrices[cv_2027], MATCH(tblAppleUnits[[#This Row],[Products]],tblPrices[Products],0), 0)* tblAppleUnits[[#This Row],[cv_2027]]/10^6</f>
        <v>0</v>
      </c>
      <c r="W63" s="62" cm="1">
        <f t="array" ref="W63">INDEX(tblPrices[cv_2028], MATCH(tblAppleUnits[[#This Row],[Products]],tblPrices[Products],0), 0)* tblAppleUnits[[#This Row],[cv_2028]]/10^6</f>
        <v>0</v>
      </c>
      <c r="X63" s="1">
        <f>VLOOKUP(A63,Products!$A$29:$F$110,6,FALSE)</f>
        <v>400</v>
      </c>
    </row>
    <row r="64" spans="1:24" s="1" customFormat="1" ht="13.15">
      <c r="A64" s="9" t="s">
        <v>33</v>
      </c>
      <c r="B64" s="8">
        <v>0</v>
      </c>
      <c r="C64" s="8">
        <v>0</v>
      </c>
      <c r="D64" s="8"/>
      <c r="E64" s="8"/>
      <c r="F64" s="8"/>
      <c r="G64" s="8"/>
      <c r="H64" s="8"/>
      <c r="I64" s="8"/>
      <c r="J64" s="8"/>
      <c r="K64" s="8"/>
      <c r="L64" s="8"/>
      <c r="M64" s="62" cm="1">
        <f t="array" ref="M64">INDEX(tblPrices[cv_2018], MATCH(tblAppleUnits[[#This Row],[Products]],tblPrices[Products],0), 0)* tblAppleUnits[[#This Row],[cv_2018]]/10^6</f>
        <v>0</v>
      </c>
      <c r="N64" s="62" cm="1">
        <f t="array" ref="N64">INDEX(tblPrices[cv_2019], MATCH(tblAppleUnits[[#This Row],[Products]],tblPrices[Products],0), 0)* tblAppleUnits[[#This Row],[cv_2019]]/10^6</f>
        <v>0</v>
      </c>
      <c r="O64" s="62" cm="1">
        <f t="array" ref="O64">INDEX(tblPrices[cv_2020], MATCH(tblAppleUnits[[#This Row],[Products]],tblPrices[Products],0), 0)* tblAppleUnits[[#This Row],[cv_2020]]/10^6</f>
        <v>0</v>
      </c>
      <c r="P64" s="62" cm="1">
        <f t="array" ref="P64">INDEX(tblPrices[cv_2021], MATCH(tblAppleUnits[[#This Row],[Products]],tblPrices[Products],0), 0)* tblAppleUnits[[#This Row],[cv_2021]]/10^6</f>
        <v>0</v>
      </c>
      <c r="Q64" s="62" cm="1">
        <f t="array" ref="Q64">INDEX(tblPrices[cv_2022], MATCH(tblAppleUnits[[#This Row],[Products]],tblPrices[Products],0), 0)* tblAppleUnits[[#This Row],[cv_2022]]/10^6</f>
        <v>0</v>
      </c>
      <c r="R64" s="62" cm="1">
        <f t="array" ref="R64">INDEX(tblPrices[cv_2023], MATCH(tblAppleUnits[[#This Row],[Products]],tblPrices[Products],0), 0)* tblAppleUnits[[#This Row],[cv_2023]]/10^6</f>
        <v>0</v>
      </c>
      <c r="S64" s="62" cm="1">
        <f t="array" ref="S64">INDEX(tblPrices[cv_2024], MATCH(tblAppleUnits[[#This Row],[Products]],tblPrices[Products],0), 0)* tblAppleUnits[[#This Row],[cv_2024]]/10^6</f>
        <v>0</v>
      </c>
      <c r="T64" s="62" cm="1">
        <f t="array" ref="T64">INDEX(tblPrices[cv_2025], MATCH(tblAppleUnits[[#This Row],[Products]],tblPrices[Products],0), 0)* tblAppleUnits[[#This Row],[cv_2025]]/10^6</f>
        <v>0</v>
      </c>
      <c r="U64" s="62" cm="1">
        <f t="array" ref="U64">INDEX(tblPrices[cv_2026], MATCH(tblAppleUnits[[#This Row],[Products]],tblPrices[Products],0), 0)* tblAppleUnits[[#This Row],[cv_2026]]/10^6</f>
        <v>0</v>
      </c>
      <c r="V64" s="62" cm="1">
        <f t="array" ref="V64">INDEX(tblPrices[cv_2027], MATCH(tblAppleUnits[[#This Row],[Products]],tblPrices[Products],0), 0)* tblAppleUnits[[#This Row],[cv_2027]]/10^6</f>
        <v>0</v>
      </c>
      <c r="W64" s="62" cm="1">
        <f t="array" ref="W64">INDEX(tblPrices[cv_2028], MATCH(tblAppleUnits[[#This Row],[Products]],tblPrices[Products],0), 0)* tblAppleUnits[[#This Row],[cv_2028]]/10^6</f>
        <v>0</v>
      </c>
      <c r="X64" s="1">
        <f>VLOOKUP(A64,Products!$A$29:$F$110,6,FALSE)</f>
        <v>400</v>
      </c>
    </row>
    <row r="65" spans="1:24" s="1" customFormat="1" ht="13.15">
      <c r="A65" s="16" t="s">
        <v>34</v>
      </c>
      <c r="B65" s="8">
        <v>0</v>
      </c>
      <c r="C65" s="8">
        <v>0</v>
      </c>
      <c r="D65" s="8"/>
      <c r="E65" s="8"/>
      <c r="F65" s="8"/>
      <c r="G65" s="8"/>
      <c r="H65" s="8"/>
      <c r="I65" s="8"/>
      <c r="J65" s="8"/>
      <c r="K65" s="8"/>
      <c r="L65" s="8"/>
      <c r="M65" s="62" cm="1">
        <f t="array" ref="M65">INDEX(tblPrices[cv_2018], MATCH(tblAppleUnits[[#This Row],[Products]],tblPrices[Products],0), 0)* tblAppleUnits[[#This Row],[cv_2018]]/10^6</f>
        <v>0</v>
      </c>
      <c r="N65" s="62" cm="1">
        <f t="array" ref="N65">INDEX(tblPrices[cv_2019], MATCH(tblAppleUnits[[#This Row],[Products]],tblPrices[Products],0), 0)* tblAppleUnits[[#This Row],[cv_2019]]/10^6</f>
        <v>0</v>
      </c>
      <c r="O65" s="62" cm="1">
        <f t="array" ref="O65">INDEX(tblPrices[cv_2020], MATCH(tblAppleUnits[[#This Row],[Products]],tblPrices[Products],0), 0)* tblAppleUnits[[#This Row],[cv_2020]]/10^6</f>
        <v>0</v>
      </c>
      <c r="P65" s="62" cm="1">
        <f t="array" ref="P65">INDEX(tblPrices[cv_2021], MATCH(tblAppleUnits[[#This Row],[Products]],tblPrices[Products],0), 0)* tblAppleUnits[[#This Row],[cv_2021]]/10^6</f>
        <v>0</v>
      </c>
      <c r="Q65" s="62" cm="1">
        <f t="array" ref="Q65">INDEX(tblPrices[cv_2022], MATCH(tblAppleUnits[[#This Row],[Products]],tblPrices[Products],0), 0)* tblAppleUnits[[#This Row],[cv_2022]]/10^6</f>
        <v>0</v>
      </c>
      <c r="R65" s="62" cm="1">
        <f t="array" ref="R65">INDEX(tblPrices[cv_2023], MATCH(tblAppleUnits[[#This Row],[Products]],tblPrices[Products],0), 0)* tblAppleUnits[[#This Row],[cv_2023]]/10^6</f>
        <v>0</v>
      </c>
      <c r="S65" s="62" cm="1">
        <f t="array" ref="S65">INDEX(tblPrices[cv_2024], MATCH(tblAppleUnits[[#This Row],[Products]],tblPrices[Products],0), 0)* tblAppleUnits[[#This Row],[cv_2024]]/10^6</f>
        <v>0</v>
      </c>
      <c r="T65" s="62" cm="1">
        <f t="array" ref="T65">INDEX(tblPrices[cv_2025], MATCH(tblAppleUnits[[#This Row],[Products]],tblPrices[Products],0), 0)* tblAppleUnits[[#This Row],[cv_2025]]/10^6</f>
        <v>0</v>
      </c>
      <c r="U65" s="62" cm="1">
        <f t="array" ref="U65">INDEX(tblPrices[cv_2026], MATCH(tblAppleUnits[[#This Row],[Products]],tblPrices[Products],0), 0)* tblAppleUnits[[#This Row],[cv_2026]]/10^6</f>
        <v>0</v>
      </c>
      <c r="V65" s="62" cm="1">
        <f t="array" ref="V65">INDEX(tblPrices[cv_2027], MATCH(tblAppleUnits[[#This Row],[Products]],tblPrices[Products],0), 0)* tblAppleUnits[[#This Row],[cv_2027]]/10^6</f>
        <v>0</v>
      </c>
      <c r="W65" s="62" cm="1">
        <f t="array" ref="W65">INDEX(tblPrices[cv_2028], MATCH(tblAppleUnits[[#This Row],[Products]],tblPrices[Products],0), 0)* tblAppleUnits[[#This Row],[cv_2028]]/10^6</f>
        <v>0</v>
      </c>
      <c r="X65" s="1">
        <f>VLOOKUP(A65,Products!$A$29:$F$110,6,FALSE)</f>
        <v>400</v>
      </c>
    </row>
    <row r="66" spans="1:24" s="1" customFormat="1" ht="13.15">
      <c r="A66" s="16" t="s">
        <v>35</v>
      </c>
      <c r="B66" s="8">
        <v>0</v>
      </c>
      <c r="C66" s="8">
        <v>0</v>
      </c>
      <c r="D66" s="8"/>
      <c r="E66" s="8"/>
      <c r="F66" s="8"/>
      <c r="G66" s="8"/>
      <c r="H66" s="8"/>
      <c r="I66" s="8"/>
      <c r="J66" s="8"/>
      <c r="K66" s="8"/>
      <c r="L66" s="8"/>
      <c r="M66" s="62" cm="1">
        <f t="array" ref="M66">INDEX(tblPrices[cv_2018], MATCH(tblAppleUnits[[#This Row],[Products]],tblPrices[Products],0), 0)* tblAppleUnits[[#This Row],[cv_2018]]/10^6</f>
        <v>0</v>
      </c>
      <c r="N66" s="62" cm="1">
        <f t="array" ref="N66">INDEX(tblPrices[cv_2019], MATCH(tblAppleUnits[[#This Row],[Products]],tblPrices[Products],0), 0)* tblAppleUnits[[#This Row],[cv_2019]]/10^6</f>
        <v>0</v>
      </c>
      <c r="O66" s="62" cm="1">
        <f t="array" ref="O66">INDEX(tblPrices[cv_2020], MATCH(tblAppleUnits[[#This Row],[Products]],tblPrices[Products],0), 0)* tblAppleUnits[[#This Row],[cv_2020]]/10^6</f>
        <v>0</v>
      </c>
      <c r="P66" s="62" cm="1">
        <f t="array" ref="P66">INDEX(tblPrices[cv_2021], MATCH(tblAppleUnits[[#This Row],[Products]],tblPrices[Products],0), 0)* tblAppleUnits[[#This Row],[cv_2021]]/10^6</f>
        <v>0</v>
      </c>
      <c r="Q66" s="62" cm="1">
        <f t="array" ref="Q66">INDEX(tblPrices[cv_2022], MATCH(tblAppleUnits[[#This Row],[Products]],tblPrices[Products],0), 0)* tblAppleUnits[[#This Row],[cv_2022]]/10^6</f>
        <v>0</v>
      </c>
      <c r="R66" s="62" cm="1">
        <f t="array" ref="R66">INDEX(tblPrices[cv_2023], MATCH(tblAppleUnits[[#This Row],[Products]],tblPrices[Products],0), 0)* tblAppleUnits[[#This Row],[cv_2023]]/10^6</f>
        <v>0</v>
      </c>
      <c r="S66" s="62" cm="1">
        <f t="array" ref="S66">INDEX(tblPrices[cv_2024], MATCH(tblAppleUnits[[#This Row],[Products]],tblPrices[Products],0), 0)* tblAppleUnits[[#This Row],[cv_2024]]/10^6</f>
        <v>0</v>
      </c>
      <c r="T66" s="62" cm="1">
        <f t="array" ref="T66">INDEX(tblPrices[cv_2025], MATCH(tblAppleUnits[[#This Row],[Products]],tblPrices[Products],0), 0)* tblAppleUnits[[#This Row],[cv_2025]]/10^6</f>
        <v>0</v>
      </c>
      <c r="U66" s="62" cm="1">
        <f t="array" ref="U66">INDEX(tblPrices[cv_2026], MATCH(tblAppleUnits[[#This Row],[Products]],tblPrices[Products],0), 0)* tblAppleUnits[[#This Row],[cv_2026]]/10^6</f>
        <v>0</v>
      </c>
      <c r="V66" s="62" cm="1">
        <f t="array" ref="V66">INDEX(tblPrices[cv_2027], MATCH(tblAppleUnits[[#This Row],[Products]],tblPrices[Products],0), 0)* tblAppleUnits[[#This Row],[cv_2027]]/10^6</f>
        <v>0</v>
      </c>
      <c r="W66" s="62" cm="1">
        <f t="array" ref="W66">INDEX(tblPrices[cv_2028], MATCH(tblAppleUnits[[#This Row],[Products]],tblPrices[Products],0), 0)* tblAppleUnits[[#This Row],[cv_2028]]/10^6</f>
        <v>0</v>
      </c>
      <c r="X66" s="1">
        <f>VLOOKUP(A66,Products!$A$29:$F$110,6,FALSE)</f>
        <v>600</v>
      </c>
    </row>
    <row r="67" spans="1:24" s="1" customFormat="1" ht="13.15">
      <c r="A67" s="16" t="s">
        <v>36</v>
      </c>
      <c r="B67" s="8">
        <v>0</v>
      </c>
      <c r="C67" s="8">
        <v>0</v>
      </c>
      <c r="D67" s="8"/>
      <c r="E67" s="8"/>
      <c r="F67" s="8"/>
      <c r="G67" s="8"/>
      <c r="H67" s="8"/>
      <c r="I67" s="8"/>
      <c r="J67" s="8"/>
      <c r="K67" s="8"/>
      <c r="L67" s="8"/>
      <c r="M67" s="62" cm="1">
        <f t="array" ref="M67">INDEX(tblPrices[cv_2018], MATCH(tblAppleUnits[[#This Row],[Products]],tblPrices[Products],0), 0)* tblAppleUnits[[#This Row],[cv_2018]]/10^6</f>
        <v>0</v>
      </c>
      <c r="N67" s="62" cm="1">
        <f t="array" ref="N67">INDEX(tblPrices[cv_2019], MATCH(tblAppleUnits[[#This Row],[Products]],tblPrices[Products],0), 0)* tblAppleUnits[[#This Row],[cv_2019]]/10^6</f>
        <v>0</v>
      </c>
      <c r="O67" s="62" cm="1">
        <f t="array" ref="O67">INDEX(tblPrices[cv_2020], MATCH(tblAppleUnits[[#This Row],[Products]],tblPrices[Products],0), 0)* tblAppleUnits[[#This Row],[cv_2020]]/10^6</f>
        <v>0</v>
      </c>
      <c r="P67" s="62" cm="1">
        <f t="array" ref="P67">INDEX(tblPrices[cv_2021], MATCH(tblAppleUnits[[#This Row],[Products]],tblPrices[Products],0), 0)* tblAppleUnits[[#This Row],[cv_2021]]/10^6</f>
        <v>0</v>
      </c>
      <c r="Q67" s="62" cm="1">
        <f t="array" ref="Q67">INDEX(tblPrices[cv_2022], MATCH(tblAppleUnits[[#This Row],[Products]],tblPrices[Products],0), 0)* tblAppleUnits[[#This Row],[cv_2022]]/10^6</f>
        <v>0</v>
      </c>
      <c r="R67" s="62" cm="1">
        <f t="array" ref="R67">INDEX(tblPrices[cv_2023], MATCH(tblAppleUnits[[#This Row],[Products]],tblPrices[Products],0), 0)* tblAppleUnits[[#This Row],[cv_2023]]/10^6</f>
        <v>0</v>
      </c>
      <c r="S67" s="62" cm="1">
        <f t="array" ref="S67">INDEX(tblPrices[cv_2024], MATCH(tblAppleUnits[[#This Row],[Products]],tblPrices[Products],0), 0)* tblAppleUnits[[#This Row],[cv_2024]]/10^6</f>
        <v>0</v>
      </c>
      <c r="T67" s="62" cm="1">
        <f t="array" ref="T67">INDEX(tblPrices[cv_2025], MATCH(tblAppleUnits[[#This Row],[Products]],tblPrices[Products],0), 0)* tblAppleUnits[[#This Row],[cv_2025]]/10^6</f>
        <v>0</v>
      </c>
      <c r="U67" s="62" cm="1">
        <f t="array" ref="U67">INDEX(tblPrices[cv_2026], MATCH(tblAppleUnits[[#This Row],[Products]],tblPrices[Products],0), 0)* tblAppleUnits[[#This Row],[cv_2026]]/10^6</f>
        <v>0</v>
      </c>
      <c r="V67" s="62" cm="1">
        <f t="array" ref="V67">INDEX(tblPrices[cv_2027], MATCH(tblAppleUnits[[#This Row],[Products]],tblPrices[Products],0), 0)* tblAppleUnits[[#This Row],[cv_2027]]/10^6</f>
        <v>0</v>
      </c>
      <c r="W67" s="62" cm="1">
        <f t="array" ref="W67">INDEX(tblPrices[cv_2028], MATCH(tblAppleUnits[[#This Row],[Products]],tblPrices[Products],0), 0)* tblAppleUnits[[#This Row],[cv_2028]]/10^6</f>
        <v>0</v>
      </c>
      <c r="X67" s="1">
        <f>VLOOKUP(A67,Products!$A$29:$F$110,6,FALSE)</f>
        <v>800</v>
      </c>
    </row>
    <row r="68" spans="1:24" s="1" customFormat="1" ht="13.15">
      <c r="A68" s="16" t="s">
        <v>37</v>
      </c>
      <c r="B68" s="8">
        <v>0</v>
      </c>
      <c r="C68" s="8">
        <v>0</v>
      </c>
      <c r="D68" s="8"/>
      <c r="E68" s="8"/>
      <c r="F68" s="8"/>
      <c r="G68" s="8"/>
      <c r="H68" s="8"/>
      <c r="I68" s="8"/>
      <c r="J68" s="8"/>
      <c r="K68" s="8"/>
      <c r="L68" s="8"/>
      <c r="M68" s="62" cm="1">
        <f t="array" ref="M68">INDEX(tblPrices[cv_2018], MATCH(tblAppleUnits[[#This Row],[Products]],tblPrices[Products],0), 0)* tblAppleUnits[[#This Row],[cv_2018]]/10^6</f>
        <v>0</v>
      </c>
      <c r="N68" s="62" cm="1">
        <f t="array" ref="N68">INDEX(tblPrices[cv_2019], MATCH(tblAppleUnits[[#This Row],[Products]],tblPrices[Products],0), 0)* tblAppleUnits[[#This Row],[cv_2019]]/10^6</f>
        <v>0</v>
      </c>
      <c r="O68" s="62" cm="1">
        <f t="array" ref="O68">INDEX(tblPrices[cv_2020], MATCH(tblAppleUnits[[#This Row],[Products]],tblPrices[Products],0), 0)* tblAppleUnits[[#This Row],[cv_2020]]/10^6</f>
        <v>0</v>
      </c>
      <c r="P68" s="62" cm="1">
        <f t="array" ref="P68">INDEX(tblPrices[cv_2021], MATCH(tblAppleUnits[[#This Row],[Products]],tblPrices[Products],0), 0)* tblAppleUnits[[#This Row],[cv_2021]]/10^6</f>
        <v>0</v>
      </c>
      <c r="Q68" s="62" cm="1">
        <f t="array" ref="Q68">INDEX(tblPrices[cv_2022], MATCH(tblAppleUnits[[#This Row],[Products]],tblPrices[Products],0), 0)* tblAppleUnits[[#This Row],[cv_2022]]/10^6</f>
        <v>0</v>
      </c>
      <c r="R68" s="62" cm="1">
        <f t="array" ref="R68">INDEX(tblPrices[cv_2023], MATCH(tblAppleUnits[[#This Row],[Products]],tblPrices[Products],0), 0)* tblAppleUnits[[#This Row],[cv_2023]]/10^6</f>
        <v>0</v>
      </c>
      <c r="S68" s="62" cm="1">
        <f t="array" ref="S68">INDEX(tblPrices[cv_2024], MATCH(tblAppleUnits[[#This Row],[Products]],tblPrices[Products],0), 0)* tblAppleUnits[[#This Row],[cv_2024]]/10^6</f>
        <v>0</v>
      </c>
      <c r="T68" s="62" cm="1">
        <f t="array" ref="T68">INDEX(tblPrices[cv_2025], MATCH(tblAppleUnits[[#This Row],[Products]],tblPrices[Products],0), 0)* tblAppleUnits[[#This Row],[cv_2025]]/10^6</f>
        <v>0</v>
      </c>
      <c r="U68" s="62" cm="1">
        <f t="array" ref="U68">INDEX(tblPrices[cv_2026], MATCH(tblAppleUnits[[#This Row],[Products]],tblPrices[Products],0), 0)* tblAppleUnits[[#This Row],[cv_2026]]/10^6</f>
        <v>0</v>
      </c>
      <c r="V68" s="62" cm="1">
        <f t="array" ref="V68">INDEX(tblPrices[cv_2027], MATCH(tblAppleUnits[[#This Row],[Products]],tblPrices[Products],0), 0)* tblAppleUnits[[#This Row],[cv_2027]]/10^6</f>
        <v>0</v>
      </c>
      <c r="W68" s="62" cm="1">
        <f t="array" ref="W68">INDEX(tblPrices[cv_2028], MATCH(tblAppleUnits[[#This Row],[Products]],tblPrices[Products],0), 0)* tblAppleUnits[[#This Row],[cv_2028]]/10^6</f>
        <v>0</v>
      </c>
      <c r="X68" s="1">
        <f>VLOOKUP(A68,Products!$A$29:$F$110,6,FALSE)</f>
        <v>800</v>
      </c>
    </row>
    <row r="69" spans="1:24" s="1" customFormat="1" ht="13.15">
      <c r="A69" s="16" t="s">
        <v>38</v>
      </c>
      <c r="B69" s="8">
        <v>0</v>
      </c>
      <c r="C69" s="8">
        <v>0</v>
      </c>
      <c r="D69" s="8"/>
      <c r="E69" s="8"/>
      <c r="F69" s="8"/>
      <c r="G69" s="8"/>
      <c r="H69" s="8"/>
      <c r="I69" s="8"/>
      <c r="J69" s="8"/>
      <c r="K69" s="8"/>
      <c r="L69" s="8"/>
      <c r="M69" s="62" cm="1">
        <f t="array" ref="M69">INDEX(tblPrices[cv_2018], MATCH(tblAppleUnits[[#This Row],[Products]],tblPrices[Products],0), 0)* tblAppleUnits[[#This Row],[cv_2018]]/10^6</f>
        <v>0</v>
      </c>
      <c r="N69" s="62" cm="1">
        <f t="array" ref="N69">INDEX(tblPrices[cv_2019], MATCH(tblAppleUnits[[#This Row],[Products]],tblPrices[Products],0), 0)* tblAppleUnits[[#This Row],[cv_2019]]/10^6</f>
        <v>0</v>
      </c>
      <c r="O69" s="62" cm="1">
        <f t="array" ref="O69">INDEX(tblPrices[cv_2020], MATCH(tblAppleUnits[[#This Row],[Products]],tblPrices[Products],0), 0)* tblAppleUnits[[#This Row],[cv_2020]]/10^6</f>
        <v>0</v>
      </c>
      <c r="P69" s="62" cm="1">
        <f t="array" ref="P69">INDEX(tblPrices[cv_2021], MATCH(tblAppleUnits[[#This Row],[Products]],tblPrices[Products],0), 0)* tblAppleUnits[[#This Row],[cv_2021]]/10^6</f>
        <v>0</v>
      </c>
      <c r="Q69" s="62" cm="1">
        <f t="array" ref="Q69">INDEX(tblPrices[cv_2022], MATCH(tblAppleUnits[[#This Row],[Products]],tblPrices[Products],0), 0)* tblAppleUnits[[#This Row],[cv_2022]]/10^6</f>
        <v>0</v>
      </c>
      <c r="R69" s="62" cm="1">
        <f t="array" ref="R69">INDEX(tblPrices[cv_2023], MATCH(tblAppleUnits[[#This Row],[Products]],tblPrices[Products],0), 0)* tblAppleUnits[[#This Row],[cv_2023]]/10^6</f>
        <v>0</v>
      </c>
      <c r="S69" s="62" cm="1">
        <f t="array" ref="S69">INDEX(tblPrices[cv_2024], MATCH(tblAppleUnits[[#This Row],[Products]],tblPrices[Products],0), 0)* tblAppleUnits[[#This Row],[cv_2024]]/10^6</f>
        <v>0</v>
      </c>
      <c r="T69" s="62" cm="1">
        <f t="array" ref="T69">INDEX(tblPrices[cv_2025], MATCH(tblAppleUnits[[#This Row],[Products]],tblPrices[Products],0), 0)* tblAppleUnits[[#This Row],[cv_2025]]/10^6</f>
        <v>0</v>
      </c>
      <c r="U69" s="62" cm="1">
        <f t="array" ref="U69">INDEX(tblPrices[cv_2026], MATCH(tblAppleUnits[[#This Row],[Products]],tblPrices[Products],0), 0)* tblAppleUnits[[#This Row],[cv_2026]]/10^6</f>
        <v>0</v>
      </c>
      <c r="V69" s="62" cm="1">
        <f t="array" ref="V69">INDEX(tblPrices[cv_2027], MATCH(tblAppleUnits[[#This Row],[Products]],tblPrices[Products],0), 0)* tblAppleUnits[[#This Row],[cv_2027]]/10^6</f>
        <v>0</v>
      </c>
      <c r="W69" s="62" cm="1">
        <f t="array" ref="W69">INDEX(tblPrices[cv_2028], MATCH(tblAppleUnits[[#This Row],[Products]],tblPrices[Products],0), 0)* tblAppleUnits[[#This Row],[cv_2028]]/10^6</f>
        <v>0</v>
      </c>
      <c r="X69" s="1">
        <f>VLOOKUP(A69,Products!$A$29:$F$110,6,FALSE)</f>
        <v>1200</v>
      </c>
    </row>
    <row r="70" spans="1:24" s="1" customFormat="1">
      <c r="A70" s="15" t="s">
        <v>39</v>
      </c>
      <c r="B70" s="8">
        <v>0</v>
      </c>
      <c r="C70" s="8">
        <v>0</v>
      </c>
      <c r="D70" s="8"/>
      <c r="E70" s="8"/>
      <c r="F70" s="8"/>
      <c r="G70" s="8"/>
      <c r="H70" s="8"/>
      <c r="I70" s="8"/>
      <c r="J70" s="8"/>
      <c r="K70" s="8"/>
      <c r="L70" s="8"/>
      <c r="M70" s="62" cm="1">
        <f t="array" ref="M70">INDEX(tblPrices[cv_2018], MATCH(tblAppleUnits[[#This Row],[Products]],tblPrices[Products],0), 0)* tblAppleUnits[[#This Row],[cv_2018]]/10^6</f>
        <v>0</v>
      </c>
      <c r="N70" s="62" cm="1">
        <f t="array" ref="N70">INDEX(tblPrices[cv_2019], MATCH(tblAppleUnits[[#This Row],[Products]],tblPrices[Products],0), 0)* tblAppleUnits[[#This Row],[cv_2019]]/10^6</f>
        <v>0</v>
      </c>
      <c r="O70" s="62" cm="1">
        <f t="array" ref="O70">INDEX(tblPrices[cv_2020], MATCH(tblAppleUnits[[#This Row],[Products]],tblPrices[Products],0), 0)* tblAppleUnits[[#This Row],[cv_2020]]/10^6</f>
        <v>0</v>
      </c>
      <c r="P70" s="62" cm="1">
        <f t="array" ref="P70">INDEX(tblPrices[cv_2021], MATCH(tblAppleUnits[[#This Row],[Products]],tblPrices[Products],0), 0)* tblAppleUnits[[#This Row],[cv_2021]]/10^6</f>
        <v>0</v>
      </c>
      <c r="Q70" s="62" cm="1">
        <f t="array" ref="Q70">INDEX(tblPrices[cv_2022], MATCH(tblAppleUnits[[#This Row],[Products]],tblPrices[Products],0), 0)* tblAppleUnits[[#This Row],[cv_2022]]/10^6</f>
        <v>0</v>
      </c>
      <c r="R70" s="62" cm="1">
        <f t="array" ref="R70">INDEX(tblPrices[cv_2023], MATCH(tblAppleUnits[[#This Row],[Products]],tblPrices[Products],0), 0)* tblAppleUnits[[#This Row],[cv_2023]]/10^6</f>
        <v>0</v>
      </c>
      <c r="S70" s="62" cm="1">
        <f t="array" ref="S70">INDEX(tblPrices[cv_2024], MATCH(tblAppleUnits[[#This Row],[Products]],tblPrices[Products],0), 0)* tblAppleUnits[[#This Row],[cv_2024]]/10^6</f>
        <v>0</v>
      </c>
      <c r="T70" s="62" cm="1">
        <f t="array" ref="T70">INDEX(tblPrices[cv_2025], MATCH(tblAppleUnits[[#This Row],[Products]],tblPrices[Products],0), 0)* tblAppleUnits[[#This Row],[cv_2025]]/10^6</f>
        <v>0</v>
      </c>
      <c r="U70" s="62" cm="1">
        <f t="array" ref="U70">INDEX(tblPrices[cv_2026], MATCH(tblAppleUnits[[#This Row],[Products]],tblPrices[Products],0), 0)* tblAppleUnits[[#This Row],[cv_2026]]/10^6</f>
        <v>0</v>
      </c>
      <c r="V70" s="62" cm="1">
        <f t="array" ref="V70">INDEX(tblPrices[cv_2027], MATCH(tblAppleUnits[[#This Row],[Products]],tblPrices[Products],0), 0)* tblAppleUnits[[#This Row],[cv_2027]]/10^6</f>
        <v>0</v>
      </c>
      <c r="W70" s="62" cm="1">
        <f t="array" ref="W70">INDEX(tblPrices[cv_2028], MATCH(tblAppleUnits[[#This Row],[Products]],tblPrices[Products],0), 0)* tblAppleUnits[[#This Row],[cv_2028]]/10^6</f>
        <v>0</v>
      </c>
      <c r="X70" s="1">
        <f>VLOOKUP(A70,Products!$A$29:$F$110,6,FALSE)</f>
        <v>1600</v>
      </c>
    </row>
    <row r="71" spans="1:24">
      <c r="A71" s="1" t="s">
        <v>46</v>
      </c>
      <c r="B71" s="2">
        <f t="shared" ref="B71:W71" si="0">SUM(B41:B70)</f>
        <v>275637.51381226128</v>
      </c>
      <c r="C71" s="2">
        <f t="shared" si="0"/>
        <v>471033.68756437488</v>
      </c>
      <c r="D71" s="2">
        <f t="shared" si="0"/>
        <v>0</v>
      </c>
      <c r="E71" s="2">
        <f t="shared" si="0"/>
        <v>0</v>
      </c>
      <c r="F71" s="2">
        <f t="shared" si="0"/>
        <v>0</v>
      </c>
      <c r="G71" s="2">
        <f t="shared" si="0"/>
        <v>0</v>
      </c>
      <c r="H71" s="2">
        <f t="shared" si="0"/>
        <v>0</v>
      </c>
      <c r="I71" s="2">
        <f t="shared" si="0"/>
        <v>0</v>
      </c>
      <c r="J71" s="2">
        <f t="shared" si="0"/>
        <v>0</v>
      </c>
      <c r="K71" s="2">
        <f t="shared" si="0"/>
        <v>0</v>
      </c>
      <c r="L71" s="2">
        <f t="shared" si="0"/>
        <v>0</v>
      </c>
      <c r="M71" s="63">
        <f t="shared" si="0"/>
        <v>115.26360925461067</v>
      </c>
      <c r="N71" s="63">
        <f t="shared" si="0"/>
        <v>124.98118408994939</v>
      </c>
      <c r="O71" s="63">
        <f t="shared" si="0"/>
        <v>0</v>
      </c>
      <c r="P71" s="63">
        <f t="shared" si="0"/>
        <v>0</v>
      </c>
      <c r="Q71" s="63">
        <f t="shared" si="0"/>
        <v>0</v>
      </c>
      <c r="R71" s="63">
        <f t="shared" si="0"/>
        <v>0</v>
      </c>
      <c r="S71" s="63">
        <f t="shared" si="0"/>
        <v>0</v>
      </c>
      <c r="T71" s="63">
        <f t="shared" si="0"/>
        <v>0</v>
      </c>
      <c r="U71" s="63">
        <f t="shared" si="0"/>
        <v>0</v>
      </c>
      <c r="V71" s="63">
        <f t="shared" si="0"/>
        <v>0</v>
      </c>
      <c r="W71" s="63">
        <f t="shared" si="0"/>
        <v>0</v>
      </c>
    </row>
    <row r="72" spans="1:24">
      <c r="A72" s="1"/>
      <c r="B72" s="1"/>
      <c r="C72" s="1"/>
      <c r="D72" s="1"/>
      <c r="E72" s="1"/>
      <c r="F72" s="1"/>
      <c r="G72" s="1"/>
      <c r="H72" s="1"/>
      <c r="I72" s="1"/>
      <c r="J72" s="1"/>
      <c r="K72" s="1"/>
      <c r="L72" s="1"/>
      <c r="M72" s="1"/>
      <c r="N72" s="1"/>
      <c r="O72" s="1"/>
      <c r="P72" s="1"/>
      <c r="Q72" s="1"/>
      <c r="R72" s="1"/>
      <c r="S72" s="1"/>
      <c r="T72" s="1"/>
      <c r="U72" s="1"/>
      <c r="V72" s="1"/>
      <c r="W72" s="1"/>
    </row>
    <row r="74" spans="1:24">
      <c r="A74" s="175" t="s">
        <v>431</v>
      </c>
      <c r="B74" s="68">
        <v>2018</v>
      </c>
      <c r="C74" s="50">
        <v>2019</v>
      </c>
      <c r="D74" s="50">
        <v>2020</v>
      </c>
      <c r="E74" s="50">
        <v>2021</v>
      </c>
      <c r="F74" s="50">
        <v>2022</v>
      </c>
      <c r="G74" s="50">
        <v>2023</v>
      </c>
      <c r="H74" s="50">
        <v>2024</v>
      </c>
      <c r="I74" s="50">
        <v>2025</v>
      </c>
      <c r="J74" s="50">
        <v>2026</v>
      </c>
      <c r="K74" s="50">
        <v>2027</v>
      </c>
      <c r="L74" s="50">
        <v>2028</v>
      </c>
      <c r="M74" s="68">
        <v>2018</v>
      </c>
      <c r="N74" s="50">
        <v>2019</v>
      </c>
      <c r="O74" s="50">
        <v>2020</v>
      </c>
      <c r="P74" s="50">
        <v>2021</v>
      </c>
      <c r="Q74" s="50">
        <v>2022</v>
      </c>
      <c r="R74" s="50">
        <v>2023</v>
      </c>
      <c r="S74" s="50">
        <v>2024</v>
      </c>
      <c r="T74" s="50">
        <v>2025</v>
      </c>
      <c r="U74" s="50">
        <v>2026</v>
      </c>
      <c r="V74" s="50">
        <v>2027</v>
      </c>
      <c r="W74" s="50">
        <v>2028</v>
      </c>
      <c r="X74" s="1"/>
    </row>
    <row r="75" spans="1:24">
      <c r="A75" s="65" t="s">
        <v>80</v>
      </c>
      <c r="B75" s="2">
        <f t="shared" ref="B75:W75" si="1">SUMIF($X$41:$X$50,40,B$41:B$50)</f>
        <v>16309.260000000002</v>
      </c>
      <c r="C75" s="2">
        <f t="shared" si="1"/>
        <v>19385.55</v>
      </c>
      <c r="D75" s="2">
        <f t="shared" si="1"/>
        <v>0</v>
      </c>
      <c r="E75" s="2">
        <f t="shared" si="1"/>
        <v>0</v>
      </c>
      <c r="F75" s="2">
        <f t="shared" si="1"/>
        <v>0</v>
      </c>
      <c r="G75" s="2">
        <f t="shared" si="1"/>
        <v>0</v>
      </c>
      <c r="H75" s="2">
        <f t="shared" si="1"/>
        <v>0</v>
      </c>
      <c r="I75" s="2">
        <f t="shared" si="1"/>
        <v>0</v>
      </c>
      <c r="J75" s="2">
        <f t="shared" si="1"/>
        <v>0</v>
      </c>
      <c r="K75" s="2">
        <f t="shared" si="1"/>
        <v>0</v>
      </c>
      <c r="L75" s="2">
        <f t="shared" si="1"/>
        <v>0</v>
      </c>
      <c r="M75" s="76">
        <f t="shared" si="1"/>
        <v>4.9528968156000008</v>
      </c>
      <c r="N75" s="76">
        <f t="shared" si="1"/>
        <v>4.9129085648647486</v>
      </c>
      <c r="O75" s="76">
        <f t="shared" si="1"/>
        <v>0</v>
      </c>
      <c r="P75" s="76">
        <f t="shared" si="1"/>
        <v>0</v>
      </c>
      <c r="Q75" s="76">
        <f t="shared" si="1"/>
        <v>0</v>
      </c>
      <c r="R75" s="76">
        <f t="shared" si="1"/>
        <v>0</v>
      </c>
      <c r="S75" s="76">
        <f t="shared" si="1"/>
        <v>0</v>
      </c>
      <c r="T75" s="76">
        <f t="shared" si="1"/>
        <v>0</v>
      </c>
      <c r="U75" s="76">
        <f t="shared" si="1"/>
        <v>0</v>
      </c>
      <c r="V75" s="76">
        <f t="shared" si="1"/>
        <v>0</v>
      </c>
      <c r="W75" s="76">
        <f t="shared" si="1"/>
        <v>0</v>
      </c>
      <c r="X75" s="1"/>
    </row>
    <row r="76" spans="1:24">
      <c r="A76" s="65" t="s">
        <v>205</v>
      </c>
      <c r="B76" s="2">
        <f t="shared" ref="B76:W76" si="2">SUMIF($X$41:$X$50,100,B$41:B$50)</f>
        <v>151517.33961995799</v>
      </c>
      <c r="C76" s="2">
        <f t="shared" si="2"/>
        <v>326827.04720000003</v>
      </c>
      <c r="D76" s="2">
        <f t="shared" si="2"/>
        <v>0</v>
      </c>
      <c r="E76" s="2">
        <f t="shared" si="2"/>
        <v>0</v>
      </c>
      <c r="F76" s="2">
        <f t="shared" si="2"/>
        <v>0</v>
      </c>
      <c r="G76" s="2">
        <f t="shared" si="2"/>
        <v>0</v>
      </c>
      <c r="H76" s="2">
        <f t="shared" si="2"/>
        <v>0</v>
      </c>
      <c r="I76" s="2">
        <f t="shared" si="2"/>
        <v>0</v>
      </c>
      <c r="J76" s="2">
        <f t="shared" si="2"/>
        <v>0</v>
      </c>
      <c r="K76" s="2">
        <f t="shared" si="2"/>
        <v>0</v>
      </c>
      <c r="L76" s="2">
        <f t="shared" si="2"/>
        <v>0</v>
      </c>
      <c r="M76" s="76">
        <f t="shared" si="2"/>
        <v>76.422164167334216</v>
      </c>
      <c r="N76" s="76">
        <f t="shared" si="2"/>
        <v>80.499518127464853</v>
      </c>
      <c r="O76" s="76">
        <f t="shared" si="2"/>
        <v>0</v>
      </c>
      <c r="P76" s="76">
        <f t="shared" si="2"/>
        <v>0</v>
      </c>
      <c r="Q76" s="76">
        <f t="shared" si="2"/>
        <v>0</v>
      </c>
      <c r="R76" s="76">
        <f t="shared" si="2"/>
        <v>0</v>
      </c>
      <c r="S76" s="76">
        <f t="shared" si="2"/>
        <v>0</v>
      </c>
      <c r="T76" s="76">
        <f t="shared" si="2"/>
        <v>0</v>
      </c>
      <c r="U76" s="76">
        <f t="shared" si="2"/>
        <v>0</v>
      </c>
      <c r="V76" s="76">
        <f t="shared" si="2"/>
        <v>0</v>
      </c>
      <c r="W76" s="76">
        <f t="shared" si="2"/>
        <v>0</v>
      </c>
      <c r="X76" s="1"/>
    </row>
    <row r="77" spans="1:24">
      <c r="A77" s="65" t="s">
        <v>206</v>
      </c>
      <c r="B77" s="2">
        <f t="shared" ref="B77:W77" si="3">SUMIF($X$41:$X$50,200,B$41:B$50)</f>
        <v>0</v>
      </c>
      <c r="C77" s="2">
        <f t="shared" si="3"/>
        <v>0</v>
      </c>
      <c r="D77" s="2">
        <f t="shared" si="3"/>
        <v>0</v>
      </c>
      <c r="E77" s="2">
        <f t="shared" si="3"/>
        <v>0</v>
      </c>
      <c r="F77" s="2">
        <f t="shared" si="3"/>
        <v>0</v>
      </c>
      <c r="G77" s="2">
        <f t="shared" si="3"/>
        <v>0</v>
      </c>
      <c r="H77" s="2">
        <f t="shared" si="3"/>
        <v>0</v>
      </c>
      <c r="I77" s="2">
        <f t="shared" si="3"/>
        <v>0</v>
      </c>
      <c r="J77" s="2">
        <f t="shared" si="3"/>
        <v>0</v>
      </c>
      <c r="K77" s="2">
        <f t="shared" si="3"/>
        <v>0</v>
      </c>
      <c r="L77" s="2">
        <f t="shared" si="3"/>
        <v>0</v>
      </c>
      <c r="M77" s="76">
        <f t="shared" si="3"/>
        <v>0</v>
      </c>
      <c r="N77" s="76">
        <f t="shared" si="3"/>
        <v>0</v>
      </c>
      <c r="O77" s="76">
        <f t="shared" si="3"/>
        <v>0</v>
      </c>
      <c r="P77" s="76">
        <f t="shared" si="3"/>
        <v>0</v>
      </c>
      <c r="Q77" s="76">
        <f t="shared" si="3"/>
        <v>0</v>
      </c>
      <c r="R77" s="76">
        <f t="shared" si="3"/>
        <v>0</v>
      </c>
      <c r="S77" s="76">
        <f t="shared" si="3"/>
        <v>0</v>
      </c>
      <c r="T77" s="76">
        <f t="shared" si="3"/>
        <v>0</v>
      </c>
      <c r="U77" s="76">
        <f t="shared" si="3"/>
        <v>0</v>
      </c>
      <c r="V77" s="76">
        <f t="shared" si="3"/>
        <v>0</v>
      </c>
      <c r="W77" s="76">
        <f t="shared" si="3"/>
        <v>0</v>
      </c>
      <c r="X77" s="1"/>
    </row>
    <row r="78" spans="1:24">
      <c r="A78" s="65" t="s">
        <v>207</v>
      </c>
      <c r="B78" s="2">
        <f t="shared" ref="B78:W78" si="4">SUMIF($X$41:$X$50,400,B$41:B$50)</f>
        <v>0</v>
      </c>
      <c r="C78" s="2">
        <f t="shared" si="4"/>
        <v>0</v>
      </c>
      <c r="D78" s="2">
        <f t="shared" si="4"/>
        <v>0</v>
      </c>
      <c r="E78" s="2">
        <f t="shared" si="4"/>
        <v>0</v>
      </c>
      <c r="F78" s="2">
        <f t="shared" si="4"/>
        <v>0</v>
      </c>
      <c r="G78" s="2">
        <f t="shared" si="4"/>
        <v>0</v>
      </c>
      <c r="H78" s="2">
        <f t="shared" si="4"/>
        <v>0</v>
      </c>
      <c r="I78" s="2">
        <f t="shared" si="4"/>
        <v>0</v>
      </c>
      <c r="J78" s="2">
        <f t="shared" si="4"/>
        <v>0</v>
      </c>
      <c r="K78" s="2">
        <f t="shared" si="4"/>
        <v>0</v>
      </c>
      <c r="L78" s="2">
        <f t="shared" si="4"/>
        <v>0</v>
      </c>
      <c r="M78" s="76">
        <f t="shared" si="4"/>
        <v>0</v>
      </c>
      <c r="N78" s="76">
        <f t="shared" si="4"/>
        <v>0</v>
      </c>
      <c r="O78" s="76">
        <f t="shared" si="4"/>
        <v>0</v>
      </c>
      <c r="P78" s="76">
        <f t="shared" si="4"/>
        <v>0</v>
      </c>
      <c r="Q78" s="76">
        <f t="shared" si="4"/>
        <v>0</v>
      </c>
      <c r="R78" s="76">
        <f t="shared" si="4"/>
        <v>0</v>
      </c>
      <c r="S78" s="76">
        <f t="shared" si="4"/>
        <v>0</v>
      </c>
      <c r="T78" s="76">
        <f t="shared" si="4"/>
        <v>0</v>
      </c>
      <c r="U78" s="76">
        <f t="shared" si="4"/>
        <v>0</v>
      </c>
      <c r="V78" s="76">
        <f t="shared" si="4"/>
        <v>0</v>
      </c>
      <c r="W78" s="76">
        <f t="shared" si="4"/>
        <v>0</v>
      </c>
      <c r="X78" s="1"/>
    </row>
    <row r="79" spans="1:24">
      <c r="A79" s="65" t="s">
        <v>209</v>
      </c>
      <c r="B79" s="2">
        <f t="shared" ref="B79:W79" si="5">SUMIF($X$41:$X$50,800,B$41:B$50)</f>
        <v>0</v>
      </c>
      <c r="C79" s="2">
        <f t="shared" si="5"/>
        <v>0</v>
      </c>
      <c r="D79" s="2">
        <f t="shared" si="5"/>
        <v>0</v>
      </c>
      <c r="E79" s="2">
        <f t="shared" si="5"/>
        <v>0</v>
      </c>
      <c r="F79" s="2">
        <f t="shared" si="5"/>
        <v>0</v>
      </c>
      <c r="G79" s="2">
        <f t="shared" si="5"/>
        <v>0</v>
      </c>
      <c r="H79" s="2">
        <f t="shared" si="5"/>
        <v>0</v>
      </c>
      <c r="I79" s="2">
        <f t="shared" si="5"/>
        <v>0</v>
      </c>
      <c r="J79" s="2">
        <f t="shared" si="5"/>
        <v>0</v>
      </c>
      <c r="K79" s="2">
        <f t="shared" si="5"/>
        <v>0</v>
      </c>
      <c r="L79" s="2">
        <f t="shared" si="5"/>
        <v>0</v>
      </c>
      <c r="M79" s="76">
        <f t="shared" si="5"/>
        <v>0</v>
      </c>
      <c r="N79" s="76">
        <f t="shared" si="5"/>
        <v>0</v>
      </c>
      <c r="O79" s="76">
        <f t="shared" si="5"/>
        <v>0</v>
      </c>
      <c r="P79" s="76">
        <f t="shared" si="5"/>
        <v>0</v>
      </c>
      <c r="Q79" s="76">
        <f t="shared" si="5"/>
        <v>0</v>
      </c>
      <c r="R79" s="76">
        <f t="shared" si="5"/>
        <v>0</v>
      </c>
      <c r="S79" s="76">
        <f t="shared" si="5"/>
        <v>0</v>
      </c>
      <c r="T79" s="76">
        <f t="shared" si="5"/>
        <v>0</v>
      </c>
      <c r="U79" s="76">
        <f t="shared" si="5"/>
        <v>0</v>
      </c>
      <c r="V79" s="76">
        <f t="shared" si="5"/>
        <v>0</v>
      </c>
      <c r="W79" s="76">
        <f t="shared" si="5"/>
        <v>0</v>
      </c>
    </row>
    <row r="80" spans="1:24">
      <c r="A80" s="65" t="s">
        <v>211</v>
      </c>
      <c r="B80" s="2">
        <f t="shared" ref="B80:W80" si="6">SUMIF($X$41:$X$50,1600,B$41:B$50)</f>
        <v>0</v>
      </c>
      <c r="C80" s="2">
        <f t="shared" si="6"/>
        <v>0</v>
      </c>
      <c r="D80" s="2">
        <f t="shared" si="6"/>
        <v>0</v>
      </c>
      <c r="E80" s="2">
        <f t="shared" si="6"/>
        <v>0</v>
      </c>
      <c r="F80" s="2">
        <f t="shared" si="6"/>
        <v>0</v>
      </c>
      <c r="G80" s="2">
        <f t="shared" si="6"/>
        <v>0</v>
      </c>
      <c r="H80" s="2">
        <f t="shared" si="6"/>
        <v>0</v>
      </c>
      <c r="I80" s="2">
        <f t="shared" si="6"/>
        <v>0</v>
      </c>
      <c r="J80" s="2">
        <f t="shared" si="6"/>
        <v>0</v>
      </c>
      <c r="K80" s="2">
        <f t="shared" si="6"/>
        <v>0</v>
      </c>
      <c r="L80" s="2">
        <f t="shared" si="6"/>
        <v>0</v>
      </c>
      <c r="M80" s="76">
        <f t="shared" si="6"/>
        <v>0</v>
      </c>
      <c r="N80" s="76">
        <f t="shared" si="6"/>
        <v>0</v>
      </c>
      <c r="O80" s="76">
        <f t="shared" si="6"/>
        <v>0</v>
      </c>
      <c r="P80" s="76">
        <f t="shared" si="6"/>
        <v>0</v>
      </c>
      <c r="Q80" s="76">
        <f t="shared" si="6"/>
        <v>0</v>
      </c>
      <c r="R80" s="76">
        <f t="shared" si="6"/>
        <v>0</v>
      </c>
      <c r="S80" s="76">
        <f t="shared" si="6"/>
        <v>0</v>
      </c>
      <c r="T80" s="76">
        <f t="shared" si="6"/>
        <v>0</v>
      </c>
      <c r="U80" s="76">
        <f t="shared" si="6"/>
        <v>0</v>
      </c>
      <c r="V80" s="76">
        <f t="shared" si="6"/>
        <v>0</v>
      </c>
      <c r="W80" s="76">
        <f t="shared" si="6"/>
        <v>0</v>
      </c>
    </row>
    <row r="81" spans="1:23">
      <c r="A81" s="65" t="s">
        <v>276</v>
      </c>
      <c r="B81" s="2">
        <f>SUM(B41:B51)</f>
        <v>269092.5448572333</v>
      </c>
      <c r="C81" s="2">
        <f t="shared" ref="C81:W81" si="7">SUM(C41:C51)</f>
        <v>461670.35331530817</v>
      </c>
      <c r="D81" s="2">
        <f t="shared" si="7"/>
        <v>0</v>
      </c>
      <c r="E81" s="2">
        <f t="shared" si="7"/>
        <v>0</v>
      </c>
      <c r="F81" s="2">
        <f t="shared" si="7"/>
        <v>0</v>
      </c>
      <c r="G81" s="2">
        <f t="shared" si="7"/>
        <v>0</v>
      </c>
      <c r="H81" s="2">
        <f t="shared" si="7"/>
        <v>0</v>
      </c>
      <c r="I81" s="2">
        <f t="shared" si="7"/>
        <v>0</v>
      </c>
      <c r="J81" s="2">
        <f t="shared" si="7"/>
        <v>0</v>
      </c>
      <c r="K81" s="2">
        <f t="shared" si="7"/>
        <v>0</v>
      </c>
      <c r="L81" s="2">
        <f t="shared" si="7"/>
        <v>0</v>
      </c>
      <c r="M81" s="63">
        <f t="shared" si="7"/>
        <v>85.639593534542342</v>
      </c>
      <c r="N81" s="63">
        <f t="shared" si="7"/>
        <v>89.867593283726777</v>
      </c>
      <c r="O81" s="63">
        <f t="shared" si="7"/>
        <v>0</v>
      </c>
      <c r="P81" s="63">
        <f t="shared" si="7"/>
        <v>0</v>
      </c>
      <c r="Q81" s="63">
        <f t="shared" si="7"/>
        <v>0</v>
      </c>
      <c r="R81" s="63">
        <f t="shared" si="7"/>
        <v>0</v>
      </c>
      <c r="S81" s="63">
        <f t="shared" si="7"/>
        <v>0</v>
      </c>
      <c r="T81" s="63">
        <f t="shared" si="7"/>
        <v>0</v>
      </c>
      <c r="U81" s="63">
        <f t="shared" si="7"/>
        <v>0</v>
      </c>
      <c r="V81" s="63">
        <f t="shared" si="7"/>
        <v>0</v>
      </c>
      <c r="W81" s="63">
        <f t="shared" si="7"/>
        <v>0</v>
      </c>
    </row>
    <row r="82" spans="1:23">
      <c r="A82" s="65"/>
    </row>
    <row r="83" spans="1:23">
      <c r="A83" s="176" t="s">
        <v>428</v>
      </c>
      <c r="B83" s="68">
        <v>2018</v>
      </c>
      <c r="C83" s="50">
        <v>2019</v>
      </c>
      <c r="D83" s="50">
        <v>2020</v>
      </c>
      <c r="E83" s="50">
        <v>2021</v>
      </c>
      <c r="F83" s="50">
        <v>2022</v>
      </c>
      <c r="G83" s="50">
        <v>2023</v>
      </c>
      <c r="H83" s="50">
        <v>2024</v>
      </c>
      <c r="I83" s="50">
        <v>2025</v>
      </c>
      <c r="J83" s="50">
        <v>2026</v>
      </c>
      <c r="K83" s="50">
        <v>2027</v>
      </c>
      <c r="L83" s="50">
        <v>2028</v>
      </c>
      <c r="M83" s="68">
        <v>2018</v>
      </c>
      <c r="N83" s="50">
        <v>2019</v>
      </c>
      <c r="O83" s="50">
        <v>2020</v>
      </c>
      <c r="P83" s="50">
        <v>2021</v>
      </c>
      <c r="Q83" s="50">
        <v>2022</v>
      </c>
      <c r="R83" s="50">
        <v>2023</v>
      </c>
      <c r="S83" s="50">
        <v>2024</v>
      </c>
      <c r="T83" s="50">
        <v>2025</v>
      </c>
      <c r="U83" s="50">
        <v>2026</v>
      </c>
      <c r="V83" s="50">
        <v>2027</v>
      </c>
      <c r="W83" s="50">
        <v>2028</v>
      </c>
    </row>
    <row r="84" spans="1:23">
      <c r="A84" s="65" t="s">
        <v>205</v>
      </c>
      <c r="B84" s="2">
        <f t="shared" ref="B84:W84" si="8">SUMIF($X$52:$X$70,100,B$52:B$70)</f>
        <v>3659.5122550280125</v>
      </c>
      <c r="C84" s="2">
        <f t="shared" si="8"/>
        <v>3513.9851200000016</v>
      </c>
      <c r="D84" s="2">
        <f t="shared" si="8"/>
        <v>0</v>
      </c>
      <c r="E84" s="2">
        <f t="shared" si="8"/>
        <v>0</v>
      </c>
      <c r="F84" s="2">
        <f t="shared" si="8"/>
        <v>0</v>
      </c>
      <c r="G84" s="2">
        <f t="shared" si="8"/>
        <v>0</v>
      </c>
      <c r="H84" s="2">
        <f t="shared" si="8"/>
        <v>0</v>
      </c>
      <c r="I84" s="2">
        <f t="shared" si="8"/>
        <v>0</v>
      </c>
      <c r="J84" s="2">
        <f t="shared" si="8"/>
        <v>0</v>
      </c>
      <c r="K84" s="2">
        <f t="shared" si="8"/>
        <v>0</v>
      </c>
      <c r="L84" s="2">
        <f t="shared" si="8"/>
        <v>0</v>
      </c>
      <c r="M84" s="77">
        <f t="shared" si="8"/>
        <v>28.241667846771719</v>
      </c>
      <c r="N84" s="78">
        <f t="shared" si="8"/>
        <v>20.761219328000006</v>
      </c>
      <c r="O84" s="78">
        <f t="shared" si="8"/>
        <v>0</v>
      </c>
      <c r="P84" s="78">
        <f t="shared" si="8"/>
        <v>0</v>
      </c>
      <c r="Q84" s="78">
        <f t="shared" si="8"/>
        <v>0</v>
      </c>
      <c r="R84" s="78">
        <f t="shared" si="8"/>
        <v>0</v>
      </c>
      <c r="S84" s="78">
        <f t="shared" si="8"/>
        <v>0</v>
      </c>
      <c r="T84" s="78">
        <f t="shared" si="8"/>
        <v>0</v>
      </c>
      <c r="U84" s="78">
        <f t="shared" si="8"/>
        <v>0</v>
      </c>
      <c r="V84" s="78">
        <f t="shared" si="8"/>
        <v>0</v>
      </c>
      <c r="W84" s="78">
        <f t="shared" si="8"/>
        <v>0</v>
      </c>
    </row>
    <row r="85" spans="1:23">
      <c r="A85" s="65" t="s">
        <v>206</v>
      </c>
      <c r="B85" s="2">
        <f t="shared" ref="B85:W85" si="9">SUMIF($X$52:$X$70,200,B$52:B$70)</f>
        <v>0</v>
      </c>
      <c r="C85" s="2">
        <f t="shared" si="9"/>
        <v>2170.8383999999996</v>
      </c>
      <c r="D85" s="2">
        <f t="shared" si="9"/>
        <v>0</v>
      </c>
      <c r="E85" s="2">
        <f t="shared" si="9"/>
        <v>0</v>
      </c>
      <c r="F85" s="2">
        <f t="shared" si="9"/>
        <v>0</v>
      </c>
      <c r="G85" s="2">
        <f t="shared" si="9"/>
        <v>0</v>
      </c>
      <c r="H85" s="2">
        <f t="shared" si="9"/>
        <v>0</v>
      </c>
      <c r="I85" s="2">
        <f t="shared" si="9"/>
        <v>0</v>
      </c>
      <c r="J85" s="2">
        <f t="shared" si="9"/>
        <v>0</v>
      </c>
      <c r="K85" s="2">
        <f t="shared" si="9"/>
        <v>0</v>
      </c>
      <c r="L85" s="2">
        <f t="shared" si="9"/>
        <v>0</v>
      </c>
      <c r="M85" s="79">
        <f t="shared" si="9"/>
        <v>0</v>
      </c>
      <c r="N85" s="80">
        <f t="shared" si="9"/>
        <v>12.911753192727272</v>
      </c>
      <c r="O85" s="80">
        <f t="shared" si="9"/>
        <v>0</v>
      </c>
      <c r="P85" s="80">
        <f t="shared" si="9"/>
        <v>0</v>
      </c>
      <c r="Q85" s="80">
        <f t="shared" si="9"/>
        <v>0</v>
      </c>
      <c r="R85" s="80">
        <f t="shared" si="9"/>
        <v>0</v>
      </c>
      <c r="S85" s="80">
        <f t="shared" si="9"/>
        <v>0</v>
      </c>
      <c r="T85" s="80">
        <f t="shared" si="9"/>
        <v>0</v>
      </c>
      <c r="U85" s="80">
        <f t="shared" si="9"/>
        <v>0</v>
      </c>
      <c r="V85" s="80">
        <f t="shared" si="9"/>
        <v>0</v>
      </c>
      <c r="W85" s="80">
        <f t="shared" si="9"/>
        <v>0</v>
      </c>
    </row>
    <row r="86" spans="1:23">
      <c r="A86" s="65" t="s">
        <v>207</v>
      </c>
      <c r="B86" s="2">
        <f t="shared" ref="B86:W86" si="10">SUMIF($X$52:$X$70,400,B$52:B$70)</f>
        <v>0</v>
      </c>
      <c r="C86" s="2">
        <f t="shared" si="10"/>
        <v>0</v>
      </c>
      <c r="D86" s="2">
        <f t="shared" si="10"/>
        <v>0</v>
      </c>
      <c r="E86" s="2">
        <f t="shared" si="10"/>
        <v>0</v>
      </c>
      <c r="F86" s="2">
        <f t="shared" si="10"/>
        <v>0</v>
      </c>
      <c r="G86" s="2">
        <f t="shared" si="10"/>
        <v>0</v>
      </c>
      <c r="H86" s="2">
        <f t="shared" si="10"/>
        <v>0</v>
      </c>
      <c r="I86" s="2">
        <f t="shared" si="10"/>
        <v>0</v>
      </c>
      <c r="J86" s="2">
        <f t="shared" si="10"/>
        <v>0</v>
      </c>
      <c r="K86" s="2">
        <f t="shared" si="10"/>
        <v>0</v>
      </c>
      <c r="L86" s="2">
        <f t="shared" si="10"/>
        <v>0</v>
      </c>
      <c r="M86" s="79">
        <f t="shared" si="10"/>
        <v>0</v>
      </c>
      <c r="N86" s="80">
        <f t="shared" si="10"/>
        <v>0</v>
      </c>
      <c r="O86" s="80">
        <f t="shared" si="10"/>
        <v>0</v>
      </c>
      <c r="P86" s="80">
        <f t="shared" si="10"/>
        <v>0</v>
      </c>
      <c r="Q86" s="80">
        <f t="shared" si="10"/>
        <v>0</v>
      </c>
      <c r="R86" s="80">
        <f t="shared" si="10"/>
        <v>0</v>
      </c>
      <c r="S86" s="80">
        <f t="shared" si="10"/>
        <v>0</v>
      </c>
      <c r="T86" s="80">
        <f t="shared" si="10"/>
        <v>0</v>
      </c>
      <c r="U86" s="80">
        <f t="shared" si="10"/>
        <v>0</v>
      </c>
      <c r="V86" s="80">
        <f t="shared" si="10"/>
        <v>0</v>
      </c>
      <c r="W86" s="80">
        <f t="shared" si="10"/>
        <v>0</v>
      </c>
    </row>
    <row r="87" spans="1:23">
      <c r="A87" s="65" t="s">
        <v>429</v>
      </c>
      <c r="B87" s="2">
        <f t="shared" ref="B87:W87" si="11">SUMIF($X$52:$X$70,600,B$52:B$70)+SUMIF($X$52:$X$70,800,B$52:B$70)</f>
        <v>0</v>
      </c>
      <c r="C87" s="2">
        <f t="shared" si="11"/>
        <v>0</v>
      </c>
      <c r="D87" s="2">
        <f t="shared" si="11"/>
        <v>0</v>
      </c>
      <c r="E87" s="2">
        <f t="shared" si="11"/>
        <v>0</v>
      </c>
      <c r="F87" s="2">
        <f t="shared" si="11"/>
        <v>0</v>
      </c>
      <c r="G87" s="2">
        <f t="shared" si="11"/>
        <v>0</v>
      </c>
      <c r="H87" s="2">
        <f t="shared" si="11"/>
        <v>0</v>
      </c>
      <c r="I87" s="2">
        <f t="shared" si="11"/>
        <v>0</v>
      </c>
      <c r="J87" s="2">
        <f t="shared" si="11"/>
        <v>0</v>
      </c>
      <c r="K87" s="2">
        <f t="shared" si="11"/>
        <v>0</v>
      </c>
      <c r="L87" s="2">
        <f t="shared" si="11"/>
        <v>0</v>
      </c>
      <c r="M87" s="79">
        <f t="shared" si="11"/>
        <v>0</v>
      </c>
      <c r="N87" s="80">
        <f t="shared" si="11"/>
        <v>0</v>
      </c>
      <c r="O87" s="80">
        <f t="shared" si="11"/>
        <v>0</v>
      </c>
      <c r="P87" s="80">
        <f t="shared" si="11"/>
        <v>0</v>
      </c>
      <c r="Q87" s="80">
        <f t="shared" si="11"/>
        <v>0</v>
      </c>
      <c r="R87" s="80">
        <f t="shared" si="11"/>
        <v>0</v>
      </c>
      <c r="S87" s="80">
        <f t="shared" si="11"/>
        <v>0</v>
      </c>
      <c r="T87" s="80">
        <f t="shared" si="11"/>
        <v>0</v>
      </c>
      <c r="U87" s="80">
        <f t="shared" si="11"/>
        <v>0</v>
      </c>
      <c r="V87" s="80">
        <f t="shared" si="11"/>
        <v>0</v>
      </c>
      <c r="W87" s="80">
        <f t="shared" si="11"/>
        <v>0</v>
      </c>
    </row>
    <row r="88" spans="1:23">
      <c r="A88" s="65" t="s">
        <v>430</v>
      </c>
      <c r="B88" s="2">
        <f t="shared" ref="B88:W88" si="12">SUMIF($X$52:$X$70,1200,B$52:B$70)+SUMIF($X$52:$X$70,1600,B$52:B$70)</f>
        <v>0</v>
      </c>
      <c r="C88" s="2">
        <f t="shared" si="12"/>
        <v>0</v>
      </c>
      <c r="D88" s="2">
        <f t="shared" si="12"/>
        <v>0</v>
      </c>
      <c r="E88" s="2">
        <f t="shared" si="12"/>
        <v>0</v>
      </c>
      <c r="F88" s="2">
        <f t="shared" si="12"/>
        <v>0</v>
      </c>
      <c r="G88" s="2">
        <f t="shared" si="12"/>
        <v>0</v>
      </c>
      <c r="H88" s="2">
        <f t="shared" si="12"/>
        <v>0</v>
      </c>
      <c r="I88" s="2">
        <f t="shared" si="12"/>
        <v>0</v>
      </c>
      <c r="J88" s="2">
        <f t="shared" si="12"/>
        <v>0</v>
      </c>
      <c r="K88" s="2">
        <f t="shared" si="12"/>
        <v>0</v>
      </c>
      <c r="L88" s="2">
        <f t="shared" si="12"/>
        <v>0</v>
      </c>
      <c r="M88" s="79">
        <f t="shared" si="12"/>
        <v>0</v>
      </c>
      <c r="N88" s="80">
        <f t="shared" si="12"/>
        <v>0</v>
      </c>
      <c r="O88" s="80">
        <f t="shared" si="12"/>
        <v>0</v>
      </c>
      <c r="P88" s="80">
        <f t="shared" si="12"/>
        <v>0</v>
      </c>
      <c r="Q88" s="80">
        <f t="shared" si="12"/>
        <v>0</v>
      </c>
      <c r="R88" s="80">
        <f t="shared" si="12"/>
        <v>0</v>
      </c>
      <c r="S88" s="80">
        <f t="shared" si="12"/>
        <v>0</v>
      </c>
      <c r="T88" s="80">
        <f t="shared" si="12"/>
        <v>0</v>
      </c>
      <c r="U88" s="80">
        <f t="shared" si="12"/>
        <v>0</v>
      </c>
      <c r="V88" s="80">
        <f t="shared" si="12"/>
        <v>0</v>
      </c>
      <c r="W88" s="80">
        <f t="shared" si="12"/>
        <v>0</v>
      </c>
    </row>
    <row r="89" spans="1:23">
      <c r="A89" s="65" t="s">
        <v>277</v>
      </c>
      <c r="B89" s="2">
        <f>SUM(B52:B70)</f>
        <v>6544.9689550280127</v>
      </c>
      <c r="C89" s="2">
        <f t="shared" ref="C89:W89" si="13">SUM(C52:C70)</f>
        <v>9363.3342490667546</v>
      </c>
      <c r="D89" s="2">
        <f t="shared" si="13"/>
        <v>0</v>
      </c>
      <c r="E89" s="2">
        <f t="shared" si="13"/>
        <v>0</v>
      </c>
      <c r="F89" s="2">
        <f t="shared" si="13"/>
        <v>0</v>
      </c>
      <c r="G89" s="2">
        <f t="shared" si="13"/>
        <v>0</v>
      </c>
      <c r="H89" s="2">
        <f t="shared" si="13"/>
        <v>0</v>
      </c>
      <c r="I89" s="2">
        <f t="shared" si="13"/>
        <v>0</v>
      </c>
      <c r="J89" s="2">
        <f t="shared" si="13"/>
        <v>0</v>
      </c>
      <c r="K89" s="2">
        <f t="shared" si="13"/>
        <v>0</v>
      </c>
      <c r="L89" s="2">
        <f t="shared" si="13"/>
        <v>0</v>
      </c>
      <c r="M89" s="79">
        <f t="shared" si="13"/>
        <v>29.624015720068329</v>
      </c>
      <c r="N89" s="80">
        <f t="shared" si="13"/>
        <v>35.113590806222611</v>
      </c>
      <c r="O89" s="80">
        <f t="shared" si="13"/>
        <v>0</v>
      </c>
      <c r="P89" s="80">
        <f t="shared" si="13"/>
        <v>0</v>
      </c>
      <c r="Q89" s="80">
        <f t="shared" si="13"/>
        <v>0</v>
      </c>
      <c r="R89" s="80">
        <f t="shared" si="13"/>
        <v>0</v>
      </c>
      <c r="S89" s="80">
        <f t="shared" si="13"/>
        <v>0</v>
      </c>
      <c r="T89" s="80">
        <f t="shared" si="13"/>
        <v>0</v>
      </c>
      <c r="U89" s="80">
        <f t="shared" si="13"/>
        <v>0</v>
      </c>
      <c r="V89" s="80">
        <f t="shared" si="13"/>
        <v>0</v>
      </c>
      <c r="W89" s="80">
        <f t="shared" si="13"/>
        <v>0</v>
      </c>
    </row>
    <row r="92" spans="1:23">
      <c r="M92" s="68">
        <v>2018</v>
      </c>
      <c r="N92" s="50">
        <v>2019</v>
      </c>
      <c r="O92" s="50">
        <v>2020</v>
      </c>
      <c r="P92" s="50">
        <v>2021</v>
      </c>
      <c r="Q92" s="50">
        <v>2022</v>
      </c>
      <c r="R92" s="112">
        <v>2023</v>
      </c>
      <c r="S92" s="50">
        <v>2024</v>
      </c>
      <c r="T92" s="50">
        <v>2025</v>
      </c>
      <c r="U92" s="50">
        <v>2026</v>
      </c>
      <c r="V92" s="50">
        <v>2027</v>
      </c>
      <c r="W92" s="50">
        <v>2028</v>
      </c>
    </row>
    <row r="93" spans="1:23">
      <c r="A93" s="25" t="s">
        <v>341</v>
      </c>
      <c r="M93" s="76">
        <v>13858</v>
      </c>
      <c r="N93" s="76">
        <v>9247</v>
      </c>
      <c r="O93" s="76">
        <v>8702</v>
      </c>
      <c r="P93" s="76">
        <v>10388</v>
      </c>
      <c r="Q93" s="76">
        <v>11692</v>
      </c>
      <c r="R93" s="76">
        <f t="shared" ref="R93:W93" si="14">Q93*$R$94</f>
        <v>12861.2</v>
      </c>
      <c r="S93" s="76">
        <f t="shared" si="14"/>
        <v>14147.320000000002</v>
      </c>
      <c r="T93" s="76">
        <f t="shared" si="14"/>
        <v>15562.052000000003</v>
      </c>
      <c r="U93" s="76">
        <f t="shared" si="14"/>
        <v>17118.257200000004</v>
      </c>
      <c r="V93" s="76">
        <f t="shared" si="14"/>
        <v>18830.082920000004</v>
      </c>
      <c r="W93" s="76">
        <f t="shared" si="14"/>
        <v>20713.091212000007</v>
      </c>
    </row>
    <row r="94" spans="1:23">
      <c r="A94" s="25" t="s">
        <v>350</v>
      </c>
      <c r="N94" s="119">
        <f>N93/M93</f>
        <v>0.66726800404098718</v>
      </c>
      <c r="O94" s="119">
        <f>O93/N93</f>
        <v>0.94106196604304093</v>
      </c>
      <c r="P94" s="119">
        <f>P93/O93</f>
        <v>1.1937485635486096</v>
      </c>
      <c r="Q94" s="119">
        <f>Q93/P93</f>
        <v>1.1255294570658452</v>
      </c>
      <c r="R94" s="120">
        <v>1.1000000000000001</v>
      </c>
    </row>
    <row r="95" spans="1:23">
      <c r="A95" s="25" t="str">
        <f>"Ethernet transceivers % of total capex: "&amp;$A$39</f>
        <v>Ethernet transceivers % of total capex: Apple</v>
      </c>
      <c r="M95" s="111">
        <f t="shared" ref="M95:R95" si="15">M81/M93</f>
        <v>6.1797945976722717E-3</v>
      </c>
      <c r="N95" s="111">
        <f t="shared" si="15"/>
        <v>9.7185674579568261E-3</v>
      </c>
      <c r="O95" s="111">
        <f t="shared" si="15"/>
        <v>0</v>
      </c>
      <c r="P95" s="111">
        <f t="shared" si="15"/>
        <v>0</v>
      </c>
      <c r="Q95" s="111">
        <f t="shared" si="15"/>
        <v>0</v>
      </c>
      <c r="R95" s="111">
        <f t="shared" si="15"/>
        <v>0</v>
      </c>
      <c r="S95" s="111">
        <f t="shared" ref="S95:W95" si="16">S81/S93</f>
        <v>0</v>
      </c>
      <c r="T95" s="111">
        <f t="shared" si="16"/>
        <v>0</v>
      </c>
      <c r="U95" s="111">
        <f t="shared" si="16"/>
        <v>0</v>
      </c>
      <c r="V95" s="111">
        <f t="shared" si="16"/>
        <v>0</v>
      </c>
      <c r="W95" s="111">
        <f t="shared" si="16"/>
        <v>0</v>
      </c>
    </row>
    <row r="96" spans="1:23">
      <c r="A96" s="25" t="str">
        <f>"DWDM transceivers % of total capex: "&amp;$A$39</f>
        <v>DWDM transceivers % of total capex: Apple</v>
      </c>
      <c r="M96" s="111">
        <f>M89/M93</f>
        <v>2.1376833395921726E-3</v>
      </c>
      <c r="N96" s="111">
        <f t="shared" ref="N96:W96" si="17">N89/N93</f>
        <v>3.7972954262163526E-3</v>
      </c>
      <c r="O96" s="111">
        <f t="shared" si="17"/>
        <v>0</v>
      </c>
      <c r="P96" s="111">
        <f t="shared" si="17"/>
        <v>0</v>
      </c>
      <c r="Q96" s="111">
        <f t="shared" si="17"/>
        <v>0</v>
      </c>
      <c r="R96" s="111">
        <f t="shared" si="17"/>
        <v>0</v>
      </c>
      <c r="S96" s="111">
        <f t="shared" si="17"/>
        <v>0</v>
      </c>
      <c r="T96" s="111">
        <f t="shared" si="17"/>
        <v>0</v>
      </c>
      <c r="U96" s="111">
        <f t="shared" si="17"/>
        <v>0</v>
      </c>
      <c r="V96" s="111">
        <f t="shared" si="17"/>
        <v>0</v>
      </c>
      <c r="W96" s="111">
        <f t="shared" si="17"/>
        <v>0</v>
      </c>
    </row>
    <row r="97" spans="1:23">
      <c r="A97" s="25" t="str">
        <f>"Ethernet&amp;DWDM transceivers % of total capex: "&amp;$A$39</f>
        <v>Ethernet&amp;DWDM transceivers % of total capex: Apple</v>
      </c>
      <c r="M97" s="111">
        <f>M96+M95</f>
        <v>8.3174779372644433E-3</v>
      </c>
      <c r="N97" s="111">
        <f t="shared" ref="N97:W97" si="18">N96+N95</f>
        <v>1.3515862884173179E-2</v>
      </c>
      <c r="O97" s="111">
        <f t="shared" si="18"/>
        <v>0</v>
      </c>
      <c r="P97" s="111">
        <f t="shared" si="18"/>
        <v>0</v>
      </c>
      <c r="Q97" s="111">
        <f t="shared" si="18"/>
        <v>0</v>
      </c>
      <c r="R97" s="111">
        <f t="shared" si="18"/>
        <v>0</v>
      </c>
      <c r="S97" s="111">
        <f t="shared" si="18"/>
        <v>0</v>
      </c>
      <c r="T97" s="111">
        <f t="shared" si="18"/>
        <v>0</v>
      </c>
      <c r="U97" s="111">
        <f t="shared" si="18"/>
        <v>0</v>
      </c>
      <c r="V97" s="111">
        <f t="shared" si="18"/>
        <v>0</v>
      </c>
      <c r="W97" s="111">
        <f t="shared" si="18"/>
        <v>0</v>
      </c>
    </row>
    <row r="99" spans="1:23">
      <c r="A99" t="s">
        <v>275</v>
      </c>
    </row>
    <row r="100" spans="1:23">
      <c r="A100" s="40" t="s">
        <v>213</v>
      </c>
      <c r="B100" s="17">
        <v>2018</v>
      </c>
      <c r="C100" s="17">
        <v>2019</v>
      </c>
      <c r="D100" s="17">
        <v>2020</v>
      </c>
      <c r="E100" s="17">
        <v>2021</v>
      </c>
      <c r="F100" s="17">
        <v>2022</v>
      </c>
      <c r="G100" s="17">
        <v>2023</v>
      </c>
      <c r="H100" s="17">
        <v>2024</v>
      </c>
      <c r="I100" s="17">
        <v>2025</v>
      </c>
      <c r="J100" s="17">
        <v>2026</v>
      </c>
      <c r="K100" s="17">
        <v>2027</v>
      </c>
      <c r="L100" s="17">
        <v>2028</v>
      </c>
    </row>
    <row r="101" spans="1:23">
      <c r="A101" s="25" t="s">
        <v>250</v>
      </c>
      <c r="B101" s="32">
        <f t="shared" ref="B101:L101" si="19">SUMPRODUCT(B41:B50,$X$41:$X$50)/10^6</f>
        <v>16.816763814368553</v>
      </c>
      <c r="C101" s="32">
        <f t="shared" si="19"/>
        <v>34.612704281153086</v>
      </c>
      <c r="D101" s="32">
        <f t="shared" si="19"/>
        <v>0</v>
      </c>
      <c r="E101" s="32">
        <f t="shared" si="19"/>
        <v>0</v>
      </c>
      <c r="F101" s="32">
        <f t="shared" si="19"/>
        <v>0</v>
      </c>
      <c r="G101" s="32">
        <f t="shared" si="19"/>
        <v>0</v>
      </c>
      <c r="H101" s="32">
        <f t="shared" si="19"/>
        <v>0</v>
      </c>
      <c r="I101" s="32">
        <f t="shared" si="19"/>
        <v>0</v>
      </c>
      <c r="J101" s="32">
        <f t="shared" si="19"/>
        <v>0</v>
      </c>
      <c r="K101" s="32">
        <f t="shared" si="19"/>
        <v>0</v>
      </c>
      <c r="L101" s="32">
        <f t="shared" si="19"/>
        <v>0</v>
      </c>
    </row>
    <row r="102" spans="1:23">
      <c r="A102" s="25" t="s">
        <v>251</v>
      </c>
      <c r="B102" s="54">
        <f>B101*2</f>
        <v>33.633527628737106</v>
      </c>
      <c r="C102" s="29">
        <f>C101+B102</f>
        <v>68.246231909890184</v>
      </c>
      <c r="D102" s="29">
        <f t="shared" ref="D102:L102" si="20">D101+C102</f>
        <v>68.246231909890184</v>
      </c>
      <c r="E102" s="29">
        <f t="shared" si="20"/>
        <v>68.246231909890184</v>
      </c>
      <c r="F102" s="29">
        <f t="shared" si="20"/>
        <v>68.246231909890184</v>
      </c>
      <c r="G102" s="29">
        <f t="shared" si="20"/>
        <v>68.246231909890184</v>
      </c>
      <c r="H102" s="29">
        <f t="shared" si="20"/>
        <v>68.246231909890184</v>
      </c>
      <c r="I102" s="29">
        <f t="shared" si="20"/>
        <v>68.246231909890184</v>
      </c>
      <c r="J102" s="29">
        <f t="shared" si="20"/>
        <v>68.246231909890184</v>
      </c>
      <c r="K102" s="29">
        <f t="shared" si="20"/>
        <v>68.246231909890184</v>
      </c>
      <c r="L102" s="29">
        <f t="shared" si="20"/>
        <v>68.246231909890184</v>
      </c>
    </row>
    <row r="103" spans="1:23">
      <c r="A103" s="25" t="s">
        <v>252</v>
      </c>
      <c r="B103" s="26"/>
      <c r="C103" s="31">
        <f>C102/B102-1</f>
        <v>1.0291131118693402</v>
      </c>
      <c r="D103" s="31">
        <f t="shared" ref="D103" si="21">D102/C102-1</f>
        <v>0</v>
      </c>
      <c r="E103" s="31">
        <f t="shared" ref="E103" si="22">E102/D102-1</f>
        <v>0</v>
      </c>
      <c r="F103" s="31">
        <f t="shared" ref="F103" si="23">F102/E102-1</f>
        <v>0</v>
      </c>
      <c r="G103" s="31">
        <f t="shared" ref="G103" si="24">G102/F102-1</f>
        <v>0</v>
      </c>
      <c r="H103" s="31">
        <f t="shared" ref="H103" si="25">H102/G102-1</f>
        <v>0</v>
      </c>
      <c r="I103" s="31">
        <f t="shared" ref="I103" si="26">I102/H102-1</f>
        <v>0</v>
      </c>
      <c r="J103" s="31">
        <f t="shared" ref="J103" si="27">J102/I102-1</f>
        <v>0</v>
      </c>
      <c r="K103" s="31">
        <f t="shared" ref="K103" si="28">K102/J102-1</f>
        <v>0</v>
      </c>
      <c r="L103" s="31">
        <f t="shared" ref="L103" si="29">L102/K102-1</f>
        <v>0</v>
      </c>
    </row>
    <row r="105" spans="1:23">
      <c r="A105" s="40" t="s">
        <v>214</v>
      </c>
      <c r="B105" s="17">
        <v>2018</v>
      </c>
      <c r="C105" s="17">
        <v>2019</v>
      </c>
      <c r="D105" s="17">
        <v>2020</v>
      </c>
      <c r="E105" s="17">
        <v>2021</v>
      </c>
      <c r="F105" s="17">
        <v>2022</v>
      </c>
      <c r="G105" s="17">
        <v>2023</v>
      </c>
      <c r="H105" s="17">
        <v>2024</v>
      </c>
      <c r="I105" s="17">
        <v>2025</v>
      </c>
      <c r="J105" s="17">
        <v>2026</v>
      </c>
      <c r="K105" s="17">
        <v>2027</v>
      </c>
      <c r="L105" s="17">
        <v>2028</v>
      </c>
    </row>
    <row r="106" spans="1:23">
      <c r="A106" s="25" t="s">
        <v>250</v>
      </c>
      <c r="B106" s="39">
        <f t="shared" ref="B106:L106" si="30">SUMPRODUCT(B52:B70,$X$52:$X$70)/10^6</f>
        <v>0.39480579250280123</v>
      </c>
      <c r="C106" s="39">
        <f t="shared" si="30"/>
        <v>0.82235129929066753</v>
      </c>
      <c r="D106" s="39">
        <f t="shared" si="30"/>
        <v>0</v>
      </c>
      <c r="E106" s="39">
        <f t="shared" si="30"/>
        <v>0</v>
      </c>
      <c r="F106" s="39">
        <f t="shared" si="30"/>
        <v>0</v>
      </c>
      <c r="G106" s="39">
        <f t="shared" si="30"/>
        <v>0</v>
      </c>
      <c r="H106" s="39">
        <f t="shared" si="30"/>
        <v>0</v>
      </c>
      <c r="I106" s="39">
        <f t="shared" si="30"/>
        <v>0</v>
      </c>
      <c r="J106" s="39">
        <f t="shared" si="30"/>
        <v>0</v>
      </c>
      <c r="K106" s="39">
        <f t="shared" si="30"/>
        <v>0</v>
      </c>
      <c r="L106" s="39">
        <f t="shared" si="30"/>
        <v>0</v>
      </c>
    </row>
    <row r="107" spans="1:23">
      <c r="A107" s="25" t="s">
        <v>251</v>
      </c>
      <c r="B107" s="55">
        <f>B106+0.91</f>
        <v>1.3048057925028012</v>
      </c>
      <c r="C107" s="29">
        <f>B107+C106</f>
        <v>2.1271570917934688</v>
      </c>
      <c r="D107" s="29">
        <f>C107+D106</f>
        <v>2.1271570917934688</v>
      </c>
      <c r="E107" s="29">
        <f t="shared" ref="E107" si="31">D107+E106</f>
        <v>2.1271570917934688</v>
      </c>
      <c r="F107" s="29">
        <f t="shared" ref="F107" si="32">E107+F106</f>
        <v>2.1271570917934688</v>
      </c>
      <c r="G107" s="29">
        <f t="shared" ref="G107" si="33">F107+G106</f>
        <v>2.1271570917934688</v>
      </c>
      <c r="H107" s="29">
        <f t="shared" ref="H107" si="34">G107+H106</f>
        <v>2.1271570917934688</v>
      </c>
      <c r="I107" s="29">
        <f t="shared" ref="I107" si="35">H107+I106</f>
        <v>2.1271570917934688</v>
      </c>
      <c r="J107" s="29">
        <f t="shared" ref="J107" si="36">I107+J106</f>
        <v>2.1271570917934688</v>
      </c>
      <c r="K107" s="29">
        <f t="shared" ref="K107" si="37">J107+K106</f>
        <v>2.1271570917934688</v>
      </c>
      <c r="L107" s="29">
        <f t="shared" ref="L107" si="38">K107+L106</f>
        <v>2.1271570917934688</v>
      </c>
    </row>
    <row r="108" spans="1:23">
      <c r="A108" s="25" t="s">
        <v>252</v>
      </c>
      <c r="B108" s="26"/>
      <c r="C108" s="31">
        <f>C107/B107-1</f>
        <v>0.63024804458698958</v>
      </c>
      <c r="D108" s="31">
        <f t="shared" ref="D108" si="39">D107/C107-1</f>
        <v>0</v>
      </c>
      <c r="E108" s="31">
        <f t="shared" ref="E108" si="40">E107/D107-1</f>
        <v>0</v>
      </c>
      <c r="F108" s="31">
        <f t="shared" ref="F108" si="41">F107/E107-1</f>
        <v>0</v>
      </c>
      <c r="G108" s="31">
        <f t="shared" ref="G108" si="42">G107/F107-1</f>
        <v>0</v>
      </c>
      <c r="H108" s="31">
        <f t="shared" ref="H108" si="43">H107/G107-1</f>
        <v>0</v>
      </c>
      <c r="I108" s="31">
        <f t="shared" ref="I108" si="44">I107/H107-1</f>
        <v>0</v>
      </c>
      <c r="J108" s="31">
        <f t="shared" ref="J108" si="45">J107/I107-1</f>
        <v>0</v>
      </c>
      <c r="K108" s="31">
        <f t="shared" ref="K108" si="46">K107/J107-1</f>
        <v>0</v>
      </c>
      <c r="L108" s="31">
        <f t="shared" ref="L108" si="47">L107/K107-1</f>
        <v>0</v>
      </c>
    </row>
  </sheetData>
  <mergeCells count="2">
    <mergeCell ref="B39:L39"/>
    <mergeCell ref="M39:W39"/>
  </mergeCells>
  <dataValidations count="1">
    <dataValidation type="list" allowBlank="1" showInputMessage="1" showErrorMessage="1" sqref="A41:A70" xr:uid="{00000000-0002-0000-0800-000000000000}">
      <formula1>INDIRECT("Products[LookupCodes]")</formula1>
    </dataValidation>
  </dataValidations>
  <pageMargins left="0.7" right="0.7" top="0.75" bottom="0.75" header="0.3" footer="0.3"/>
  <pageSetup paperSize="9" orientation="portrait" horizontalDpi="0" verticalDpi="0"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Introduction</vt:lpstr>
      <vt:lpstr>Methodology</vt:lpstr>
      <vt:lpstr>Products</vt:lpstr>
      <vt:lpstr>Figures in the Report</vt:lpstr>
      <vt:lpstr>Google</vt:lpstr>
      <vt:lpstr>Meta</vt:lpstr>
      <vt:lpstr>Amazon</vt:lpstr>
      <vt:lpstr>Microsoft</vt:lpstr>
      <vt:lpstr>Apple</vt:lpstr>
      <vt:lpstr>Alibaba</vt:lpstr>
      <vt:lpstr>Huawei</vt:lpstr>
      <vt:lpstr>Tencent</vt:lpstr>
      <vt:lpstr>Baidu</vt:lpstr>
      <vt:lpstr>ByteDance</vt:lpstr>
      <vt:lpstr>CloudAllOther</vt:lpstr>
      <vt:lpstr>CloudTotal</vt:lpstr>
      <vt:lpstr>Telecom</vt:lpstr>
      <vt:lpstr>Enterprise</vt:lpstr>
      <vt:lpstr>Prices</vt:lpstr>
      <vt:lpstr>TotalMarket</vt:lpstr>
      <vt:lpstr>CostperGbps</vt:lpstr>
      <vt:lpstr>AI_splits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User;lomtev_igor@yahoo.com</dc:creator>
  <cp:lastModifiedBy>Stelyana Baleva</cp:lastModifiedBy>
  <cp:lastPrinted>2023-06-06T14:28:44Z</cp:lastPrinted>
  <dcterms:created xsi:type="dcterms:W3CDTF">2023-06-05T15:19:08Z</dcterms:created>
  <dcterms:modified xsi:type="dcterms:W3CDTF">2023-07-31T22:26:57Z</dcterms:modified>
</cp:coreProperties>
</file>